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esktop\"/>
    </mc:Choice>
  </mc:AlternateContent>
  <workbookProtection workbookPassword="FB84" lockStructure="1"/>
  <bookViews>
    <workbookView xWindow="0" yWindow="0" windowWidth="23040" windowHeight="6888" firstSheet="5" activeTab="14"/>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calcMode="manual"/>
  <fileRecoveryPr autoRecover="0"/>
</workbook>
</file>

<file path=xl/calcChain.xml><?xml version="1.0" encoding="utf-8"?>
<calcChain xmlns="http://schemas.openxmlformats.org/spreadsheetml/2006/main">
  <c r="G15" i="177" l="1"/>
  <c r="G11" i="177"/>
  <c r="G10" i="177"/>
  <c r="F31" i="178" l="1"/>
  <c r="F28" i="182" l="1"/>
  <c r="F27" i="182"/>
  <c r="F32" i="178" l="1"/>
  <c r="H72" i="268" l="1"/>
  <c r="H73" i="268"/>
  <c r="H67" i="268"/>
  <c r="H68" i="268"/>
  <c r="H69" i="268"/>
  <c r="H45" i="268"/>
  <c r="H49" i="268"/>
  <c r="H48" i="268"/>
  <c r="H36" i="177" l="1"/>
  <c r="H34" i="177"/>
  <c r="H33" i="177"/>
  <c r="H32" i="177"/>
  <c r="H27" i="177"/>
  <c r="H25" i="177"/>
  <c r="H24" i="177"/>
  <c r="H23" i="177"/>
  <c r="H22" i="177"/>
  <c r="H17" i="177"/>
  <c r="H16" i="177"/>
  <c r="H15" i="177"/>
  <c r="H7" i="177"/>
  <c r="H13" i="177"/>
  <c r="H12" i="177"/>
  <c r="H11" i="177"/>
  <c r="H10" i="177"/>
  <c r="H9" i="177"/>
  <c r="H8" i="177"/>
  <c r="H285" i="324"/>
  <c r="H284" i="324"/>
  <c r="H283" i="324"/>
  <c r="H282" i="324"/>
  <c r="H281" i="324"/>
  <c r="H280" i="324"/>
  <c r="H279" i="324"/>
  <c r="H278" i="324"/>
  <c r="H277" i="324"/>
  <c r="H276" i="324"/>
  <c r="H274" i="324"/>
  <c r="H273" i="324"/>
  <c r="H272" i="324"/>
  <c r="H271" i="324"/>
  <c r="H270" i="324"/>
  <c r="H269" i="324"/>
  <c r="H268" i="324"/>
  <c r="H267" i="324"/>
  <c r="H266" i="324"/>
  <c r="H265" i="324"/>
  <c r="H263" i="324"/>
  <c r="H262" i="324"/>
  <c r="H261" i="324"/>
  <c r="H260" i="324"/>
  <c r="H259" i="324"/>
  <c r="H258" i="324"/>
  <c r="H257" i="324"/>
  <c r="H256" i="324"/>
  <c r="H255" i="324"/>
  <c r="H254"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9" i="324"/>
  <c r="H218" i="324"/>
  <c r="H217" i="324"/>
  <c r="H216" i="324"/>
  <c r="H215" i="324"/>
  <c r="H214" i="324"/>
  <c r="H213" i="324"/>
  <c r="H212" i="324"/>
  <c r="H211" i="324"/>
  <c r="H210" i="324"/>
  <c r="H205" i="324"/>
  <c r="H204" i="324"/>
  <c r="H203" i="324"/>
  <c r="H202" i="324"/>
  <c r="H200" i="324"/>
  <c r="H199" i="324"/>
  <c r="H201" i="324"/>
  <c r="H71" i="268"/>
  <c r="H66" i="268"/>
  <c r="H61" i="268"/>
  <c r="H60" i="268"/>
  <c r="H59" i="268"/>
  <c r="H58" i="268"/>
  <c r="H55" i="268"/>
  <c r="H54" i="268"/>
  <c r="H293" i="323"/>
  <c r="H292" i="323"/>
  <c r="H291" i="323"/>
  <c r="H290" i="323"/>
  <c r="H289" i="323"/>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26" i="323"/>
  <c r="H125" i="323"/>
  <c r="H124" i="323"/>
  <c r="H123" i="323"/>
  <c r="H122" i="323"/>
  <c r="H121" i="323"/>
  <c r="H120" i="323"/>
  <c r="H119" i="323"/>
  <c r="H118" i="323"/>
  <c r="H117" i="323"/>
  <c r="H115" i="323"/>
  <c r="H114" i="323"/>
  <c r="H113" i="323"/>
  <c r="H112" i="323"/>
  <c r="H111" i="323"/>
  <c r="H110" i="323"/>
  <c r="H109" i="323"/>
  <c r="H108" i="323"/>
  <c r="H107" i="323"/>
  <c r="H106"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27" i="323"/>
  <c r="H26" i="323"/>
  <c r="H25" i="323"/>
  <c r="H24" i="323"/>
  <c r="H23" i="323"/>
  <c r="H22" i="323"/>
  <c r="H21" i="323"/>
  <c r="H20" i="323"/>
  <c r="H19" i="323"/>
  <c r="H18" i="323"/>
  <c r="H8" i="323"/>
  <c r="H9" i="323"/>
  <c r="H10" i="323"/>
  <c r="H11" i="323"/>
  <c r="H12" i="323"/>
  <c r="H13" i="323"/>
  <c r="H14" i="323"/>
  <c r="H15" i="323"/>
  <c r="H16" i="323"/>
  <c r="H7" i="323"/>
  <c r="H39" i="182"/>
  <c r="H26" i="182"/>
  <c r="H27" i="182"/>
  <c r="H28" i="182"/>
  <c r="H29" i="182"/>
  <c r="H30" i="182"/>
  <c r="H31" i="182"/>
  <c r="H32" i="182"/>
  <c r="H33" i="182"/>
  <c r="H34" i="182"/>
  <c r="H25" i="182"/>
  <c r="H7" i="182"/>
  <c r="H8" i="182"/>
  <c r="H9" i="182"/>
  <c r="H10" i="182"/>
  <c r="H11" i="182"/>
  <c r="H12" i="182"/>
  <c r="H13" i="182"/>
  <c r="H14" i="182"/>
  <c r="H15" i="182"/>
  <c r="H16" i="182"/>
  <c r="H17" i="182"/>
  <c r="H18" i="182"/>
  <c r="H19" i="182"/>
  <c r="H20" i="182"/>
  <c r="H21" i="182"/>
  <c r="H6" i="182"/>
  <c r="H241"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69" i="330"/>
  <c r="H68" i="330"/>
  <c r="H67"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4" i="330"/>
  <c r="H23" i="330"/>
  <c r="H22" i="330"/>
  <c r="H21" i="330"/>
  <c r="H20" i="330"/>
  <c r="H19" i="330"/>
  <c r="H18" i="330"/>
  <c r="H17" i="330"/>
  <c r="H16" i="330"/>
  <c r="H15" i="330"/>
  <c r="H14" i="330"/>
  <c r="H13" i="330"/>
  <c r="H12" i="330"/>
  <c r="H11" i="330"/>
  <c r="H8" i="330"/>
  <c r="H49" i="317"/>
  <c r="F33" i="178" l="1"/>
  <c r="G39" i="182"/>
  <c r="F39" i="182"/>
  <c r="G19" i="182"/>
  <c r="F19" i="182"/>
  <c r="F63" i="330" l="1"/>
  <c r="G63" i="330"/>
  <c r="H7" i="318" l="1"/>
  <c r="H8" i="318"/>
  <c r="H9" i="318"/>
  <c r="H10" i="318"/>
  <c r="H11" i="318"/>
  <c r="H13" i="318"/>
  <c r="H20" i="318"/>
  <c r="H21" i="318"/>
  <c r="H22" i="318"/>
  <c r="H23" i="318"/>
  <c r="H24" i="318"/>
  <c r="H25" i="318"/>
  <c r="H26" i="318"/>
  <c r="H18" i="318"/>
  <c r="H19" i="318"/>
  <c r="H45" i="318"/>
  <c r="H35" i="318"/>
  <c r="H36" i="318"/>
  <c r="H37" i="318"/>
  <c r="H38" i="318"/>
  <c r="H39" i="318"/>
  <c r="H40" i="318"/>
  <c r="H41" i="318"/>
  <c r="H42" i="318"/>
  <c r="H43" i="318"/>
  <c r="H44" i="318"/>
  <c r="H34" i="318"/>
  <c r="F43" i="269" l="1"/>
  <c r="G43" i="269"/>
  <c r="H37" i="269" l="1"/>
  <c r="H38" i="269"/>
  <c r="H39" i="269"/>
  <c r="H40" i="269"/>
  <c r="H41" i="269"/>
  <c r="H42" i="269"/>
  <c r="H11" i="269"/>
  <c r="H12" i="269"/>
  <c r="H13" i="269"/>
  <c r="H14" i="269"/>
  <c r="H15" i="269"/>
  <c r="H16" i="269"/>
  <c r="H17" i="269"/>
  <c r="H18" i="269"/>
  <c r="H10" i="269"/>
  <c r="H9" i="269"/>
  <c r="H44" i="270"/>
  <c r="H45" i="270"/>
  <c r="H46" i="270"/>
  <c r="H47" i="270"/>
  <c r="H48" i="270"/>
  <c r="H43" i="270"/>
  <c r="H10" i="270"/>
  <c r="H11" i="270"/>
  <c r="H12" i="270"/>
  <c r="H13" i="270"/>
  <c r="H14" i="270"/>
  <c r="H15" i="270"/>
  <c r="H16" i="270"/>
  <c r="H17" i="270"/>
  <c r="H18" i="270"/>
  <c r="H9" i="270"/>
  <c r="C36" i="251" l="1"/>
  <c r="C45" i="251"/>
  <c r="C35" i="251"/>
  <c r="B45" i="251"/>
  <c r="B36" i="251"/>
  <c r="B37" i="251"/>
  <c r="B38" i="251"/>
  <c r="B39" i="251"/>
  <c r="B40" i="251"/>
  <c r="B41" i="251"/>
  <c r="B42" i="251"/>
  <c r="B43" i="251"/>
  <c r="B44" i="251"/>
  <c r="B35" i="251"/>
  <c r="B24" i="251"/>
  <c r="B25" i="251"/>
  <c r="B26" i="251"/>
  <c r="B27" i="251"/>
  <c r="B28" i="251"/>
  <c r="B29" i="251"/>
  <c r="B30" i="251"/>
  <c r="B31" i="251"/>
  <c r="B32" i="251"/>
  <c r="B33" i="251"/>
  <c r="B23" i="251"/>
  <c r="B7" i="251"/>
  <c r="B8" i="251"/>
  <c r="B9" i="251"/>
  <c r="B10" i="251"/>
  <c r="B11" i="251"/>
  <c r="B12" i="251"/>
  <c r="B13" i="251"/>
  <c r="B14" i="251"/>
  <c r="B15" i="251"/>
  <c r="B16" i="251"/>
  <c r="B17" i="251"/>
  <c r="B18" i="251"/>
  <c r="B19" i="251"/>
  <c r="B20" i="251"/>
  <c r="B6" i="251"/>
  <c r="K9" i="177" l="1"/>
  <c r="K27" i="177"/>
  <c r="K184" i="324"/>
  <c r="K202" i="324"/>
  <c r="K229" i="324"/>
  <c r="K252" i="324"/>
  <c r="K255" i="324"/>
  <c r="K277" i="324"/>
  <c r="K276" i="324"/>
  <c r="K35" i="335"/>
  <c r="K9" i="335"/>
  <c r="H119" i="242"/>
  <c r="H9" i="242"/>
  <c r="D77" i="325" l="1"/>
  <c r="H98" i="326" l="1"/>
  <c r="H119" i="335" l="1"/>
  <c r="H113" i="335"/>
  <c r="H101" i="335"/>
  <c r="H89" i="335"/>
  <c r="H77" i="335"/>
  <c r="H73" i="335"/>
  <c r="H47" i="335"/>
  <c r="H41" i="335"/>
  <c r="H35" i="335"/>
  <c r="H21" i="335"/>
  <c r="H9" i="335"/>
  <c r="H158" i="333"/>
  <c r="H155" i="333"/>
  <c r="H152" i="333"/>
  <c r="H149" i="333"/>
  <c r="H158" i="325"/>
  <c r="H155" i="325"/>
  <c r="H152" i="325"/>
  <c r="H149" i="325"/>
  <c r="H146" i="325"/>
  <c r="H145" i="325"/>
  <c r="H144" i="325"/>
  <c r="H143" i="325"/>
  <c r="H142" i="325"/>
  <c r="H141" i="325"/>
  <c r="H119" i="325"/>
  <c r="H102" i="325"/>
  <c r="H101" i="325"/>
  <c r="H100" i="325"/>
  <c r="H98" i="325"/>
  <c r="H97" i="325"/>
  <c r="H96" i="325"/>
  <c r="H95" i="325"/>
  <c r="H94" i="325"/>
  <c r="H93" i="325"/>
  <c r="H92" i="325"/>
  <c r="H91" i="325"/>
  <c r="H90" i="325"/>
  <c r="H89" i="325"/>
  <c r="H88" i="325"/>
  <c r="H87" i="325"/>
  <c r="H86" i="325"/>
  <c r="H85" i="325"/>
  <c r="H84" i="325"/>
  <c r="H83" i="325"/>
  <c r="H82" i="325"/>
  <c r="H81" i="325"/>
  <c r="H80" i="325"/>
  <c r="H79" i="325"/>
  <c r="H78" i="325"/>
  <c r="H77" i="325"/>
  <c r="H52" i="325"/>
  <c r="H51" i="325"/>
  <c r="H50" i="325"/>
  <c r="H49" i="325"/>
  <c r="H48" i="325"/>
  <c r="H47" i="325"/>
  <c r="H46" i="325"/>
  <c r="H44" i="325"/>
  <c r="H43" i="325"/>
  <c r="H42" i="325"/>
  <c r="H41" i="325"/>
  <c r="H40" i="325"/>
  <c r="H39" i="325"/>
  <c r="H37" i="325"/>
  <c r="H36" i="325"/>
  <c r="H35" i="325"/>
  <c r="H34" i="325"/>
  <c r="H33" i="325"/>
  <c r="H32" i="325"/>
  <c r="H31" i="325"/>
  <c r="H30" i="325"/>
  <c r="H29" i="325"/>
  <c r="H28" i="325"/>
  <c r="H26" i="325"/>
  <c r="H25" i="325"/>
  <c r="H24" i="325"/>
  <c r="H23" i="325"/>
  <c r="H22" i="325"/>
  <c r="H21" i="325"/>
  <c r="H20" i="325"/>
  <c r="H19" i="325"/>
  <c r="H18" i="325"/>
  <c r="H12" i="325"/>
  <c r="H11" i="325"/>
  <c r="H10" i="325"/>
  <c r="H9" i="325"/>
  <c r="H119" i="326"/>
  <c r="H108" i="326"/>
  <c r="H100" i="326"/>
  <c r="H41" i="326"/>
  <c r="H21" i="326"/>
  <c r="H9" i="326"/>
  <c r="H155" i="242"/>
  <c r="H152" i="242"/>
  <c r="H149" i="242"/>
  <c r="H144" i="242"/>
  <c r="H106" i="242"/>
  <c r="H101" i="242"/>
  <c r="H98" i="242"/>
  <c r="H97" i="242"/>
  <c r="H96" i="242"/>
  <c r="H95" i="242"/>
  <c r="H94" i="242"/>
  <c r="H93" i="242"/>
  <c r="H92" i="242"/>
  <c r="H91" i="242"/>
  <c r="H90" i="242"/>
  <c r="H89" i="242"/>
  <c r="H88" i="242"/>
  <c r="H87" i="242"/>
  <c r="H86" i="242"/>
  <c r="H85" i="242"/>
  <c r="H84" i="242"/>
  <c r="H83" i="242"/>
  <c r="H82" i="242"/>
  <c r="H81" i="242"/>
  <c r="H80" i="242"/>
  <c r="H79" i="242"/>
  <c r="H78" i="242"/>
  <c r="H77" i="242"/>
  <c r="H73" i="242"/>
  <c r="H52" i="242"/>
  <c r="H51" i="242"/>
  <c r="H50" i="242"/>
  <c r="H49" i="242"/>
  <c r="H48" i="242"/>
  <c r="H47" i="242"/>
  <c r="H46" i="242"/>
  <c r="H44" i="242"/>
  <c r="H43" i="242"/>
  <c r="H42" i="242"/>
  <c r="H41" i="242"/>
  <c r="H40" i="242"/>
  <c r="H39" i="242"/>
  <c r="H35" i="242"/>
  <c r="H20" i="242"/>
  <c r="H66" i="318"/>
  <c r="H65" i="318"/>
  <c r="H64" i="318"/>
  <c r="H63" i="318"/>
  <c r="H62" i="318"/>
  <c r="H61" i="318"/>
  <c r="H60" i="318"/>
  <c r="H59" i="318"/>
  <c r="H58" i="318"/>
  <c r="H57" i="318"/>
  <c r="H56" i="318"/>
  <c r="H55" i="318"/>
  <c r="H54" i="318"/>
  <c r="H29" i="318"/>
  <c r="H28" i="318"/>
  <c r="H27" i="318"/>
  <c r="H12" i="318"/>
  <c r="H36" i="269"/>
  <c r="H19" i="269"/>
  <c r="H51" i="270"/>
  <c r="H50" i="270"/>
  <c r="H49" i="270"/>
  <c r="H42" i="270"/>
  <c r="H19" i="270"/>
  <c r="H208" i="324"/>
  <c r="H207" i="324"/>
  <c r="H206" i="324"/>
  <c r="H184" i="324"/>
  <c r="H41" i="182"/>
  <c r="H40" i="182"/>
  <c r="H35" i="182"/>
  <c r="H294" i="323"/>
  <c r="H217" i="323"/>
  <c r="G101" i="242" l="1"/>
  <c r="G41" i="242"/>
  <c r="G41" i="326"/>
  <c r="G9" i="335"/>
  <c r="G41" i="335"/>
  <c r="H98" i="335" l="1"/>
  <c r="H97" i="335"/>
  <c r="H96" i="335"/>
  <c r="H95" i="335"/>
  <c r="H94" i="335"/>
  <c r="H93" i="335"/>
  <c r="H92" i="335"/>
  <c r="H91" i="335"/>
  <c r="H90" i="335"/>
  <c r="H88" i="335"/>
  <c r="H87" i="335"/>
  <c r="H86" i="335"/>
  <c r="H85" i="335"/>
  <c r="H84" i="335"/>
  <c r="H83" i="335"/>
  <c r="H82" i="335"/>
  <c r="H81" i="335"/>
  <c r="H80" i="335"/>
  <c r="H79" i="335"/>
  <c r="H78" i="335"/>
  <c r="H70" i="335"/>
  <c r="H51" i="335"/>
  <c r="H50" i="335"/>
  <c r="H49" i="335"/>
  <c r="H48" i="335"/>
  <c r="H46" i="335"/>
  <c r="H44" i="335"/>
  <c r="H43" i="335"/>
  <c r="H42" i="335"/>
  <c r="H40" i="335"/>
  <c r="H39" i="335"/>
  <c r="E35" i="269" l="1"/>
  <c r="E41" i="270"/>
  <c r="C41" i="270"/>
  <c r="D41" i="270"/>
  <c r="E240" i="323"/>
  <c r="H132" i="333" l="1"/>
  <c r="H131" i="333"/>
  <c r="H129" i="333"/>
  <c r="H128" i="333"/>
  <c r="H127" i="333"/>
  <c r="H126" i="333"/>
  <c r="H125" i="333"/>
  <c r="H124" i="333"/>
  <c r="H123" i="333"/>
  <c r="H122" i="333"/>
  <c r="H121" i="333"/>
  <c r="H120" i="333"/>
  <c r="H119" i="333"/>
  <c r="H102" i="333"/>
  <c r="H101" i="333"/>
  <c r="H100" i="333"/>
  <c r="H98"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47" i="333"/>
  <c r="H46" i="333"/>
  <c r="H43" i="333"/>
  <c r="H42" i="333"/>
  <c r="H41" i="333"/>
  <c r="H40" i="333"/>
  <c r="H39" i="333"/>
  <c r="H36" i="333"/>
  <c r="H35" i="333"/>
  <c r="H34" i="333"/>
  <c r="H33" i="333"/>
  <c r="H32" i="333"/>
  <c r="H31" i="333"/>
  <c r="H30" i="333"/>
  <c r="H29" i="333"/>
  <c r="H28" i="333"/>
  <c r="H25" i="333"/>
  <c r="H24" i="333"/>
  <c r="H23" i="333"/>
  <c r="H22" i="333"/>
  <c r="H21" i="333"/>
  <c r="H20" i="333"/>
  <c r="H19" i="333"/>
  <c r="H15" i="333"/>
  <c r="H11" i="333"/>
  <c r="H10" i="333"/>
  <c r="H9" i="333"/>
  <c r="H20" i="181" l="1"/>
  <c r="H19" i="181"/>
  <c r="H18" i="181"/>
  <c r="H17" i="181"/>
  <c r="H16" i="181"/>
  <c r="H15" i="181"/>
  <c r="H14" i="181"/>
  <c r="H13" i="181"/>
  <c r="H12" i="181"/>
  <c r="H11" i="181"/>
  <c r="H10" i="181"/>
  <c r="H9" i="181"/>
  <c r="H8" i="181"/>
  <c r="H7" i="181"/>
  <c r="H6" i="181"/>
  <c r="G20" i="242" l="1"/>
  <c r="G9" i="242"/>
  <c r="C15" i="177" l="1"/>
  <c r="E49" i="269" l="1"/>
  <c r="F10" i="333" l="1"/>
  <c r="H48" i="333" l="1"/>
  <c r="H49" i="333"/>
  <c r="H50" i="333"/>
  <c r="H51" i="333"/>
  <c r="H52" i="333"/>
  <c r="H44" i="333"/>
  <c r="H37" i="333"/>
  <c r="H26" i="333"/>
  <c r="H12" i="333"/>
  <c r="G9" i="333"/>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E69" i="270" l="1"/>
  <c r="I38" i="270"/>
  <c r="G8" i="269"/>
  <c r="F8" i="269"/>
  <c r="K41" i="270"/>
  <c r="J41" i="270"/>
  <c r="I41" i="270"/>
  <c r="I69" i="270" s="1"/>
  <c r="G41" i="270"/>
  <c r="G69" i="270" s="1"/>
  <c r="F41" i="270"/>
  <c r="D69" i="270"/>
  <c r="D71" i="270" s="1"/>
  <c r="C69" i="270"/>
  <c r="K8" i="270"/>
  <c r="K38" i="270" s="1"/>
  <c r="J8" i="270"/>
  <c r="I8" i="270"/>
  <c r="G8" i="270"/>
  <c r="G38" i="270" s="1"/>
  <c r="F8" i="270"/>
  <c r="D8" i="270"/>
  <c r="D38" i="270" s="1"/>
  <c r="E8" i="270"/>
  <c r="E38" i="270" s="1"/>
  <c r="E71" i="270" s="1"/>
  <c r="C8" i="270"/>
  <c r="C38" i="270" s="1"/>
  <c r="D203" i="324"/>
  <c r="F69" i="270" l="1"/>
  <c r="F38" i="270"/>
  <c r="C71" i="270"/>
  <c r="G71" i="270"/>
  <c r="F71" i="270" l="1"/>
  <c r="H19" i="183"/>
  <c r="H15" i="183"/>
  <c r="H14" i="183"/>
  <c r="H13" i="183"/>
  <c r="H6" i="183"/>
  <c r="H41" i="181"/>
  <c r="H40" i="181"/>
  <c r="H39" i="181"/>
  <c r="H35" i="181"/>
  <c r="H34" i="181"/>
  <c r="H33" i="181"/>
  <c r="H32" i="181"/>
  <c r="H31" i="181"/>
  <c r="H30" i="181"/>
  <c r="H29" i="181"/>
  <c r="H28" i="181"/>
  <c r="H27" i="181"/>
  <c r="H26" i="181"/>
  <c r="H25" i="181"/>
  <c r="H21" i="181"/>
  <c r="H41" i="270" l="1"/>
  <c r="H69" i="270" s="1"/>
  <c r="H8" i="270"/>
  <c r="H38" i="270" s="1"/>
  <c r="H146" i="242"/>
  <c r="H145" i="242"/>
  <c r="H143" i="242"/>
  <c r="H142" i="242"/>
  <c r="H141" i="242"/>
  <c r="H102" i="242"/>
  <c r="H100" i="242"/>
  <c r="H37" i="242"/>
  <c r="H36" i="242"/>
  <c r="H34" i="242"/>
  <c r="H33" i="242"/>
  <c r="H32" i="242"/>
  <c r="H31" i="242"/>
  <c r="H30" i="242"/>
  <c r="H29" i="242"/>
  <c r="H28" i="242"/>
  <c r="H26" i="242"/>
  <c r="H25" i="242"/>
  <c r="H24" i="242"/>
  <c r="H23" i="242"/>
  <c r="H22" i="242"/>
  <c r="H21" i="242"/>
  <c r="H19" i="242"/>
  <c r="H18" i="242"/>
  <c r="H71" i="270" l="1"/>
  <c r="G149" i="333"/>
  <c r="C20" i="178" l="1"/>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H18" i="333"/>
  <c r="H16" i="333"/>
  <c r="G15" i="333"/>
  <c r="H14" i="333"/>
  <c r="G11" i="333"/>
  <c r="G10" i="333"/>
  <c r="K73" i="335"/>
  <c r="K101" i="335"/>
  <c r="K113" i="335"/>
  <c r="K119" i="335"/>
  <c r="K21" i="335"/>
  <c r="K41" i="335"/>
  <c r="F9" i="333"/>
  <c r="F11" i="333"/>
  <c r="H158" i="242" l="1"/>
  <c r="K29" i="318" l="1"/>
  <c r="K28" i="318"/>
  <c r="K13" i="318"/>
  <c r="K12" i="318"/>
  <c r="K11" i="318"/>
  <c r="K10" i="318"/>
  <c r="K9" i="318"/>
  <c r="K8" i="318"/>
  <c r="K7" i="318"/>
  <c r="D19" i="269" l="1"/>
  <c r="C19" i="269"/>
  <c r="D18" i="269"/>
  <c r="C18" i="269"/>
  <c r="D17" i="269"/>
  <c r="C17" i="269"/>
  <c r="D16" i="269"/>
  <c r="C16" i="269"/>
  <c r="D15" i="269"/>
  <c r="C15" i="269"/>
  <c r="D14" i="269"/>
  <c r="C14" i="269"/>
  <c r="D13" i="269"/>
  <c r="C13" i="269"/>
  <c r="D12" i="269"/>
  <c r="C12" i="269"/>
  <c r="D11" i="269"/>
  <c r="C11" i="269"/>
  <c r="D10" i="269"/>
  <c r="C10" i="269"/>
  <c r="D9" i="269"/>
  <c r="C9" i="269"/>
  <c r="H8" i="269" l="1"/>
  <c r="H26" i="330"/>
  <c r="H9"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C63" i="330"/>
  <c r="D63" i="330"/>
  <c r="E63" i="330"/>
  <c r="K36" i="177"/>
  <c r="K34" i="177"/>
  <c r="K33" i="177"/>
  <c r="K32" i="177"/>
  <c r="K25" i="177"/>
  <c r="K24" i="177"/>
  <c r="K23" i="177"/>
  <c r="K22" i="177"/>
  <c r="K17" i="177"/>
  <c r="K16" i="177"/>
  <c r="K15" i="177"/>
  <c r="K12" i="177"/>
  <c r="K11" i="177"/>
  <c r="K10" i="177"/>
  <c r="K8" i="177"/>
  <c r="K7" i="177"/>
  <c r="K285" i="324"/>
  <c r="K284" i="324"/>
  <c r="K283" i="324"/>
  <c r="K282" i="324"/>
  <c r="K281" i="324"/>
  <c r="K280" i="324"/>
  <c r="K279" i="324"/>
  <c r="K278" i="324"/>
  <c r="K274" i="324"/>
  <c r="K273" i="324"/>
  <c r="K272" i="324"/>
  <c r="K271" i="324"/>
  <c r="K270" i="324"/>
  <c r="K269" i="324"/>
  <c r="K268" i="324"/>
  <c r="K267" i="324"/>
  <c r="K266" i="324"/>
  <c r="K265" i="324"/>
  <c r="K263" i="324"/>
  <c r="K262" i="324"/>
  <c r="K261" i="324"/>
  <c r="K260" i="324"/>
  <c r="K259" i="324"/>
  <c r="K258" i="324"/>
  <c r="K257" i="324"/>
  <c r="K256" i="324"/>
  <c r="K254" i="324"/>
  <c r="K251" i="324"/>
  <c r="K250" i="324"/>
  <c r="K249" i="324"/>
  <c r="K248" i="324"/>
  <c r="K247" i="324"/>
  <c r="K246" i="324"/>
  <c r="K245" i="324"/>
  <c r="K243" i="324"/>
  <c r="K241" i="324"/>
  <c r="K240" i="324"/>
  <c r="K239" i="324"/>
  <c r="K238" i="324"/>
  <c r="K237" i="324"/>
  <c r="K236" i="324"/>
  <c r="K235" i="324"/>
  <c r="K234" i="324"/>
  <c r="K233" i="324"/>
  <c r="K232" i="324"/>
  <c r="K230"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1" i="324"/>
  <c r="K200" i="324"/>
  <c r="K199" i="324"/>
  <c r="K197" i="324"/>
  <c r="K196" i="324"/>
  <c r="K195" i="324"/>
  <c r="K194" i="324"/>
  <c r="K193" i="324"/>
  <c r="K192" i="324"/>
  <c r="K191" i="324"/>
  <c r="K190" i="324"/>
  <c r="K189" i="324"/>
  <c r="K188" i="324"/>
  <c r="K186" i="324"/>
  <c r="K185" i="324"/>
  <c r="K183" i="324"/>
  <c r="K182" i="324"/>
  <c r="K181" i="324"/>
  <c r="K180" i="324"/>
  <c r="K179" i="324"/>
  <c r="K178" i="324"/>
  <c r="K177" i="324"/>
  <c r="K46" i="268"/>
  <c r="K44" i="268"/>
  <c r="K52" i="268"/>
  <c r="K51" i="268"/>
  <c r="K56" i="268"/>
  <c r="K62" i="268"/>
  <c r="K69" i="268"/>
  <c r="K68" i="268"/>
  <c r="K67" i="268"/>
  <c r="K66" i="268"/>
  <c r="K72" i="268"/>
  <c r="K71"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I6" i="238" l="1"/>
  <c r="H149" i="335" l="1"/>
  <c r="H133" i="333"/>
  <c r="H129" i="325"/>
  <c r="H104" i="325"/>
  <c r="H14" i="325"/>
  <c r="H102" i="326"/>
  <c r="H79" i="326"/>
  <c r="H73" i="326"/>
  <c r="H34" i="326"/>
  <c r="H108" i="242"/>
  <c r="K73" i="326" l="1"/>
  <c r="K34" i="326"/>
  <c r="K231" i="330" l="1"/>
  <c r="K226" i="330"/>
  <c r="K221" i="330"/>
  <c r="K214" i="330"/>
  <c r="K116" i="330"/>
  <c r="K158" i="325"/>
  <c r="K155" i="325"/>
  <c r="K152" i="325"/>
  <c r="K144" i="325"/>
  <c r="K129" i="325"/>
  <c r="K119" i="325"/>
  <c r="K104" i="325"/>
  <c r="K100" i="325"/>
  <c r="K41" i="325"/>
  <c r="K40" i="325"/>
  <c r="K39" i="325"/>
  <c r="K37" i="325"/>
  <c r="K36" i="325"/>
  <c r="K35" i="325"/>
  <c r="K34" i="325"/>
  <c r="K33" i="325"/>
  <c r="K32" i="325"/>
  <c r="K31" i="325"/>
  <c r="K30" i="325"/>
  <c r="K26" i="325"/>
  <c r="K14" i="325"/>
  <c r="K158" i="242"/>
  <c r="K108" i="242"/>
  <c r="K51" i="242"/>
  <c r="K18" i="242"/>
  <c r="K40" i="181"/>
  <c r="K21" i="269" l="1"/>
  <c r="K28" i="269"/>
  <c r="K27" i="269"/>
  <c r="H77" i="318" l="1"/>
  <c r="H76" i="318"/>
  <c r="H75" i="318"/>
  <c r="H74" i="318"/>
  <c r="H73" i="318"/>
  <c r="H72" i="318"/>
  <c r="E209" i="324" l="1"/>
  <c r="E198" i="324" l="1"/>
  <c r="F198" i="324"/>
  <c r="G198" i="324"/>
  <c r="E275" i="324"/>
  <c r="E8" i="269"/>
  <c r="H128" i="325" l="1"/>
  <c r="H127" i="325"/>
  <c r="H126" i="325"/>
  <c r="H125" i="325"/>
  <c r="H124" i="325"/>
  <c r="H123" i="325"/>
  <c r="H122" i="325"/>
  <c r="H121" i="325"/>
  <c r="H120" i="325"/>
  <c r="H82" i="318"/>
  <c r="H81" i="318"/>
  <c r="H80" i="318"/>
  <c r="H79" i="318"/>
  <c r="H78" i="318"/>
  <c r="G28" i="323"/>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5" i="242"/>
  <c r="H104"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I164" i="335"/>
  <c r="J164" i="335" s="1"/>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G138" i="335" s="1"/>
  <c r="F140" i="335"/>
  <c r="F138" i="335" s="1"/>
  <c r="E140" i="335"/>
  <c r="D140" i="335"/>
  <c r="D138" i="335" s="1"/>
  <c r="C140" i="335"/>
  <c r="C138" i="335" s="1"/>
  <c r="I139" i="335"/>
  <c r="J139" i="335" s="1"/>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F117" i="335" s="1"/>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K118" i="335" s="1"/>
  <c r="K117" i="335" s="1"/>
  <c r="H121" i="335"/>
  <c r="K120" i="335"/>
  <c r="H120" i="335"/>
  <c r="I120" i="335" s="1"/>
  <c r="J120" i="335" s="1"/>
  <c r="I119" i="335"/>
  <c r="J119" i="335" s="1"/>
  <c r="G118" i="335"/>
  <c r="F118" i="335"/>
  <c r="E118" i="335"/>
  <c r="D118" i="335"/>
  <c r="D117" i="335" s="1"/>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H108" i="335"/>
  <c r="I108" i="335" s="1"/>
  <c r="J108" i="335" s="1"/>
  <c r="H107" i="335"/>
  <c r="I107" i="335" s="1"/>
  <c r="J107" i="335" s="1"/>
  <c r="I106" i="335"/>
  <c r="J106" i="335" s="1"/>
  <c r="H106" i="335"/>
  <c r="H105" i="335"/>
  <c r="I105" i="335" s="1"/>
  <c r="J105" i="335" s="1"/>
  <c r="H104" i="335"/>
  <c r="I104" i="335" s="1"/>
  <c r="J104" i="335" s="1"/>
  <c r="K103" i="335"/>
  <c r="G103" i="335"/>
  <c r="F103" i="335"/>
  <c r="E103" i="335"/>
  <c r="D103" i="335"/>
  <c r="C103" i="335"/>
  <c r="K102" i="335"/>
  <c r="H102" i="335"/>
  <c r="I102" i="335" s="1"/>
  <c r="J102" i="335" s="1"/>
  <c r="I101" i="335"/>
  <c r="J101" i="335" s="1"/>
  <c r="K100" i="335"/>
  <c r="H100" i="335"/>
  <c r="I100" i="335" s="1"/>
  <c r="J100" i="335" s="1"/>
  <c r="G99" i="335"/>
  <c r="F99" i="335"/>
  <c r="E99" i="335"/>
  <c r="D99" i="335"/>
  <c r="C99" i="335"/>
  <c r="K98" i="335"/>
  <c r="I98" i="335"/>
  <c r="J98" i="335" s="1"/>
  <c r="K97" i="335"/>
  <c r="I97" i="335"/>
  <c r="J97" i="335" s="1"/>
  <c r="K96" i="335"/>
  <c r="I96" i="335"/>
  <c r="J96" i="335" s="1"/>
  <c r="K95" i="335"/>
  <c r="I95" i="335"/>
  <c r="J95" i="335" s="1"/>
  <c r="K94" i="335"/>
  <c r="I94" i="335"/>
  <c r="J94" i="335" s="1"/>
  <c r="K93" i="335"/>
  <c r="I93" i="335"/>
  <c r="J93" i="335" s="1"/>
  <c r="K92" i="335"/>
  <c r="I92" i="335"/>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I51" i="335"/>
  <c r="J51" i="335" s="1"/>
  <c r="I50" i="335"/>
  <c r="J50" i="335" s="1"/>
  <c r="I49" i="335"/>
  <c r="J49" i="335" s="1"/>
  <c r="I48" i="335"/>
  <c r="J48" i="335" s="1"/>
  <c r="I47" i="335"/>
  <c r="J47" i="335" s="1"/>
  <c r="I46" i="335"/>
  <c r="J46" i="335" s="1"/>
  <c r="K45" i="335"/>
  <c r="G45" i="335"/>
  <c r="F45" i="335"/>
  <c r="E45" i="335"/>
  <c r="D45" i="335"/>
  <c r="C45" i="335"/>
  <c r="I44" i="335"/>
  <c r="J44" i="335" s="1"/>
  <c r="I43" i="335"/>
  <c r="J43" i="335" s="1"/>
  <c r="I42" i="335"/>
  <c r="J42" i="335" s="1"/>
  <c r="I41" i="335"/>
  <c r="J41" i="335" s="1"/>
  <c r="I40" i="335"/>
  <c r="J40" i="335" s="1"/>
  <c r="I39" i="335"/>
  <c r="J39" i="335" s="1"/>
  <c r="K38" i="335"/>
  <c r="G38" i="335"/>
  <c r="F38" i="335"/>
  <c r="E38" i="335"/>
  <c r="D38" i="335"/>
  <c r="C38" i="335"/>
  <c r="H37" i="335"/>
  <c r="I37" i="335" s="1"/>
  <c r="J37" i="335" s="1"/>
  <c r="H36" i="335"/>
  <c r="I36" i="335" s="1"/>
  <c r="J36" i="335" s="1"/>
  <c r="I35" i="335"/>
  <c r="J35" i="335" s="1"/>
  <c r="H34" i="335"/>
  <c r="I34" i="335" s="1"/>
  <c r="J34" i="335" s="1"/>
  <c r="H33" i="335"/>
  <c r="I33" i="335" s="1"/>
  <c r="J33" i="335" s="1"/>
  <c r="H32" i="335"/>
  <c r="I32" i="335" s="1"/>
  <c r="J32" i="335" s="1"/>
  <c r="H31" i="335"/>
  <c r="I31" i="335" s="1"/>
  <c r="J31" i="335" s="1"/>
  <c r="H30" i="335"/>
  <c r="I30" i="335" s="1"/>
  <c r="J30" i="335" s="1"/>
  <c r="H29" i="335"/>
  <c r="I29" i="335" s="1"/>
  <c r="J29" i="335" s="1"/>
  <c r="H28" i="335"/>
  <c r="I28" i="335" s="1"/>
  <c r="J28" i="335" s="1"/>
  <c r="K27" i="335"/>
  <c r="G27" i="335"/>
  <c r="F27" i="335"/>
  <c r="E27" i="335"/>
  <c r="D27" i="335"/>
  <c r="C27" i="335"/>
  <c r="H26" i="335"/>
  <c r="I26" i="335" s="1"/>
  <c r="J26" i="335" s="1"/>
  <c r="H25" i="335"/>
  <c r="I25" i="335" s="1"/>
  <c r="J25" i="335" s="1"/>
  <c r="H24" i="335"/>
  <c r="I24" i="335" s="1"/>
  <c r="J24" i="335" s="1"/>
  <c r="H23" i="335"/>
  <c r="I23" i="335" s="1"/>
  <c r="J23" i="335" s="1"/>
  <c r="H22" i="335"/>
  <c r="I22" i="335" s="1"/>
  <c r="J22" i="335" s="1"/>
  <c r="I21" i="335"/>
  <c r="J21" i="335" s="1"/>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K133" i="333"/>
  <c r="G133" i="333"/>
  <c r="I133" i="333" s="1"/>
  <c r="J133" i="333" s="1"/>
  <c r="K132" i="333"/>
  <c r="I132" i="333"/>
  <c r="J132" i="333" s="1"/>
  <c r="K131" i="333"/>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I119" i="333"/>
  <c r="J119" i="333" s="1"/>
  <c r="H118" i="333"/>
  <c r="F118" i="333"/>
  <c r="E118" i="333"/>
  <c r="D118" i="333"/>
  <c r="D117" i="333" s="1"/>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I101" i="333"/>
  <c r="J101" i="333" s="1"/>
  <c r="K100" i="333"/>
  <c r="I100" i="333"/>
  <c r="J100" i="333" s="1"/>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I77" i="333"/>
  <c r="J77" i="333" s="1"/>
  <c r="H76" i="333"/>
  <c r="F76" i="333"/>
  <c r="E76" i="333"/>
  <c r="D76" i="333"/>
  <c r="C76" i="333"/>
  <c r="J74" i="333"/>
  <c r="K73" i="333"/>
  <c r="I73" i="333"/>
  <c r="J73" i="333" s="1"/>
  <c r="K72" i="333"/>
  <c r="I72" i="333"/>
  <c r="J72" i="333" s="1"/>
  <c r="K71" i="333"/>
  <c r="I71" i="333"/>
  <c r="J71" i="333" s="1"/>
  <c r="K70" i="333"/>
  <c r="I70" i="333"/>
  <c r="J70" i="333" s="1"/>
  <c r="H69" i="333"/>
  <c r="F69" i="333"/>
  <c r="E69" i="333"/>
  <c r="D69" i="333"/>
  <c r="C69" i="333"/>
  <c r="I68" i="333"/>
  <c r="J68" i="333" s="1"/>
  <c r="I67" i="333"/>
  <c r="J67" i="333" s="1"/>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G49" i="333"/>
  <c r="I49" i="333" s="1"/>
  <c r="J49" i="333" s="1"/>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G18" i="333"/>
  <c r="H17" i="333"/>
  <c r="F17" i="333"/>
  <c r="E17" i="333"/>
  <c r="D17" i="333"/>
  <c r="C17" i="333"/>
  <c r="K16" i="333"/>
  <c r="G16" i="333"/>
  <c r="I16" i="333" s="1"/>
  <c r="J16" i="333" s="1"/>
  <c r="K15" i="333"/>
  <c r="I15" i="333"/>
  <c r="J15" i="333" s="1"/>
  <c r="K14" i="333"/>
  <c r="G14" i="333"/>
  <c r="I14" i="333" s="1"/>
  <c r="J14" i="333" s="1"/>
  <c r="H13" i="333"/>
  <c r="F13" i="333"/>
  <c r="E13" i="333"/>
  <c r="D13" i="333"/>
  <c r="C13" i="333"/>
  <c r="K12" i="333"/>
  <c r="G12" i="333"/>
  <c r="I12" i="333" s="1"/>
  <c r="J12" i="333" s="1"/>
  <c r="K11" i="333"/>
  <c r="I11" i="333"/>
  <c r="J11" i="333" s="1"/>
  <c r="K10" i="333"/>
  <c r="I10" i="333"/>
  <c r="J10" i="333" s="1"/>
  <c r="K9" i="333"/>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I146" i="325"/>
  <c r="J146" i="325" s="1"/>
  <c r="K145" i="325"/>
  <c r="I145" i="325"/>
  <c r="J145" i="325" s="1"/>
  <c r="I144" i="325"/>
  <c r="J144" i="325" s="1"/>
  <c r="K143" i="325"/>
  <c r="I143" i="325"/>
  <c r="J143" i="325" s="1"/>
  <c r="K142" i="325"/>
  <c r="I142" i="325"/>
  <c r="J142" i="325" s="1"/>
  <c r="K141" i="325"/>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D118" i="325"/>
  <c r="C118" i="325"/>
  <c r="C117" i="325" s="1"/>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K101" i="325"/>
  <c r="I101" i="325"/>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I48" i="325"/>
  <c r="J48" i="325" s="1"/>
  <c r="K47" i="325"/>
  <c r="I47" i="325"/>
  <c r="J47" i="325" s="1"/>
  <c r="K46" i="325"/>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K24" i="325"/>
  <c r="I24" i="325"/>
  <c r="J24" i="325" s="1"/>
  <c r="K23" i="325"/>
  <c r="I23" i="325"/>
  <c r="J23" i="325" s="1"/>
  <c r="K22" i="325"/>
  <c r="I22" i="325"/>
  <c r="J22" i="325" s="1"/>
  <c r="K21" i="325"/>
  <c r="I21" i="325"/>
  <c r="J21" i="325" s="1"/>
  <c r="K20" i="325"/>
  <c r="I20" i="325"/>
  <c r="J20" i="325" s="1"/>
  <c r="K19" i="325"/>
  <c r="I19" i="325"/>
  <c r="J19" i="325" s="1"/>
  <c r="K18" i="325"/>
  <c r="I18" i="325"/>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K3" i="325"/>
  <c r="J3" i="325"/>
  <c r="I3" i="325"/>
  <c r="H3" i="325"/>
  <c r="G3" i="325"/>
  <c r="F3" i="325"/>
  <c r="E3" i="325"/>
  <c r="D3" i="325"/>
  <c r="C3" i="325"/>
  <c r="B2" i="325"/>
  <c r="A2" i="325"/>
  <c r="A168" i="326"/>
  <c r="J165" i="326"/>
  <c r="I164" i="326"/>
  <c r="J164" i="326" s="1"/>
  <c r="K163" i="326"/>
  <c r="H163" i="326"/>
  <c r="G163" i="326"/>
  <c r="F163" i="326"/>
  <c r="E163" i="326"/>
  <c r="D163" i="326"/>
  <c r="C163" i="326"/>
  <c r="I161" i="326"/>
  <c r="J161" i="326" s="1"/>
  <c r="K160" i="326"/>
  <c r="H160" i="326"/>
  <c r="I160" i="326" s="1"/>
  <c r="J160" i="326" s="1"/>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I120" i="326"/>
  <c r="J120" i="326" s="1"/>
  <c r="H120" i="326"/>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K110" i="326" s="1"/>
  <c r="H111" i="326"/>
  <c r="G111" i="326"/>
  <c r="G110" i="326" s="1"/>
  <c r="F111" i="326"/>
  <c r="E111" i="326"/>
  <c r="D111" i="326"/>
  <c r="C111" i="326"/>
  <c r="C110" i="326" s="1"/>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H96" i="326"/>
  <c r="I96" i="326" s="1"/>
  <c r="J96" i="326" s="1"/>
  <c r="H95" i="326"/>
  <c r="I95" i="326" s="1"/>
  <c r="J95" i="326" s="1"/>
  <c r="H94" i="326"/>
  <c r="I94" i="326" s="1"/>
  <c r="J94" i="326" s="1"/>
  <c r="H93" i="326"/>
  <c r="I93" i="326" s="1"/>
  <c r="J93" i="326" s="1"/>
  <c r="H92" i="326"/>
  <c r="I92" i="326" s="1"/>
  <c r="J92" i="326" s="1"/>
  <c r="H91" i="326"/>
  <c r="I91" i="326" s="1"/>
  <c r="J91" i="326" s="1"/>
  <c r="H90" i="326"/>
  <c r="I90" i="326" s="1"/>
  <c r="J90" i="326" s="1"/>
  <c r="H89" i="326"/>
  <c r="I89" i="326" s="1"/>
  <c r="J89" i="326" s="1"/>
  <c r="H88" i="326"/>
  <c r="I88" i="326" s="1"/>
  <c r="J88" i="326" s="1"/>
  <c r="H87" i="326"/>
  <c r="I87" i="326" s="1"/>
  <c r="J87" i="326" s="1"/>
  <c r="I86" i="326"/>
  <c r="J86" i="326" s="1"/>
  <c r="H85" i="326"/>
  <c r="I85" i="326" s="1"/>
  <c r="J85" i="326" s="1"/>
  <c r="H84" i="326"/>
  <c r="I84" i="326" s="1"/>
  <c r="J84" i="326" s="1"/>
  <c r="H83" i="326"/>
  <c r="I83" i="326" s="1"/>
  <c r="J83" i="326" s="1"/>
  <c r="H82" i="326"/>
  <c r="I82" i="326" s="1"/>
  <c r="J82" i="326" s="1"/>
  <c r="H81" i="326"/>
  <c r="I81" i="326" s="1"/>
  <c r="J81" i="326" s="1"/>
  <c r="H80" i="326"/>
  <c r="I80" i="326" s="1"/>
  <c r="J80" i="326" s="1"/>
  <c r="I79" i="326"/>
  <c r="J79" i="326" s="1"/>
  <c r="H78" i="326"/>
  <c r="I78" i="326" s="1"/>
  <c r="J78" i="326" s="1"/>
  <c r="I77" i="326"/>
  <c r="J77" i="326" s="1"/>
  <c r="H77" i="326"/>
  <c r="K76" i="326"/>
  <c r="G76" i="326"/>
  <c r="F76" i="326"/>
  <c r="F75" i="326" s="1"/>
  <c r="E76" i="326"/>
  <c r="D76" i="326"/>
  <c r="C76" i="326"/>
  <c r="J74" i="326"/>
  <c r="I73" i="326"/>
  <c r="J73" i="326" s="1"/>
  <c r="H72" i="326"/>
  <c r="I72" i="326" s="1"/>
  <c r="J72" i="326" s="1"/>
  <c r="H71" i="326"/>
  <c r="I71" i="326" s="1"/>
  <c r="J71" i="326" s="1"/>
  <c r="K70" i="326"/>
  <c r="K69" i="326" s="1"/>
  <c r="I70" i="326"/>
  <c r="J70" i="326" s="1"/>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C138" i="242" s="1"/>
  <c r="I139" i="242"/>
  <c r="J139" i="242" s="1"/>
  <c r="G138" i="242"/>
  <c r="J137" i="242"/>
  <c r="I136" i="242"/>
  <c r="J136" i="242" s="1"/>
  <c r="K135" i="242"/>
  <c r="H135" i="242"/>
  <c r="G135" i="242"/>
  <c r="F135" i="242"/>
  <c r="E135" i="242"/>
  <c r="D135" i="242"/>
  <c r="C135" i="242"/>
  <c r="J134" i="242"/>
  <c r="I133" i="242"/>
  <c r="J133" i="242" s="1"/>
  <c r="I132" i="242"/>
  <c r="J132" i="242" s="1"/>
  <c r="I131" i="242"/>
  <c r="J131" i="242" s="1"/>
  <c r="K130" i="242"/>
  <c r="H130" i="242"/>
  <c r="I130" i="242" s="1"/>
  <c r="J130" i="242" s="1"/>
  <c r="G130" i="242"/>
  <c r="F130" i="242"/>
  <c r="E130" i="242"/>
  <c r="D130" i="242"/>
  <c r="C130" i="242"/>
  <c r="K129" i="242"/>
  <c r="K118" i="242" s="1"/>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H118" i="242"/>
  <c r="F118" i="242"/>
  <c r="E118" i="242"/>
  <c r="D118" i="242"/>
  <c r="H116" i="242"/>
  <c r="I116" i="242" s="1"/>
  <c r="J116" i="242" s="1"/>
  <c r="H115" i="242"/>
  <c r="I115" i="242" s="1"/>
  <c r="J115" i="242" s="1"/>
  <c r="K114" i="242"/>
  <c r="G114" i="242"/>
  <c r="F114" i="242"/>
  <c r="E114" i="242"/>
  <c r="D114" i="242"/>
  <c r="C114" i="242"/>
  <c r="K113" i="242"/>
  <c r="I113" i="242"/>
  <c r="J113" i="242" s="1"/>
  <c r="I112" i="242"/>
  <c r="J112" i="242" s="1"/>
  <c r="K111" i="242"/>
  <c r="H111" i="242"/>
  <c r="G111" i="242"/>
  <c r="F111" i="242"/>
  <c r="E111" i="242"/>
  <c r="D111" i="242"/>
  <c r="C111"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I20" i="242"/>
  <c r="J20" i="242" s="1"/>
  <c r="K19" i="242"/>
  <c r="I19" i="242"/>
  <c r="J19" i="242" s="1"/>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D18" i="180"/>
  <c r="E18" i="180" s="1"/>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G16" i="183"/>
  <c r="F16" i="183"/>
  <c r="E16" i="183"/>
  <c r="D16" i="183"/>
  <c r="C16" i="183"/>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I21" i="317"/>
  <c r="I33" i="317" s="1"/>
  <c r="H21" i="317"/>
  <c r="G21" i="317"/>
  <c r="G33" i="317" s="1"/>
  <c r="F21" i="317"/>
  <c r="F33" i="317" s="1"/>
  <c r="E21" i="317"/>
  <c r="E33" i="317" s="1"/>
  <c r="D21" i="317"/>
  <c r="D33" i="317" s="1"/>
  <c r="C21" i="317"/>
  <c r="C33" i="317" s="1"/>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F33" i="334"/>
  <c r="G33" i="334" s="1"/>
  <c r="A33" i="334"/>
  <c r="F32" i="334"/>
  <c r="G32" i="334" s="1"/>
  <c r="A32" i="334"/>
  <c r="E31" i="334"/>
  <c r="D31" i="334"/>
  <c r="C31" i="334"/>
  <c r="G30" i="334"/>
  <c r="G29" i="334"/>
  <c r="F27" i="334"/>
  <c r="A27" i="334"/>
  <c r="F26" i="334"/>
  <c r="G26" i="334" s="1"/>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F13" i="334"/>
  <c r="G13" i="334" s="1"/>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F49" i="269"/>
  <c r="D49" i="269"/>
  <c r="C49" i="269"/>
  <c r="I48" i="269"/>
  <c r="J48" i="269" s="1"/>
  <c r="A48" i="269"/>
  <c r="I47" i="269"/>
  <c r="J47" i="269" s="1"/>
  <c r="K46" i="269"/>
  <c r="H46" i="269"/>
  <c r="G46" i="269"/>
  <c r="F46" i="269"/>
  <c r="E46" i="269"/>
  <c r="D46" i="269"/>
  <c r="C46" i="269"/>
  <c r="I45" i="269"/>
  <c r="J45" i="269" s="1"/>
  <c r="A45" i="269"/>
  <c r="I44" i="269"/>
  <c r="J44" i="269" s="1"/>
  <c r="K43" i="269"/>
  <c r="H43" i="269"/>
  <c r="E43" i="269"/>
  <c r="I41" i="269"/>
  <c r="J41" i="269" s="1"/>
  <c r="A41" i="269"/>
  <c r="I40" i="269"/>
  <c r="J40" i="269" s="1"/>
  <c r="I39" i="269"/>
  <c r="J39" i="269" s="1"/>
  <c r="I38" i="269"/>
  <c r="I37" i="269"/>
  <c r="J37" i="269" s="1"/>
  <c r="I36" i="269"/>
  <c r="J36" i="269" s="1"/>
  <c r="A36"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I12" i="238"/>
  <c r="I24" i="238" s="1"/>
  <c r="H12" i="238"/>
  <c r="H24" i="238" s="1"/>
  <c r="F12" i="238"/>
  <c r="F24" i="238" s="1"/>
  <c r="L15" i="173"/>
  <c r="J15" i="173"/>
  <c r="I52" i="267" s="1"/>
  <c r="I15" i="173"/>
  <c r="H15" i="173"/>
  <c r="G15" i="173"/>
  <c r="F52" i="267" s="1"/>
  <c r="F15" i="173"/>
  <c r="E52" i="267" s="1"/>
  <c r="E15" i="173"/>
  <c r="D52" i="267" s="1"/>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D11" i="174" s="1"/>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69" i="251"/>
  <c r="B34" i="251"/>
  <c r="B22"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I22" i="177"/>
  <c r="J22" i="177" s="1"/>
  <c r="G18" i="177"/>
  <c r="F43" i="267" s="1"/>
  <c r="F18" i="177"/>
  <c r="E18" i="177"/>
  <c r="D18" i="177"/>
  <c r="C43" i="267" s="1"/>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G51" i="174"/>
  <c r="E35" i="178"/>
  <c r="F53" i="174" s="1"/>
  <c r="D35" i="178"/>
  <c r="C35" i="178"/>
  <c r="D53" i="174" s="1"/>
  <c r="H48" i="174"/>
  <c r="E25" i="178"/>
  <c r="D37" i="267" s="1"/>
  <c r="D25" i="178"/>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F330" i="324"/>
  <c r="F38" i="268" s="1"/>
  <c r="E330" i="324"/>
  <c r="E38" i="268" s="1"/>
  <c r="D330" i="324"/>
  <c r="D38" i="268" s="1"/>
  <c r="C330" i="324"/>
  <c r="C38" i="268" s="1"/>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H319" i="324"/>
  <c r="G319" i="324"/>
  <c r="I319" i="324" s="1"/>
  <c r="F319" i="324"/>
  <c r="F37" i="268" s="1"/>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I311" i="324"/>
  <c r="J311" i="324" s="1"/>
  <c r="A311" i="324"/>
  <c r="I310" i="324"/>
  <c r="J310" i="324" s="1"/>
  <c r="A310" i="324"/>
  <c r="I309" i="324"/>
  <c r="J309" i="324" s="1"/>
  <c r="A309" i="324"/>
  <c r="K308" i="324"/>
  <c r="H308" i="324"/>
  <c r="H36" i="268" s="1"/>
  <c r="G308" i="324"/>
  <c r="F308" i="324"/>
  <c r="F36" i="268" s="1"/>
  <c r="E308" i="324"/>
  <c r="E36" i="268" s="1"/>
  <c r="D308" i="324"/>
  <c r="D36" i="268" s="1"/>
  <c r="C308" i="324"/>
  <c r="I307" i="324"/>
  <c r="J307" i="324" s="1"/>
  <c r="A307" i="324"/>
  <c r="I306" i="324"/>
  <c r="J306" i="324" s="1"/>
  <c r="A306" i="324"/>
  <c r="I305" i="324"/>
  <c r="J305" i="324" s="1"/>
  <c r="A305" i="324"/>
  <c r="I304" i="324"/>
  <c r="J304" i="324" s="1"/>
  <c r="A304" i="324"/>
  <c r="I303" i="324"/>
  <c r="J303" i="324" s="1"/>
  <c r="A303" i="324"/>
  <c r="I302" i="324"/>
  <c r="J302" i="324" s="1"/>
  <c r="A302" i="324"/>
  <c r="I301" i="324"/>
  <c r="J301" i="324" s="1"/>
  <c r="A301" i="324"/>
  <c r="I300" i="324"/>
  <c r="J300" i="324" s="1"/>
  <c r="A300" i="324"/>
  <c r="I299" i="324"/>
  <c r="J299" i="324" s="1"/>
  <c r="A299" i="324"/>
  <c r="I298" i="324"/>
  <c r="J298" i="324" s="1"/>
  <c r="A298" i="324"/>
  <c r="K297" i="324"/>
  <c r="H297" i="324"/>
  <c r="G297" i="324"/>
  <c r="G35" i="268" s="1"/>
  <c r="F297" i="324"/>
  <c r="E297" i="324"/>
  <c r="E35" i="268" s="1"/>
  <c r="D297" i="324"/>
  <c r="C297" i="324"/>
  <c r="C35" i="268" s="1"/>
  <c r="I296" i="324"/>
  <c r="J296" i="324" s="1"/>
  <c r="A296" i="324"/>
  <c r="I295" i="324"/>
  <c r="J295" i="324" s="1"/>
  <c r="A295" i="324"/>
  <c r="I294" i="324"/>
  <c r="J294" i="324" s="1"/>
  <c r="A294" i="324"/>
  <c r="I293" i="324"/>
  <c r="J293" i="324" s="1"/>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H34" i="268" s="1"/>
  <c r="G286" i="324"/>
  <c r="F286" i="324"/>
  <c r="F34" i="268" s="1"/>
  <c r="E286" i="324"/>
  <c r="E34" i="268" s="1"/>
  <c r="D286" i="324"/>
  <c r="D34" i="268" s="1"/>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C33" i="268" s="1"/>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F32" i="268" s="1"/>
  <c r="E264" i="324"/>
  <c r="E32" i="268" s="1"/>
  <c r="D264" i="324"/>
  <c r="D32" i="268" s="1"/>
  <c r="C264" i="324"/>
  <c r="C32" i="268" s="1"/>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E31" i="268" s="1"/>
  <c r="D253" i="324"/>
  <c r="D31" i="268" s="1"/>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H30" i="268" s="1"/>
  <c r="G242" i="324"/>
  <c r="G30" i="268" s="1"/>
  <c r="F242" i="324"/>
  <c r="F30" i="268" s="1"/>
  <c r="E242" i="324"/>
  <c r="E30" i="268" s="1"/>
  <c r="D242" i="324"/>
  <c r="D30" i="268" s="1"/>
  <c r="C242" i="324"/>
  <c r="C30" i="268" s="1"/>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C29" i="268" s="1"/>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H27" i="268" s="1"/>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I194" i="324"/>
  <c r="J194" i="324" s="1"/>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G24" i="268" s="1"/>
  <c r="F176" i="324"/>
  <c r="F24" i="268" s="1"/>
  <c r="E176" i="324"/>
  <c r="E24" i="268" s="1"/>
  <c r="D176" i="324"/>
  <c r="D24" i="268" s="1"/>
  <c r="C176" i="324"/>
  <c r="C24" i="268" s="1"/>
  <c r="I175" i="324"/>
  <c r="J175" i="324" s="1"/>
  <c r="I173" i="324"/>
  <c r="J173" i="324" s="1"/>
  <c r="W171" i="324"/>
  <c r="W342" i="324" s="1"/>
  <c r="V171" i="324"/>
  <c r="U171" i="324"/>
  <c r="U342" i="324" s="1"/>
  <c r="T171" i="324"/>
  <c r="S171" i="324"/>
  <c r="S342" i="324" s="1"/>
  <c r="R171" i="324"/>
  <c r="Q171" i="324"/>
  <c r="Q342" i="324" s="1"/>
  <c r="P171" i="324"/>
  <c r="O171" i="324"/>
  <c r="O342" i="324" s="1"/>
  <c r="N171" i="324"/>
  <c r="M171" i="324"/>
  <c r="M342" i="324" s="1"/>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I163" i="324"/>
  <c r="J163" i="324" s="1"/>
  <c r="A163" i="324"/>
  <c r="I162" i="324"/>
  <c r="J162" i="324" s="1"/>
  <c r="A162" i="324"/>
  <c r="K161" i="324"/>
  <c r="K20" i="268" s="1"/>
  <c r="H161" i="324"/>
  <c r="H20" i="268" s="1"/>
  <c r="G161" i="324"/>
  <c r="F161" i="324"/>
  <c r="F20" i="268" s="1"/>
  <c r="E161" i="324"/>
  <c r="E20" i="268" s="1"/>
  <c r="D161" i="324"/>
  <c r="D20" i="268" s="1"/>
  <c r="C161" i="324"/>
  <c r="I160" i="324"/>
  <c r="J160" i="324" s="1"/>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H150" i="324"/>
  <c r="H19" i="268" s="1"/>
  <c r="G150" i="324"/>
  <c r="I150" i="324" s="1"/>
  <c r="J150" i="324" s="1"/>
  <c r="F150" i="324"/>
  <c r="F19" i="268" s="1"/>
  <c r="E150" i="324"/>
  <c r="E19" i="268" s="1"/>
  <c r="D150" i="324"/>
  <c r="D19" i="268" s="1"/>
  <c r="C150" i="324"/>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H18" i="268" s="1"/>
  <c r="G139" i="324"/>
  <c r="F139" i="324"/>
  <c r="E139" i="324"/>
  <c r="E18" i="268" s="1"/>
  <c r="D139" i="324"/>
  <c r="C139" i="324"/>
  <c r="C18" i="268" s="1"/>
  <c r="I138" i="324"/>
  <c r="J138" i="324" s="1"/>
  <c r="A138" i="324"/>
  <c r="I137" i="324"/>
  <c r="J137" i="324" s="1"/>
  <c r="A137" i="324"/>
  <c r="I136" i="324"/>
  <c r="J136" i="324" s="1"/>
  <c r="A136" i="324"/>
  <c r="I135" i="324"/>
  <c r="J135" i="324" s="1"/>
  <c r="A135" i="324"/>
  <c r="I134" i="324"/>
  <c r="J134" i="324" s="1"/>
  <c r="A134" i="324"/>
  <c r="I133" i="324"/>
  <c r="J133" i="324" s="1"/>
  <c r="A133" i="324"/>
  <c r="I132" i="324"/>
  <c r="J132" i="324" s="1"/>
  <c r="A132" i="324"/>
  <c r="I131" i="324"/>
  <c r="J131" i="324" s="1"/>
  <c r="A131" i="324"/>
  <c r="I130" i="324"/>
  <c r="J130" i="324" s="1"/>
  <c r="A130" i="324"/>
  <c r="I129" i="324"/>
  <c r="J129" i="324" s="1"/>
  <c r="A129" i="324"/>
  <c r="K128" i="324"/>
  <c r="K17" i="268" s="1"/>
  <c r="H128" i="324"/>
  <c r="H17" i="268" s="1"/>
  <c r="G128" i="324"/>
  <c r="F128" i="324"/>
  <c r="F17" i="268" s="1"/>
  <c r="E128" i="324"/>
  <c r="E17" i="268" s="1"/>
  <c r="D128" i="324"/>
  <c r="D17" i="268" s="1"/>
  <c r="C128" i="324"/>
  <c r="C17" i="268" s="1"/>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G117" i="324"/>
  <c r="F117" i="324"/>
  <c r="F16" i="268" s="1"/>
  <c r="E117" i="324"/>
  <c r="E16" i="268" s="1"/>
  <c r="D117" i="324"/>
  <c r="C117" i="324"/>
  <c r="C16" i="268" s="1"/>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H106" i="324"/>
  <c r="G106" i="324"/>
  <c r="F106" i="324"/>
  <c r="F15" i="268" s="1"/>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G95" i="324"/>
  <c r="F95" i="324"/>
  <c r="F14" i="268" s="1"/>
  <c r="E95" i="324"/>
  <c r="E14" i="268" s="1"/>
  <c r="D95" i="324"/>
  <c r="D14" i="268" s="1"/>
  <c r="C95" i="324"/>
  <c r="C14" i="268" s="1"/>
  <c r="K94" i="324"/>
  <c r="I94" i="324"/>
  <c r="J94" i="324" s="1"/>
  <c r="A94" i="324"/>
  <c r="K93" i="324"/>
  <c r="I93" i="324"/>
  <c r="J93" i="324" s="1"/>
  <c r="A93" i="324"/>
  <c r="K92" i="324"/>
  <c r="I92" i="324"/>
  <c r="J92" i="324" s="1"/>
  <c r="A92" i="324"/>
  <c r="K91" i="324"/>
  <c r="I91" i="324"/>
  <c r="J91" i="324" s="1"/>
  <c r="A91" i="324"/>
  <c r="K90" i="324"/>
  <c r="I90" i="324"/>
  <c r="J90" i="324" s="1"/>
  <c r="A90" i="324"/>
  <c r="K89" i="324"/>
  <c r="I89" i="324"/>
  <c r="J89" i="324" s="1"/>
  <c r="A89" i="324"/>
  <c r="K88" i="324"/>
  <c r="I88" i="324"/>
  <c r="J88" i="324" s="1"/>
  <c r="A88" i="324"/>
  <c r="K87" i="324"/>
  <c r="I87" i="324"/>
  <c r="J87" i="324" s="1"/>
  <c r="A87" i="324"/>
  <c r="K86" i="324"/>
  <c r="K84" i="324" s="1"/>
  <c r="K13" i="268" s="1"/>
  <c r="I86" i="324"/>
  <c r="J86" i="324" s="1"/>
  <c r="A86" i="324"/>
  <c r="K85" i="324"/>
  <c r="I85" i="324"/>
  <c r="J85" i="324" s="1"/>
  <c r="A85" i="324"/>
  <c r="H84" i="324"/>
  <c r="G84" i="324"/>
  <c r="G13" i="268" s="1"/>
  <c r="F84" i="324"/>
  <c r="F13" i="268" s="1"/>
  <c r="E84" i="324"/>
  <c r="D84" i="324"/>
  <c r="C84" i="324"/>
  <c r="C13" i="268" s="1"/>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K73" i="324" s="1"/>
  <c r="K12" i="268" s="1"/>
  <c r="I74" i="324"/>
  <c r="J74" i="324" s="1"/>
  <c r="A74" i="324"/>
  <c r="H73" i="324"/>
  <c r="G73" i="324"/>
  <c r="G12" i="268" s="1"/>
  <c r="F73" i="324"/>
  <c r="E73" i="324"/>
  <c r="E12" i="268" s="1"/>
  <c r="D73" i="324"/>
  <c r="D12" i="268" s="1"/>
  <c r="C73" i="324"/>
  <c r="C12" i="268" s="1"/>
  <c r="K72" i="324"/>
  <c r="I72" i="324"/>
  <c r="J72" i="324" s="1"/>
  <c r="A72" i="324"/>
  <c r="K71" i="324"/>
  <c r="I71" i="324"/>
  <c r="J71" i="324" s="1"/>
  <c r="A71" i="324"/>
  <c r="K70" i="324"/>
  <c r="I70" i="324"/>
  <c r="J70" i="324" s="1"/>
  <c r="A70" i="324"/>
  <c r="K69" i="324"/>
  <c r="I69" i="324"/>
  <c r="J69" i="324" s="1"/>
  <c r="A69" i="324"/>
  <c r="K68" i="324"/>
  <c r="I68" i="324"/>
  <c r="J68" i="324" s="1"/>
  <c r="A68" i="324"/>
  <c r="K67" i="324"/>
  <c r="I67" i="324"/>
  <c r="J67" i="324" s="1"/>
  <c r="A67" i="324"/>
  <c r="K66" i="324"/>
  <c r="I66" i="324"/>
  <c r="J66" i="324" s="1"/>
  <c r="A66" i="324"/>
  <c r="K65" i="324"/>
  <c r="I65" i="324"/>
  <c r="J65" i="324" s="1"/>
  <c r="A65" i="324"/>
  <c r="K64" i="324"/>
  <c r="I64" i="324"/>
  <c r="J64" i="324" s="1"/>
  <c r="A64" i="324"/>
  <c r="K63" i="324"/>
  <c r="K62" i="324" s="1"/>
  <c r="K11" i="268" s="1"/>
  <c r="I63" i="324"/>
  <c r="J63" i="324" s="1"/>
  <c r="A63" i="324"/>
  <c r="H62" i="324"/>
  <c r="G62" i="324"/>
  <c r="G11" i="268" s="1"/>
  <c r="F62" i="324"/>
  <c r="E62" i="324"/>
  <c r="E11" i="268" s="1"/>
  <c r="D62" i="324"/>
  <c r="D11" i="268" s="1"/>
  <c r="C62" i="324"/>
  <c r="C11" i="268" s="1"/>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H51" i="324"/>
  <c r="H10" i="268" s="1"/>
  <c r="G51" i="324"/>
  <c r="F51" i="324"/>
  <c r="E51" i="324"/>
  <c r="E10" i="268" s="1"/>
  <c r="D51" i="324"/>
  <c r="D10" i="268" s="1"/>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H40" i="324"/>
  <c r="G40" i="324"/>
  <c r="G9" i="268" s="1"/>
  <c r="F40" i="324"/>
  <c r="F9" i="268" s="1"/>
  <c r="E40" i="324"/>
  <c r="D40" i="324"/>
  <c r="D9" i="268" s="1"/>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D8" i="268" s="1"/>
  <c r="C29" i="324"/>
  <c r="C8" i="268" s="1"/>
  <c r="I28" i="324"/>
  <c r="J28" i="324" s="1"/>
  <c r="A28" i="324"/>
  <c r="I27" i="324"/>
  <c r="J27" i="324" s="1"/>
  <c r="A27" i="324"/>
  <c r="I26" i="324"/>
  <c r="J26" i="324" s="1"/>
  <c r="A26" i="324"/>
  <c r="I25" i="324"/>
  <c r="J25" i="324" s="1"/>
  <c r="A25" i="324"/>
  <c r="I24" i="324"/>
  <c r="J24" i="324" s="1"/>
  <c r="A24" i="324"/>
  <c r="I23" i="324"/>
  <c r="J23" i="324" s="1"/>
  <c r="A23" i="324"/>
  <c r="I22" i="324"/>
  <c r="J22" i="324" s="1"/>
  <c r="A22" i="324"/>
  <c r="I21" i="324"/>
  <c r="J21" i="324" s="1"/>
  <c r="A21" i="324"/>
  <c r="I20" i="324"/>
  <c r="J20" i="324" s="1"/>
  <c r="A20" i="324"/>
  <c r="I19" i="324"/>
  <c r="J19" i="324" s="1"/>
  <c r="A19" i="324"/>
  <c r="K18" i="324"/>
  <c r="K7" i="268" s="1"/>
  <c r="H18" i="324"/>
  <c r="G18" i="324"/>
  <c r="F18" i="324"/>
  <c r="F7" i="268" s="1"/>
  <c r="E18" i="324"/>
  <c r="E7" i="268" s="1"/>
  <c r="D18" i="324"/>
  <c r="C18" i="324"/>
  <c r="C7" i="268" s="1"/>
  <c r="I17" i="324"/>
  <c r="J17" i="324" s="1"/>
  <c r="A17" i="324"/>
  <c r="I16" i="324"/>
  <c r="J16" i="324" s="1"/>
  <c r="A16" i="324"/>
  <c r="I15" i="324"/>
  <c r="J15" i="324" s="1"/>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F6" i="268" s="1"/>
  <c r="E7" i="324"/>
  <c r="D7" i="324"/>
  <c r="D6" i="268" s="1"/>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K37" i="268"/>
  <c r="H37" i="268"/>
  <c r="D37" i="268"/>
  <c r="K36" i="268"/>
  <c r="G36" i="268"/>
  <c r="C36" i="268"/>
  <c r="K35" i="268"/>
  <c r="H35" i="268"/>
  <c r="F35" i="268"/>
  <c r="D35" i="268"/>
  <c r="K34" i="268"/>
  <c r="G34" i="268"/>
  <c r="E33" i="268"/>
  <c r="D29" i="268"/>
  <c r="C28" i="268"/>
  <c r="D27" i="268"/>
  <c r="G26" i="268"/>
  <c r="F26" i="268"/>
  <c r="E26" i="268"/>
  <c r="E25" i="268"/>
  <c r="G20" i="268"/>
  <c r="C20" i="268"/>
  <c r="G19" i="268"/>
  <c r="C19" i="268"/>
  <c r="K18" i="268"/>
  <c r="F18" i="268"/>
  <c r="D18" i="268"/>
  <c r="G17" i="268"/>
  <c r="H16" i="268"/>
  <c r="D16" i="268"/>
  <c r="G15" i="268"/>
  <c r="E15" i="268"/>
  <c r="C15" i="268"/>
  <c r="H14" i="268"/>
  <c r="E13" i="268"/>
  <c r="D13" i="268"/>
  <c r="H12" i="268"/>
  <c r="F12" i="268"/>
  <c r="F11" i="268"/>
  <c r="F10" i="268"/>
  <c r="E9" i="268"/>
  <c r="H7" i="268"/>
  <c r="D7" i="268"/>
  <c r="H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C33" i="251" s="1"/>
  <c r="I34" i="182"/>
  <c r="J34" i="182" s="1"/>
  <c r="C32" i="251" s="1"/>
  <c r="I33" i="182"/>
  <c r="J33" i="182" s="1"/>
  <c r="C31" i="251" s="1"/>
  <c r="I32" i="182"/>
  <c r="J32" i="182" s="1"/>
  <c r="C30" i="251" s="1"/>
  <c r="I31" i="182"/>
  <c r="I30" i="182"/>
  <c r="J30" i="182" s="1"/>
  <c r="C28" i="251" s="1"/>
  <c r="H42" i="174"/>
  <c r="I29" i="182"/>
  <c r="J29" i="182" s="1"/>
  <c r="C27" i="251" s="1"/>
  <c r="I28" i="182"/>
  <c r="J28" i="182" s="1"/>
  <c r="C26" i="251" s="1"/>
  <c r="I27" i="182"/>
  <c r="J27" i="182" s="1"/>
  <c r="C25" i="251" s="1"/>
  <c r="H44" i="174"/>
  <c r="I26" i="182"/>
  <c r="J26" i="182" s="1"/>
  <c r="C24" i="251" s="1"/>
  <c r="H40" i="174"/>
  <c r="I25" i="182"/>
  <c r="H22" i="182"/>
  <c r="H53" i="182" s="1"/>
  <c r="G22" i="182"/>
  <c r="G55" i="174" s="1"/>
  <c r="F22" i="182"/>
  <c r="F53" i="182" s="1"/>
  <c r="E22" i="182"/>
  <c r="E53" i="182" s="1"/>
  <c r="D22" i="182"/>
  <c r="E55" i="174" s="1"/>
  <c r="C22" i="182"/>
  <c r="D55" i="174" s="1"/>
  <c r="I21" i="182"/>
  <c r="J21" i="182" s="1"/>
  <c r="I20" i="182"/>
  <c r="J20" i="182" s="1"/>
  <c r="C20" i="251" s="1"/>
  <c r="H56" i="174"/>
  <c r="I19" i="182"/>
  <c r="J19" i="182" s="1"/>
  <c r="C19" i="251" s="1"/>
  <c r="I18" i="182"/>
  <c r="J18" i="182" s="1"/>
  <c r="C18" i="251" s="1"/>
  <c r="I17" i="182"/>
  <c r="J17" i="182" s="1"/>
  <c r="C17" i="251" s="1"/>
  <c r="I16" i="182"/>
  <c r="J16" i="182" s="1"/>
  <c r="C16" i="251" s="1"/>
  <c r="I15" i="182"/>
  <c r="J15" i="182" s="1"/>
  <c r="C15" i="251" s="1"/>
  <c r="I14" i="182"/>
  <c r="J14" i="182" s="1"/>
  <c r="C14" i="251" s="1"/>
  <c r="I13" i="182"/>
  <c r="J13" i="182" s="1"/>
  <c r="C13" i="251" s="1"/>
  <c r="I12" i="182"/>
  <c r="J12" i="182" s="1"/>
  <c r="C12" i="251" s="1"/>
  <c r="I11" i="182"/>
  <c r="J11" i="182" s="1"/>
  <c r="C11" i="251" s="1"/>
  <c r="I10" i="182"/>
  <c r="J10" i="182" s="1"/>
  <c r="C10" i="251" s="1"/>
  <c r="I9" i="182"/>
  <c r="J9" i="182" s="1"/>
  <c r="C9" i="251" s="1"/>
  <c r="I8" i="182"/>
  <c r="J8" i="182" s="1"/>
  <c r="C8" i="251" s="1"/>
  <c r="I7" i="182"/>
  <c r="J7" i="182" s="1"/>
  <c r="C7" i="251" s="1"/>
  <c r="K22" i="182"/>
  <c r="I6" i="182"/>
  <c r="J6" i="182" s="1"/>
  <c r="C6" i="251"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G38" i="272" s="1"/>
  <c r="F328" i="323"/>
  <c r="E328" i="323"/>
  <c r="E38" i="272" s="1"/>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G37" i="272" s="1"/>
  <c r="F317" i="323"/>
  <c r="F37" i="272" s="1"/>
  <c r="E317" i="323"/>
  <c r="E37" i="272" s="1"/>
  <c r="D317" i="323"/>
  <c r="C317" i="323"/>
  <c r="C37" i="272" s="1"/>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G36" i="272" s="1"/>
  <c r="F306" i="323"/>
  <c r="E306" i="323"/>
  <c r="D306" i="323"/>
  <c r="C306" i="323"/>
  <c r="C36" i="272" s="1"/>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G35" i="272" s="1"/>
  <c r="F295" i="323"/>
  <c r="F35" i="272" s="1"/>
  <c r="E295" i="323"/>
  <c r="E35" i="272" s="1"/>
  <c r="D295" i="323"/>
  <c r="C295" i="323"/>
  <c r="C35" i="272" s="1"/>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K34" i="272" s="1"/>
  <c r="G284" i="323"/>
  <c r="F284" i="323"/>
  <c r="F34" i="272" s="1"/>
  <c r="E284" i="323"/>
  <c r="E34" i="272" s="1"/>
  <c r="D284" i="323"/>
  <c r="D34" i="272" s="1"/>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A274" i="323"/>
  <c r="G273" i="323"/>
  <c r="F273" i="323"/>
  <c r="F33" i="272" s="1"/>
  <c r="E273" i="323"/>
  <c r="E33" i="272" s="1"/>
  <c r="D273" i="323"/>
  <c r="D33" i="272" s="1"/>
  <c r="C273" i="323"/>
  <c r="I272" i="323"/>
  <c r="J272" i="323" s="1"/>
  <c r="A272" i="323"/>
  <c r="I271" i="323"/>
  <c r="J271" i="323" s="1"/>
  <c r="A271" i="323"/>
  <c r="I270" i="323"/>
  <c r="J270" i="323" s="1"/>
  <c r="A270" i="323"/>
  <c r="I269" i="323"/>
  <c r="J269" i="323" s="1"/>
  <c r="A269" i="323"/>
  <c r="I268" i="323"/>
  <c r="J268" i="323" s="1"/>
  <c r="A268" i="323"/>
  <c r="I267" i="323"/>
  <c r="J267" i="323" s="1"/>
  <c r="A267" i="323"/>
  <c r="I266" i="323"/>
  <c r="J266" i="323" s="1"/>
  <c r="A266" i="323"/>
  <c r="I265" i="323"/>
  <c r="J265" i="323" s="1"/>
  <c r="A265" i="323"/>
  <c r="I264" i="323"/>
  <c r="J264" i="323" s="1"/>
  <c r="A264" i="323"/>
  <c r="A263" i="323"/>
  <c r="G262" i="323"/>
  <c r="G32" i="272" s="1"/>
  <c r="F262" i="323"/>
  <c r="F32" i="272" s="1"/>
  <c r="E262" i="323"/>
  <c r="E32" i="272" s="1"/>
  <c r="D262" i="323"/>
  <c r="D32" i="272" s="1"/>
  <c r="C262" i="323"/>
  <c r="I261" i="323"/>
  <c r="J261" i="323" s="1"/>
  <c r="A261" i="323"/>
  <c r="I260" i="323"/>
  <c r="J260" i="323" s="1"/>
  <c r="A260" i="323"/>
  <c r="I259" i="323"/>
  <c r="J259" i="323" s="1"/>
  <c r="A259" i="323"/>
  <c r="I258" i="323"/>
  <c r="J258" i="323" s="1"/>
  <c r="A258" i="323"/>
  <c r="I257" i="323"/>
  <c r="J257" i="323" s="1"/>
  <c r="A257" i="323"/>
  <c r="I256" i="323"/>
  <c r="J256" i="323" s="1"/>
  <c r="A256" i="323"/>
  <c r="I255" i="323"/>
  <c r="J255" i="323" s="1"/>
  <c r="A255" i="323"/>
  <c r="I254" i="323"/>
  <c r="J254" i="323" s="1"/>
  <c r="A254" i="323"/>
  <c r="I253" i="323"/>
  <c r="J253" i="323" s="1"/>
  <c r="A253" i="323"/>
  <c r="A252" i="323"/>
  <c r="G251" i="323"/>
  <c r="G31" i="272" s="1"/>
  <c r="F251" i="323"/>
  <c r="F31" i="272" s="1"/>
  <c r="E251" i="323"/>
  <c r="E31" i="272" s="1"/>
  <c r="D251" i="323"/>
  <c r="C251" i="323"/>
  <c r="C31" i="272" s="1"/>
  <c r="I250" i="323"/>
  <c r="J250" i="323" s="1"/>
  <c r="A250" i="323"/>
  <c r="I249" i="323"/>
  <c r="J249" i="323" s="1"/>
  <c r="A249" i="323"/>
  <c r="I248" i="323"/>
  <c r="J248" i="323" s="1"/>
  <c r="A248" i="323"/>
  <c r="I247" i="323"/>
  <c r="J247" i="323" s="1"/>
  <c r="A247" i="323"/>
  <c r="I246" i="323"/>
  <c r="J246" i="323" s="1"/>
  <c r="A246" i="323"/>
  <c r="I245" i="323"/>
  <c r="J245" i="323" s="1"/>
  <c r="A245" i="323"/>
  <c r="I244" i="323"/>
  <c r="J244" i="323" s="1"/>
  <c r="A244" i="323"/>
  <c r="I243" i="323"/>
  <c r="J243" i="323" s="1"/>
  <c r="A243" i="323"/>
  <c r="I242" i="323"/>
  <c r="J242" i="323" s="1"/>
  <c r="A242" i="323"/>
  <c r="A241" i="323"/>
  <c r="G240" i="323"/>
  <c r="G30" i="272" s="1"/>
  <c r="F240" i="323"/>
  <c r="F30" i="272" s="1"/>
  <c r="E30" i="272"/>
  <c r="D240" i="323"/>
  <c r="D30" i="272" s="1"/>
  <c r="C240" i="323"/>
  <c r="C30" i="272" s="1"/>
  <c r="I239" i="323"/>
  <c r="J239" i="323" s="1"/>
  <c r="A239" i="323"/>
  <c r="I238" i="323"/>
  <c r="J238" i="323" s="1"/>
  <c r="A238" i="323"/>
  <c r="I237" i="323"/>
  <c r="J237" i="323" s="1"/>
  <c r="A237" i="323"/>
  <c r="I236" i="323"/>
  <c r="J236" i="323" s="1"/>
  <c r="A236" i="323"/>
  <c r="I235" i="323"/>
  <c r="J235" i="323" s="1"/>
  <c r="A235" i="323"/>
  <c r="I234" i="323"/>
  <c r="J234" i="323" s="1"/>
  <c r="A234" i="323"/>
  <c r="I233" i="323"/>
  <c r="J233" i="323" s="1"/>
  <c r="A233" i="323"/>
  <c r="I232" i="323"/>
  <c r="J232" i="323" s="1"/>
  <c r="A232" i="323"/>
  <c r="I231" i="323"/>
  <c r="J231" i="323" s="1"/>
  <c r="A231" i="323"/>
  <c r="A230" i="323"/>
  <c r="G229" i="323"/>
  <c r="F229" i="323"/>
  <c r="F29" i="272" s="1"/>
  <c r="E229" i="323"/>
  <c r="E29" i="272" s="1"/>
  <c r="D229" i="323"/>
  <c r="D29" i="272" s="1"/>
  <c r="C229" i="323"/>
  <c r="C29" i="272" s="1"/>
  <c r="I228" i="323"/>
  <c r="J228" i="323" s="1"/>
  <c r="A228" i="323"/>
  <c r="I227" i="323"/>
  <c r="J227" i="323" s="1"/>
  <c r="A227" i="323"/>
  <c r="I226" i="323"/>
  <c r="J226" i="323" s="1"/>
  <c r="A226" i="323"/>
  <c r="I225" i="323"/>
  <c r="J225" i="323" s="1"/>
  <c r="A225" i="323"/>
  <c r="I224" i="323"/>
  <c r="J224" i="323" s="1"/>
  <c r="A224" i="323"/>
  <c r="I223" i="323"/>
  <c r="J223" i="323" s="1"/>
  <c r="A223" i="323"/>
  <c r="I222" i="323"/>
  <c r="J222" i="323" s="1"/>
  <c r="A222" i="323"/>
  <c r="I221" i="323"/>
  <c r="J221" i="323" s="1"/>
  <c r="A221" i="323"/>
  <c r="I220" i="323"/>
  <c r="J220" i="323" s="1"/>
  <c r="A220" i="323"/>
  <c r="K219" i="323"/>
  <c r="A219" i="323"/>
  <c r="G218" i="323"/>
  <c r="G28" i="272" s="1"/>
  <c r="F218" i="323"/>
  <c r="F28" i="272" s="1"/>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I212" i="323"/>
  <c r="J212" i="323" s="1"/>
  <c r="A212" i="323"/>
  <c r="I211" i="323"/>
  <c r="J211" i="323" s="1"/>
  <c r="A211" i="323"/>
  <c r="I210" i="323"/>
  <c r="J210" i="323" s="1"/>
  <c r="A210" i="323"/>
  <c r="I209" i="323"/>
  <c r="J209" i="323" s="1"/>
  <c r="A209" i="323"/>
  <c r="A208" i="323"/>
  <c r="G207" i="323"/>
  <c r="F207" i="323"/>
  <c r="F27" i="272" s="1"/>
  <c r="E207" i="323"/>
  <c r="E27" i="272" s="1"/>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D26" i="272" s="1"/>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I189" i="323"/>
  <c r="J189" i="323" s="1"/>
  <c r="A189" i="323"/>
  <c r="I188" i="323"/>
  <c r="J188" i="323" s="1"/>
  <c r="A188" i="323"/>
  <c r="I187" i="323"/>
  <c r="J187" i="323" s="1"/>
  <c r="A187" i="323"/>
  <c r="A186" i="323"/>
  <c r="G185" i="323"/>
  <c r="F185" i="323"/>
  <c r="F25" i="272" s="1"/>
  <c r="E185" i="323"/>
  <c r="E25" i="272" s="1"/>
  <c r="D185" i="323"/>
  <c r="D25" i="272" s="1"/>
  <c r="C185" i="323"/>
  <c r="C25" i="272" s="1"/>
  <c r="K184" i="323"/>
  <c r="I184" i="323"/>
  <c r="J184" i="323" s="1"/>
  <c r="A184" i="323"/>
  <c r="I183" i="323"/>
  <c r="J183" i="323" s="1"/>
  <c r="A183" i="323"/>
  <c r="I182" i="323"/>
  <c r="J182" i="323" s="1"/>
  <c r="A182" i="323"/>
  <c r="I181" i="323"/>
  <c r="J181" i="323" s="1"/>
  <c r="A181" i="323"/>
  <c r="I180" i="323"/>
  <c r="J180" i="323" s="1"/>
  <c r="A180" i="323"/>
  <c r="I179" i="323"/>
  <c r="J179" i="323" s="1"/>
  <c r="A179" i="323"/>
  <c r="I178" i="323"/>
  <c r="J178" i="323" s="1"/>
  <c r="A178" i="323"/>
  <c r="I177" i="323"/>
  <c r="J177" i="323" s="1"/>
  <c r="A177" i="323"/>
  <c r="I176" i="323"/>
  <c r="J176" i="323" s="1"/>
  <c r="A176" i="323"/>
  <c r="I175" i="323"/>
  <c r="J175" i="323" s="1"/>
  <c r="A175" i="323"/>
  <c r="G174" i="323"/>
  <c r="G24" i="272" s="1"/>
  <c r="F174" i="323"/>
  <c r="F24" i="272" s="1"/>
  <c r="E174" i="323"/>
  <c r="E24" i="272" s="1"/>
  <c r="D174" i="323"/>
  <c r="C174" i="323"/>
  <c r="C24" i="272" s="1"/>
  <c r="H173" i="323"/>
  <c r="I173" i="323" s="1"/>
  <c r="J173" i="323" s="1"/>
  <c r="H172" i="323"/>
  <c r="I172" i="323" s="1"/>
  <c r="J172" i="323" s="1"/>
  <c r="W170" i="323"/>
  <c r="W340" i="323" s="1"/>
  <c r="V170" i="323"/>
  <c r="U170" i="323"/>
  <c r="U340" i="323" s="1"/>
  <c r="T170" i="323"/>
  <c r="T340" i="323" s="1"/>
  <c r="S170" i="323"/>
  <c r="S340" i="323" s="1"/>
  <c r="R170" i="323"/>
  <c r="Q170" i="323"/>
  <c r="Q340" i="323" s="1"/>
  <c r="P170" i="323"/>
  <c r="P340" i="323" s="1"/>
  <c r="O170" i="323"/>
  <c r="O340" i="323" s="1"/>
  <c r="N170" i="323"/>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F20" i="272" s="1"/>
  <c r="E160" i="323"/>
  <c r="E20" i="272" s="1"/>
  <c r="D160" i="323"/>
  <c r="D20" i="272" s="1"/>
  <c r="C160" i="323"/>
  <c r="C20" i="272" s="1"/>
  <c r="H159" i="323"/>
  <c r="I159" i="323" s="1"/>
  <c r="J159" i="323" s="1"/>
  <c r="A159" i="323"/>
  <c r="H158" i="323"/>
  <c r="I158" i="323" s="1"/>
  <c r="J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K19" i="272" s="1"/>
  <c r="G149" i="323"/>
  <c r="G19" i="272" s="1"/>
  <c r="F149" i="323"/>
  <c r="E149" i="323"/>
  <c r="E19" i="272" s="1"/>
  <c r="D149" i="323"/>
  <c r="D19" i="272" s="1"/>
  <c r="C149" i="323"/>
  <c r="H148" i="323"/>
  <c r="I148" i="323" s="1"/>
  <c r="J148" i="323" s="1"/>
  <c r="A148" i="323"/>
  <c r="J147" i="323"/>
  <c r="H147" i="323"/>
  <c r="I147" i="323" s="1"/>
  <c r="A147" i="323"/>
  <c r="H146" i="323"/>
  <c r="I146" i="323" s="1"/>
  <c r="J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H139" i="323"/>
  <c r="I139" i="323" s="1"/>
  <c r="J139" i="323" s="1"/>
  <c r="A139" i="323"/>
  <c r="K138" i="323"/>
  <c r="K18" i="272" s="1"/>
  <c r="G138" i="323"/>
  <c r="F138" i="323"/>
  <c r="F18" i="272" s="1"/>
  <c r="E138" i="323"/>
  <c r="E18" i="272" s="1"/>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K17" i="272" s="1"/>
  <c r="G127" i="323"/>
  <c r="F127" i="323"/>
  <c r="E127" i="323"/>
  <c r="E17" i="272" s="1"/>
  <c r="D127" i="323"/>
  <c r="D17" i="272" s="1"/>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I118" i="323"/>
  <c r="J118" i="323" s="1"/>
  <c r="A118" i="323"/>
  <c r="I117" i="323"/>
  <c r="J117" i="323" s="1"/>
  <c r="A117" i="323"/>
  <c r="K116" i="323"/>
  <c r="K16" i="272" s="1"/>
  <c r="G116" i="323"/>
  <c r="F116" i="323"/>
  <c r="F16" i="272" s="1"/>
  <c r="E116" i="323"/>
  <c r="E16" i="272" s="1"/>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I84" i="323"/>
  <c r="J84" i="323" s="1"/>
  <c r="A84" i="323"/>
  <c r="H83" i="323"/>
  <c r="H13" i="272" s="1"/>
  <c r="G83" i="323"/>
  <c r="G13" i="272" s="1"/>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F12" i="272" s="1"/>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F11" i="272" s="1"/>
  <c r="E61" i="323"/>
  <c r="E11" i="272" s="1"/>
  <c r="D61" i="323"/>
  <c r="D11" i="272" s="1"/>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F9" i="272" s="1"/>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F38" i="272"/>
  <c r="K37" i="272"/>
  <c r="D37" i="272"/>
  <c r="F36" i="272"/>
  <c r="E36" i="272"/>
  <c r="D36" i="272"/>
  <c r="K35" i="272"/>
  <c r="D35" i="272"/>
  <c r="G33" i="272"/>
  <c r="C33" i="272"/>
  <c r="C32" i="272"/>
  <c r="D31" i="272"/>
  <c r="G29" i="272"/>
  <c r="G27" i="272"/>
  <c r="C26" i="272"/>
  <c r="G25" i="272"/>
  <c r="A25" i="272"/>
  <c r="D24" i="272"/>
  <c r="F19" i="272"/>
  <c r="C19" i="272"/>
  <c r="G17" i="272"/>
  <c r="F17" i="272"/>
  <c r="D16" i="272"/>
  <c r="F14" i="272"/>
  <c r="C13"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D48" i="241" s="1"/>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E47" i="241" s="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D46" i="241" s="1"/>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D42" i="241" s="1"/>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I210" i="330"/>
  <c r="J210" i="330" s="1"/>
  <c r="A210" i="330"/>
  <c r="G209" i="330"/>
  <c r="G41" i="241" s="1"/>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189" i="330"/>
  <c r="E38" i="241" s="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E35" i="241" s="1"/>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E151" i="330"/>
  <c r="D151" i="330"/>
  <c r="D34" i="241" s="1"/>
  <c r="C151" i="330"/>
  <c r="A151" i="330"/>
  <c r="A150" i="330"/>
  <c r="K149" i="330"/>
  <c r="K148" i="330" s="1"/>
  <c r="K32" i="241" s="1"/>
  <c r="I149" i="330"/>
  <c r="J149" i="330" s="1"/>
  <c r="A149" i="330"/>
  <c r="H148" i="330"/>
  <c r="G148" i="330"/>
  <c r="G32" i="241" s="1"/>
  <c r="F148" i="330"/>
  <c r="F32" i="241" s="1"/>
  <c r="E148" i="330"/>
  <c r="E32" i="241" s="1"/>
  <c r="D148" i="330"/>
  <c r="D32" i="241" s="1"/>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G31" i="241" s="1"/>
  <c r="F133" i="330"/>
  <c r="F31" i="241" s="1"/>
  <c r="E133" i="330"/>
  <c r="E31" i="241" s="1"/>
  <c r="D133" i="330"/>
  <c r="C133" i="330"/>
  <c r="C31" i="241" s="1"/>
  <c r="A133" i="330"/>
  <c r="I132" i="330"/>
  <c r="J132" i="330" s="1"/>
  <c r="A132" i="330"/>
  <c r="K131" i="330"/>
  <c r="I131" i="330"/>
  <c r="J131" i="330" s="1"/>
  <c r="A131" i="330"/>
  <c r="H130" i="330"/>
  <c r="G130" i="330"/>
  <c r="F130" i="330"/>
  <c r="E130" i="330"/>
  <c r="D130" i="330"/>
  <c r="D30" i="241" s="1"/>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H25" i="241" s="1"/>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H23" i="241" s="1"/>
  <c r="G109" i="330"/>
  <c r="F109" i="330"/>
  <c r="F23" i="241" s="1"/>
  <c r="E109" i="330"/>
  <c r="E23" i="241" s="1"/>
  <c r="D109" i="330"/>
  <c r="D23" i="241" s="1"/>
  <c r="C109" i="330"/>
  <c r="K108" i="330"/>
  <c r="I108" i="330"/>
  <c r="J108" i="330" s="1"/>
  <c r="I107" i="330"/>
  <c r="J107" i="330" s="1"/>
  <c r="K106" i="330"/>
  <c r="G105" i="330"/>
  <c r="G22" i="241" s="1"/>
  <c r="F105" i="330"/>
  <c r="E105" i="330"/>
  <c r="D105" i="330"/>
  <c r="C105" i="330"/>
  <c r="K104" i="330"/>
  <c r="I104" i="330"/>
  <c r="J104" i="330" s="1"/>
  <c r="K103" i="330"/>
  <c r="I103" i="330"/>
  <c r="J103" i="330" s="1"/>
  <c r="K102" i="330"/>
  <c r="I102" i="330"/>
  <c r="J102" i="330" s="1"/>
  <c r="H101" i="330"/>
  <c r="H21" i="241" s="1"/>
  <c r="G101" i="330"/>
  <c r="F101" i="330"/>
  <c r="F21" i="241" s="1"/>
  <c r="E101" i="330"/>
  <c r="E21" i="241" s="1"/>
  <c r="D101" i="330"/>
  <c r="C101" i="330"/>
  <c r="C21" i="241" s="1"/>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F19" i="241" s="1"/>
  <c r="E93" i="330"/>
  <c r="E19" i="241" s="1"/>
  <c r="D93" i="330"/>
  <c r="D19" i="241" s="1"/>
  <c r="C93" i="330"/>
  <c r="C19" i="241" s="1"/>
  <c r="K92" i="330"/>
  <c r="I92" i="330"/>
  <c r="J92" i="330" s="1"/>
  <c r="K91" i="330"/>
  <c r="I91" i="330"/>
  <c r="J91" i="330" s="1"/>
  <c r="K90" i="330"/>
  <c r="I90" i="330"/>
  <c r="J90" i="330" s="1"/>
  <c r="K89" i="330"/>
  <c r="I89" i="330"/>
  <c r="J89" i="330" s="1"/>
  <c r="K88" i="330"/>
  <c r="I88" i="330"/>
  <c r="J88" i="330" s="1"/>
  <c r="K87" i="330"/>
  <c r="K86" i="330" s="1"/>
  <c r="K18" i="241" s="1"/>
  <c r="I87" i="330"/>
  <c r="J87" i="330"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F17" i="241" s="1"/>
  <c r="E75" i="330"/>
  <c r="E17" i="241" s="1"/>
  <c r="D75" i="330"/>
  <c r="C75" i="330"/>
  <c r="H73" i="330"/>
  <c r="I73" i="330" s="1"/>
  <c r="J73" i="330" s="1"/>
  <c r="H72" i="330"/>
  <c r="I72" i="330" s="1"/>
  <c r="J72" i="330" s="1"/>
  <c r="H71" i="330"/>
  <c r="I71" i="330" s="1"/>
  <c r="J71" i="330" s="1"/>
  <c r="H70" i="330"/>
  <c r="I70" i="330" s="1"/>
  <c r="J70" i="330" s="1"/>
  <c r="I69" i="330"/>
  <c r="J69" i="330" s="1"/>
  <c r="K68" i="330"/>
  <c r="K66" i="330" s="1"/>
  <c r="K15" i="241" s="1"/>
  <c r="I68" i="330"/>
  <c r="J68" i="330" s="1"/>
  <c r="I67" i="330"/>
  <c r="J67" i="330" s="1"/>
  <c r="G66" i="330"/>
  <c r="G15" i="241" s="1"/>
  <c r="F66" i="330"/>
  <c r="F15" i="241" s="1"/>
  <c r="E66" i="330"/>
  <c r="E15" i="241" s="1"/>
  <c r="D66" i="330"/>
  <c r="D15" i="241" s="1"/>
  <c r="C66" i="330"/>
  <c r="C15" i="241" s="1"/>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F13" i="241" s="1"/>
  <c r="E56" i="330"/>
  <c r="E13" i="241" s="1"/>
  <c r="D56" i="330"/>
  <c r="D13" i="241" s="1"/>
  <c r="C56" i="330"/>
  <c r="C13" i="241" s="1"/>
  <c r="I55" i="330"/>
  <c r="J55" i="330" s="1"/>
  <c r="I54" i="330"/>
  <c r="J54" i="330" s="1"/>
  <c r="I53" i="330"/>
  <c r="J53" i="330" s="1"/>
  <c r="K50" i="330"/>
  <c r="K12" i="241" s="1"/>
  <c r="I52" i="330"/>
  <c r="J52" i="330" s="1"/>
  <c r="G50" i="330"/>
  <c r="G12" i="241" s="1"/>
  <c r="F50" i="330"/>
  <c r="E50" i="330"/>
  <c r="E12" i="241" s="1"/>
  <c r="D50" i="330"/>
  <c r="D12" i="241" s="1"/>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F11" i="241" s="1"/>
  <c r="E28" i="330"/>
  <c r="E11" i="241" s="1"/>
  <c r="D28" i="330"/>
  <c r="D11" i="241" s="1"/>
  <c r="C28" i="330"/>
  <c r="I26" i="330"/>
  <c r="J26" i="330" s="1"/>
  <c r="K25" i="330"/>
  <c r="K9" i="241" s="1"/>
  <c r="H25" i="330"/>
  <c r="H9" i="241" s="1"/>
  <c r="G25" i="330"/>
  <c r="G9" i="241" s="1"/>
  <c r="F25" i="330"/>
  <c r="E25" i="330"/>
  <c r="E9" i="241" s="1"/>
  <c r="D25" i="330"/>
  <c r="D9" i="241" s="1"/>
  <c r="C25" i="330"/>
  <c r="C9" i="241" s="1"/>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G8" i="241" s="1"/>
  <c r="F10" i="330"/>
  <c r="F8" i="241" s="1"/>
  <c r="E10" i="330"/>
  <c r="E8" i="241" s="1"/>
  <c r="D10" i="330"/>
  <c r="D8" i="241" s="1"/>
  <c r="C10" i="330"/>
  <c r="C8" i="241" s="1"/>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F46" i="241"/>
  <c r="D44" i="241"/>
  <c r="C41" i="241"/>
  <c r="G40" i="241"/>
  <c r="G37" i="241"/>
  <c r="C37" i="241"/>
  <c r="F36" i="241"/>
  <c r="G35" i="241"/>
  <c r="G34" i="241"/>
  <c r="F34" i="241"/>
  <c r="E30" i="241"/>
  <c r="C24" i="241"/>
  <c r="G23" i="241"/>
  <c r="C23" i="241"/>
  <c r="D22" i="241"/>
  <c r="C22" i="241"/>
  <c r="D21" i="241"/>
  <c r="F18" i="241"/>
  <c r="C18" i="241"/>
  <c r="G14" i="241"/>
  <c r="F14" i="241"/>
  <c r="C14" i="241"/>
  <c r="C12" i="241"/>
  <c r="F9" i="241"/>
  <c r="K3" i="241"/>
  <c r="J3" i="241"/>
  <c r="I3" i="241"/>
  <c r="H3" i="241"/>
  <c r="G3" i="241"/>
  <c r="F3" i="241"/>
  <c r="E3" i="241"/>
  <c r="D3" i="241"/>
  <c r="C3" i="241"/>
  <c r="B2" i="241"/>
  <c r="A2" i="241"/>
  <c r="H52" i="267"/>
  <c r="G52" i="267"/>
  <c r="A51" i="267"/>
  <c r="I50" i="267"/>
  <c r="A50" i="267"/>
  <c r="A49" i="267"/>
  <c r="I48" i="267"/>
  <c r="H48" i="267"/>
  <c r="G48" i="267"/>
  <c r="F48" i="267"/>
  <c r="E48" i="267"/>
  <c r="D48" i="267"/>
  <c r="C48" i="267"/>
  <c r="B48" i="267"/>
  <c r="E46" i="267"/>
  <c r="J45" i="267"/>
  <c r="D45" i="267"/>
  <c r="C45" i="267"/>
  <c r="J44" i="267"/>
  <c r="C44" i="267"/>
  <c r="J43" i="267"/>
  <c r="D43" i="267"/>
  <c r="D40" i="267"/>
  <c r="B40" i="267"/>
  <c r="D39" i="267"/>
  <c r="C38" i="267"/>
  <c r="C37"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X36" i="329"/>
  <c r="X11" i="329"/>
  <c r="H33" i="317" l="1"/>
  <c r="J40" i="267"/>
  <c r="H10" i="174"/>
  <c r="E13" i="172"/>
  <c r="F150" i="330"/>
  <c r="G129" i="330"/>
  <c r="C40" i="267"/>
  <c r="K76" i="333"/>
  <c r="I63" i="335"/>
  <c r="J63" i="335" s="1"/>
  <c r="K99" i="335"/>
  <c r="K51" i="324"/>
  <c r="K10" i="268" s="1"/>
  <c r="I286" i="324"/>
  <c r="I330" i="324"/>
  <c r="C38" i="181"/>
  <c r="C42" i="181" s="1"/>
  <c r="C44" i="181" s="1"/>
  <c r="I160" i="242"/>
  <c r="J160" i="242" s="1"/>
  <c r="I140" i="326"/>
  <c r="J140" i="326" s="1"/>
  <c r="B79" i="100"/>
  <c r="G100" i="330"/>
  <c r="K106" i="324"/>
  <c r="K15" i="268" s="1"/>
  <c r="F110" i="242"/>
  <c r="K110" i="325"/>
  <c r="C110" i="333"/>
  <c r="G110" i="333"/>
  <c r="I140" i="333"/>
  <c r="J140" i="333" s="1"/>
  <c r="C110" i="335"/>
  <c r="G110" i="335"/>
  <c r="C31" i="183"/>
  <c r="I49" i="269"/>
  <c r="J49" i="269" s="1"/>
  <c r="B5" i="100"/>
  <c r="I12" i="268"/>
  <c r="J12" i="268" s="1"/>
  <c r="G38" i="268"/>
  <c r="K40" i="324"/>
  <c r="K9" i="268" s="1"/>
  <c r="I73" i="324"/>
  <c r="J73" i="324" s="1"/>
  <c r="I128" i="324"/>
  <c r="J128" i="324" s="1"/>
  <c r="K31" i="183"/>
  <c r="I43" i="183"/>
  <c r="J43" i="183" s="1"/>
  <c r="I154" i="326"/>
  <c r="J154" i="326" s="1"/>
  <c r="I69" i="325"/>
  <c r="J69" i="325" s="1"/>
  <c r="C75" i="325"/>
  <c r="C166" i="325" s="1"/>
  <c r="K99" i="325"/>
  <c r="K75" i="325" s="1"/>
  <c r="C110" i="325"/>
  <c r="G110" i="325"/>
  <c r="E117" i="325"/>
  <c r="K8" i="333"/>
  <c r="K17" i="333"/>
  <c r="K99" i="333"/>
  <c r="K130" i="333"/>
  <c r="K118" i="333"/>
  <c r="C7" i="335"/>
  <c r="H99" i="335"/>
  <c r="I99" i="335" s="1"/>
  <c r="J99" i="335" s="1"/>
  <c r="D36" i="267"/>
  <c r="K83" i="323"/>
  <c r="K13" i="272" s="1"/>
  <c r="I84" i="324"/>
  <c r="J84" i="324" s="1"/>
  <c r="D15" i="318"/>
  <c r="I163" i="326"/>
  <c r="J163" i="326" s="1"/>
  <c r="C7" i="325"/>
  <c r="I160" i="333"/>
  <c r="J160" i="333" s="1"/>
  <c r="J24" i="238"/>
  <c r="K185" i="323"/>
  <c r="K25" i="272" s="1"/>
  <c r="I67" i="318"/>
  <c r="J67" i="318" s="1"/>
  <c r="K83" i="318"/>
  <c r="K84" i="318" s="1"/>
  <c r="K17" i="242"/>
  <c r="K27" i="242"/>
  <c r="K38" i="242"/>
  <c r="K117" i="242"/>
  <c r="F117" i="242"/>
  <c r="H69" i="326"/>
  <c r="K27" i="333"/>
  <c r="K38" i="333"/>
  <c r="C117" i="333"/>
  <c r="F110" i="335"/>
  <c r="E38" i="18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D29" i="267"/>
  <c r="D33" i="267" s="1"/>
  <c r="E6" i="330"/>
  <c r="G37" i="268"/>
  <c r="K95" i="324"/>
  <c r="K14" i="268" s="1"/>
  <c r="I297" i="324"/>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G20" i="241" s="1"/>
  <c r="D74" i="330"/>
  <c r="K209" i="330"/>
  <c r="K41" i="241" s="1"/>
  <c r="N340" i="323"/>
  <c r="R340" i="323"/>
  <c r="V340" i="323"/>
  <c r="K174" i="323"/>
  <c r="I19" i="268"/>
  <c r="J19" i="268" s="1"/>
  <c r="I187" i="324"/>
  <c r="J187" i="324" s="1"/>
  <c r="I308" i="324"/>
  <c r="E52" i="269"/>
  <c r="I46" i="269"/>
  <c r="J46" i="269" s="1"/>
  <c r="F8" i="334"/>
  <c r="I163" i="242"/>
  <c r="J163" i="242" s="1"/>
  <c r="D117" i="325"/>
  <c r="E110" i="333"/>
  <c r="K110" i="333"/>
  <c r="I135" i="333"/>
  <c r="J135" i="333" s="1"/>
  <c r="K75" i="333"/>
  <c r="C75" i="333"/>
  <c r="F102" i="318"/>
  <c r="G50" i="267"/>
  <c r="C54" i="317"/>
  <c r="C56" i="317" s="1"/>
  <c r="D55" i="317" s="1"/>
  <c r="D52" i="317"/>
  <c r="D54" i="317" s="1"/>
  <c r="I135" i="325"/>
  <c r="J135" i="325" s="1"/>
  <c r="I63" i="325"/>
  <c r="J63" i="325" s="1"/>
  <c r="K140" i="325"/>
  <c r="K138" i="325" s="1"/>
  <c r="K13" i="325"/>
  <c r="H13" i="325"/>
  <c r="F110" i="325"/>
  <c r="I157" i="325"/>
  <c r="J157" i="325" s="1"/>
  <c r="I160" i="325"/>
  <c r="J160" i="325" s="1"/>
  <c r="I163" i="325"/>
  <c r="J163" i="325" s="1"/>
  <c r="D75" i="325"/>
  <c r="J38" i="269"/>
  <c r="J35" i="269" s="1"/>
  <c r="I35" i="269"/>
  <c r="K38" i="326"/>
  <c r="D117" i="242"/>
  <c r="C63" i="268"/>
  <c r="K21" i="175"/>
  <c r="F9" i="178" s="1"/>
  <c r="D75" i="242"/>
  <c r="K45" i="242"/>
  <c r="K7" i="242" s="1"/>
  <c r="C75" i="242"/>
  <c r="H6" i="180"/>
  <c r="K67" i="318"/>
  <c r="D102" i="318"/>
  <c r="D68" i="318"/>
  <c r="D31" i="318"/>
  <c r="A43" i="269"/>
  <c r="F52" i="317"/>
  <c r="F54" i="317" s="1"/>
  <c r="F66" i="317" s="1"/>
  <c r="H52" i="317"/>
  <c r="H54" i="317" s="1"/>
  <c r="H66" i="317" s="1"/>
  <c r="D223" i="330"/>
  <c r="D45" i="241"/>
  <c r="D43" i="241" s="1"/>
  <c r="G197" i="330"/>
  <c r="D197" i="330"/>
  <c r="F129" i="330"/>
  <c r="I93" i="330"/>
  <c r="J93" i="330" s="1"/>
  <c r="C74" i="330"/>
  <c r="K56" i="330"/>
  <c r="K13" i="241" s="1"/>
  <c r="E7" i="241"/>
  <c r="E6" i="241" s="1"/>
  <c r="D38" i="267"/>
  <c r="C41" i="178"/>
  <c r="B38" i="267"/>
  <c r="G25" i="268"/>
  <c r="I25" i="268"/>
  <c r="J25" i="268" s="1"/>
  <c r="E341" i="324"/>
  <c r="B29" i="267"/>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I14" i="241" s="1"/>
  <c r="J14" i="241" s="1"/>
  <c r="H8" i="272"/>
  <c r="K207" i="323"/>
  <c r="K27" i="272" s="1"/>
  <c r="H76" i="335"/>
  <c r="I78" i="335"/>
  <c r="J78" i="335" s="1"/>
  <c r="F30" i="241"/>
  <c r="F29" i="241" s="1"/>
  <c r="H75" i="330"/>
  <c r="H17" i="241" s="1"/>
  <c r="I17" i="241" s="1"/>
  <c r="J17" i="241" s="1"/>
  <c r="D8" i="272"/>
  <c r="D21" i="272" s="1"/>
  <c r="I318" i="323"/>
  <c r="J318" i="323" s="1"/>
  <c r="H317" i="323"/>
  <c r="H37" i="272" s="1"/>
  <c r="K172" i="324"/>
  <c r="I51" i="324"/>
  <c r="J51" i="324" s="1"/>
  <c r="G10" i="268"/>
  <c r="I139" i="324"/>
  <c r="J139" i="324" s="1"/>
  <c r="G18" i="268"/>
  <c r="I18" i="268" s="1"/>
  <c r="J18" i="268" s="1"/>
  <c r="C36" i="267"/>
  <c r="C50" i="267"/>
  <c r="C17" i="241"/>
  <c r="C16" i="241" s="1"/>
  <c r="H19" i="241"/>
  <c r="I19" i="241" s="1"/>
  <c r="J19" i="241" s="1"/>
  <c r="C30" i="241"/>
  <c r="G30" i="241"/>
  <c r="G29" i="241" s="1"/>
  <c r="K10" i="330"/>
  <c r="K8" i="241" s="1"/>
  <c r="K6" i="241" s="1"/>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C33" i="267" s="1"/>
  <c r="D17" i="241"/>
  <c r="D16" i="241" s="1"/>
  <c r="C27" i="330"/>
  <c r="K75" i="330"/>
  <c r="K17"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D28" i="334"/>
  <c r="G9" i="334"/>
  <c r="E47" i="334"/>
  <c r="F41" i="334"/>
  <c r="G41" i="334" s="1"/>
  <c r="K229" i="323"/>
  <c r="K29" i="272" s="1"/>
  <c r="I317" i="323"/>
  <c r="J317" i="323" s="1"/>
  <c r="C172" i="324"/>
  <c r="G172" i="324"/>
  <c r="I40" i="324"/>
  <c r="J40" i="324" s="1"/>
  <c r="I95" i="324"/>
  <c r="J95" i="324" s="1"/>
  <c r="G14" i="268"/>
  <c r="I106" i="324"/>
  <c r="J106" i="324" s="1"/>
  <c r="H15" i="268"/>
  <c r="J286" i="324"/>
  <c r="I34" i="268"/>
  <c r="J34" i="268" s="1"/>
  <c r="J308" i="324"/>
  <c r="I36" i="268"/>
  <c r="J36" i="268" s="1"/>
  <c r="J330" i="324"/>
  <c r="I38" i="268"/>
  <c r="J38" i="268" s="1"/>
  <c r="D41" i="178"/>
  <c r="E10" i="174"/>
  <c r="K30" i="318"/>
  <c r="E100" i="318"/>
  <c r="L65" i="317"/>
  <c r="L52" i="317"/>
  <c r="L54" i="317" s="1"/>
  <c r="L66" i="317" s="1"/>
  <c r="H16" i="183"/>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K117" i="333"/>
  <c r="D7" i="174"/>
  <c r="D172" i="324"/>
  <c r="H172" i="324"/>
  <c r="I161" i="324"/>
  <c r="J161" i="324" s="1"/>
  <c r="L342" i="324"/>
  <c r="P342" i="324"/>
  <c r="T342" i="324"/>
  <c r="H198" i="324"/>
  <c r="I198" i="324" s="1"/>
  <c r="I26" i="268" s="1"/>
  <c r="E11" i="174"/>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27" i="335" s="1"/>
  <c r="J27" i="335" s="1"/>
  <c r="I69" i="335"/>
  <c r="J69" i="335" s="1"/>
  <c r="K76" i="335"/>
  <c r="K75" i="335" s="1"/>
  <c r="I151" i="335"/>
  <c r="J151" i="335" s="1"/>
  <c r="I63" i="242"/>
  <c r="J63" i="242" s="1"/>
  <c r="D7" i="326"/>
  <c r="D75" i="326"/>
  <c r="K75" i="326"/>
  <c r="D110" i="326"/>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I8" i="268"/>
  <c r="J8" i="268" s="1"/>
  <c r="D14" i="174"/>
  <c r="G49" i="318"/>
  <c r="G104" i="318" s="1"/>
  <c r="I231" i="324"/>
  <c r="I29" i="268" s="1"/>
  <c r="J29" i="268" s="1"/>
  <c r="C40" i="251" s="1"/>
  <c r="G75" i="335"/>
  <c r="F7" i="326"/>
  <c r="I99" i="242"/>
  <c r="J99" i="242" s="1"/>
  <c r="H30" i="267"/>
  <c r="I30" i="267" s="1"/>
  <c r="F63" i="268"/>
  <c r="L21" i="175"/>
  <c r="E50" i="267"/>
  <c r="I20" i="269"/>
  <c r="J20" i="269" s="1"/>
  <c r="I43" i="269"/>
  <c r="J43" i="269" s="1"/>
  <c r="I26" i="269"/>
  <c r="J26" i="269" s="1"/>
  <c r="I29" i="269"/>
  <c r="J29" i="269" s="1"/>
  <c r="C52" i="269"/>
  <c r="G52" i="269"/>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C39" i="251"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C39" i="241"/>
  <c r="B83" i="100"/>
  <c r="A1" i="177" s="1"/>
  <c r="B93" i="100"/>
  <c r="B99" i="100"/>
  <c r="D39" i="241"/>
  <c r="C39" i="272"/>
  <c r="I13" i="272"/>
  <c r="J13" i="272" s="1"/>
  <c r="H21" i="268"/>
  <c r="I13" i="268"/>
  <c r="J13" i="268" s="1"/>
  <c r="I16" i="268"/>
  <c r="J16" i="268" s="1"/>
  <c r="I20" i="268"/>
  <c r="J20" i="268" s="1"/>
  <c r="D10" i="174"/>
  <c r="I11" i="268"/>
  <c r="J11" i="268" s="1"/>
  <c r="G16" i="241"/>
  <c r="F16" i="241"/>
  <c r="C20" i="241"/>
  <c r="I47" i="241"/>
  <c r="J47" i="241" s="1"/>
  <c r="D21" i="268"/>
  <c r="I10" i="268"/>
  <c r="J10" i="268" s="1"/>
  <c r="I14" i="268"/>
  <c r="J14" i="268" s="1"/>
  <c r="I15" i="268"/>
  <c r="J15" i="268" s="1"/>
  <c r="I7" i="268"/>
  <c r="J7" i="268" s="1"/>
  <c r="F40" i="267"/>
  <c r="K7" i="335"/>
  <c r="J11" i="267"/>
  <c r="K32" i="269"/>
  <c r="G106" i="318"/>
  <c r="O2" i="317"/>
  <c r="B47" i="100"/>
  <c r="A1" i="331"/>
  <c r="B4" i="331"/>
  <c r="B8" i="331" s="1"/>
  <c r="A1" i="328"/>
  <c r="K45" i="24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12" i="241" s="1"/>
  <c r="J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A50" i="323"/>
  <c r="H105" i="323"/>
  <c r="I106" i="323"/>
  <c r="J106" i="323" s="1"/>
  <c r="G20" i="272"/>
  <c r="B14" i="100"/>
  <c r="Q3" i="317" s="1"/>
  <c r="B77" i="100"/>
  <c r="A1" i="267" s="1"/>
  <c r="B81" i="100"/>
  <c r="A1" i="268" s="1"/>
  <c r="B94" i="100"/>
  <c r="G74" i="330"/>
  <c r="H86" i="330"/>
  <c r="I86" i="330" s="1"/>
  <c r="J86" i="330" s="1"/>
  <c r="K101" i="330"/>
  <c r="K151" i="330"/>
  <c r="I190" i="330"/>
  <c r="J190" i="330" s="1"/>
  <c r="H189" i="330"/>
  <c r="K216" i="330"/>
  <c r="K42" i="241" s="1"/>
  <c r="G171" i="323"/>
  <c r="G6" i="272"/>
  <c r="X38" i="329"/>
  <c r="B80" i="100"/>
  <c r="A1" i="182" s="1"/>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11" i="241"/>
  <c r="C10" i="241" s="1"/>
  <c r="G11" i="241"/>
  <c r="D24" i="241"/>
  <c r="D20" i="241" s="1"/>
  <c r="H24" i="241"/>
  <c r="I24" i="241" s="1"/>
  <c r="J24" i="241" s="1"/>
  <c r="F7" i="241"/>
  <c r="F6" i="241" s="1"/>
  <c r="F6" i="330"/>
  <c r="I63" i="330"/>
  <c r="J63" i="330" s="1"/>
  <c r="F100" i="330"/>
  <c r="F22" i="241"/>
  <c r="F20" i="241" s="1"/>
  <c r="I119" i="330"/>
  <c r="J119" i="330" s="1"/>
  <c r="G25" i="241"/>
  <c r="I25" i="241" s="1"/>
  <c r="J25" i="241" s="1"/>
  <c r="D150" i="330"/>
  <c r="D35" i="241"/>
  <c r="D33" i="241" s="1"/>
  <c r="H173" i="330"/>
  <c r="H35" i="241" s="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9" i="318" s="1"/>
  <c r="K100" i="318" s="1"/>
  <c r="I7" i="324"/>
  <c r="J7" i="324" s="1"/>
  <c r="K39" i="177"/>
  <c r="K41" i="177" s="1"/>
  <c r="J46" i="267" s="1"/>
  <c r="J25" i="182"/>
  <c r="C23" i="251" s="1"/>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E53" i="174"/>
  <c r="E14" i="174" s="1"/>
  <c r="H61" i="174"/>
  <c r="E26" i="175"/>
  <c r="E27" i="175" s="1"/>
  <c r="I26" i="175"/>
  <c r="I27" i="175" s="1"/>
  <c r="D26" i="175"/>
  <c r="D27" i="175" s="1"/>
  <c r="H26" i="175"/>
  <c r="H27" i="175" s="1"/>
  <c r="H32" i="269"/>
  <c r="A35" i="269"/>
  <c r="F52" i="269"/>
  <c r="G8" i="334"/>
  <c r="G27" i="334"/>
  <c r="F31" i="334"/>
  <c r="G46" i="334"/>
  <c r="I56" i="318"/>
  <c r="J56" i="318" s="1"/>
  <c r="E52" i="317"/>
  <c r="E65" i="317"/>
  <c r="I76" i="326"/>
  <c r="J76" i="326" s="1"/>
  <c r="K253" i="324"/>
  <c r="K31" i="268" s="1"/>
  <c r="H18" i="177"/>
  <c r="G43" i="267" s="1"/>
  <c r="H43" i="267" s="1"/>
  <c r="I43" i="267" s="1"/>
  <c r="G38" i="174"/>
  <c r="H43" i="174"/>
  <c r="G11" i="174"/>
  <c r="L14" i="175"/>
  <c r="A49" i="269"/>
  <c r="E15" i="318"/>
  <c r="D84" i="318"/>
  <c r="K220" i="324"/>
  <c r="K28" i="268" s="1"/>
  <c r="I242" i="324"/>
  <c r="J242" i="324" s="1"/>
  <c r="I275" i="324"/>
  <c r="J275" i="324" s="1"/>
  <c r="K275" i="324"/>
  <c r="K33" i="268" s="1"/>
  <c r="C13" i="178"/>
  <c r="G13" i="178"/>
  <c r="D26" i="178"/>
  <c r="K14" i="175"/>
  <c r="F26" i="175"/>
  <c r="F27" i="175" s="1"/>
  <c r="J26" i="175"/>
  <c r="J27" i="175" s="1"/>
  <c r="F32" i="269"/>
  <c r="H52" i="269"/>
  <c r="A46" i="269"/>
  <c r="F16" i="334"/>
  <c r="G16" i="334" s="1"/>
  <c r="D106" i="318"/>
  <c r="K46" i="318"/>
  <c r="K47" i="318" s="1"/>
  <c r="C102" i="318"/>
  <c r="G65" i="317"/>
  <c r="G52" i="317"/>
  <c r="K65" i="317"/>
  <c r="K52" i="317"/>
  <c r="K54" i="317" s="1"/>
  <c r="K66" i="317" s="1"/>
  <c r="P65" i="317"/>
  <c r="P52" i="317"/>
  <c r="P54" i="317" s="1"/>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C78" i="172"/>
  <c r="B78" i="172" s="1"/>
  <c r="C26" i="175"/>
  <c r="C27" i="175" s="1"/>
  <c r="G26" i="175"/>
  <c r="G27" i="175" s="1"/>
  <c r="D53" i="172"/>
  <c r="H53" i="172"/>
  <c r="B53" i="172"/>
  <c r="F53" i="172"/>
  <c r="N46" i="317"/>
  <c r="N52" i="317" s="1"/>
  <c r="F39" i="177"/>
  <c r="A1" i="241"/>
  <c r="A1" i="330"/>
  <c r="A1" i="178"/>
  <c r="D64" i="100"/>
  <c r="A1" i="251"/>
  <c r="B61" i="100"/>
  <c r="J52" i="317"/>
  <c r="E43" i="267"/>
  <c r="F106" i="318"/>
  <c r="I46" i="318"/>
  <c r="J46" i="318" s="1"/>
  <c r="J31" i="182"/>
  <c r="C29" i="251" s="1"/>
  <c r="E18" i="267"/>
  <c r="E19" i="267" s="1"/>
  <c r="H9" i="267"/>
  <c r="I9" i="267" s="1"/>
  <c r="H10" i="267"/>
  <c r="I10" i="267" s="1"/>
  <c r="F11" i="267"/>
  <c r="G38" i="182"/>
  <c r="G42" i="182" s="1"/>
  <c r="G44" i="182" s="1"/>
  <c r="G46" i="182" s="1"/>
  <c r="G48" i="182" s="1"/>
  <c r="E11" i="267"/>
  <c r="G27" i="174"/>
  <c r="G26" i="174"/>
  <c r="G28"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C38" i="251" s="1"/>
  <c r="H32" i="267"/>
  <c r="I32" i="267" s="1"/>
  <c r="F33" i="267"/>
  <c r="E33" i="267"/>
  <c r="F74" i="268"/>
  <c r="G74" i="268"/>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I17" i="242"/>
  <c r="J17" i="242" s="1"/>
  <c r="F7" i="242"/>
  <c r="C39" i="177"/>
  <c r="C41" i="177" s="1"/>
  <c r="B46" i="267" s="1"/>
  <c r="E7" i="335"/>
  <c r="G151" i="333"/>
  <c r="I151" i="333" s="1"/>
  <c r="J151" i="333" s="1"/>
  <c r="I149" i="333"/>
  <c r="J149" i="333" s="1"/>
  <c r="G69" i="333"/>
  <c r="I69" i="333" s="1"/>
  <c r="J69" i="333" s="1"/>
  <c r="G13" i="333"/>
  <c r="I13" i="333" s="1"/>
  <c r="J13" i="333" s="1"/>
  <c r="G8" i="333"/>
  <c r="I8" i="333" s="1"/>
  <c r="J8" i="333" s="1"/>
  <c r="H7" i="333"/>
  <c r="E7" i="333"/>
  <c r="E75" i="325"/>
  <c r="I76" i="325"/>
  <c r="J76" i="325" s="1"/>
  <c r="E7" i="325"/>
  <c r="H117" i="242"/>
  <c r="H75" i="242"/>
  <c r="E7" i="242"/>
  <c r="H38" i="181"/>
  <c r="H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E74" i="330"/>
  <c r="E10" i="241"/>
  <c r="E27" i="330"/>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I74" i="268" l="1"/>
  <c r="J74" i="268" s="1"/>
  <c r="F20" i="178"/>
  <c r="J21" i="317"/>
  <c r="J33" i="317" s="1"/>
  <c r="J54" i="317" s="1"/>
  <c r="J66" i="317" s="1"/>
  <c r="N20" i="317"/>
  <c r="N21" i="317" s="1"/>
  <c r="N33" i="317" s="1"/>
  <c r="F25" i="178"/>
  <c r="F37" i="267" s="1"/>
  <c r="C40" i="272"/>
  <c r="H138" i="325"/>
  <c r="I138" i="325" s="1"/>
  <c r="J138" i="325" s="1"/>
  <c r="G54" i="317"/>
  <c r="G66" i="317" s="1"/>
  <c r="K43" i="241"/>
  <c r="I21" i="241"/>
  <c r="I140" i="242"/>
  <c r="J140" i="242" s="1"/>
  <c r="I50" i="330"/>
  <c r="J50" i="330" s="1"/>
  <c r="E166" i="335"/>
  <c r="H75" i="335"/>
  <c r="I75" i="335" s="1"/>
  <c r="J75" i="335" s="1"/>
  <c r="H31" i="183"/>
  <c r="C54" i="269"/>
  <c r="I172" i="324"/>
  <c r="J172" i="324" s="1"/>
  <c r="G54" i="269"/>
  <c r="J52" i="267"/>
  <c r="J50" i="267"/>
  <c r="G59" i="174"/>
  <c r="G17" i="174" s="1"/>
  <c r="K339" i="323"/>
  <c r="E54" i="317"/>
  <c r="I42" i="181"/>
  <c r="J42" i="181" s="1"/>
  <c r="F54" i="269"/>
  <c r="D166" i="242"/>
  <c r="C104" i="318"/>
  <c r="C126" i="330"/>
  <c r="C258" i="330" s="1"/>
  <c r="K24" i="272"/>
  <c r="D40" i="268"/>
  <c r="E46" i="174" s="1"/>
  <c r="E8" i="174" s="1"/>
  <c r="K16" i="241"/>
  <c r="F249" i="330"/>
  <c r="F259" i="330" s="1"/>
  <c r="E343" i="324"/>
  <c r="D56" i="317"/>
  <c r="E55" i="317" s="1"/>
  <c r="G166" i="242"/>
  <c r="F166" i="242"/>
  <c r="I75" i="242"/>
  <c r="J75" i="242" s="1"/>
  <c r="C166" i="242"/>
  <c r="F166" i="325"/>
  <c r="F46" i="267"/>
  <c r="F7" i="178"/>
  <c r="K54" i="269"/>
  <c r="K166" i="335"/>
  <c r="E166" i="333"/>
  <c r="K7" i="326"/>
  <c r="K166" i="326" s="1"/>
  <c r="C166" i="326"/>
  <c r="D166" i="326"/>
  <c r="N65" i="317"/>
  <c r="I151" i="330"/>
  <c r="J151" i="330" s="1"/>
  <c r="C249" i="330"/>
  <c r="C259" i="330" s="1"/>
  <c r="K223" i="330"/>
  <c r="D249" i="330"/>
  <c r="D259" i="330" s="1"/>
  <c r="D126" i="330"/>
  <c r="D258" i="330" s="1"/>
  <c r="G126" i="330"/>
  <c r="G258" i="330" s="1"/>
  <c r="C341" i="324"/>
  <c r="C343" i="324" s="1"/>
  <c r="H26" i="268"/>
  <c r="J26" i="268" s="1"/>
  <c r="C37" i="251" s="1"/>
  <c r="D343" i="324"/>
  <c r="K39" i="272"/>
  <c r="K171" i="323"/>
  <c r="D40" i="272"/>
  <c r="D341" i="323"/>
  <c r="I49" i="318"/>
  <c r="J49" i="318" s="1"/>
  <c r="E47" i="268"/>
  <c r="E63" i="268" s="1"/>
  <c r="H74" i="330"/>
  <c r="I74" i="330" s="1"/>
  <c r="J74" i="330" s="1"/>
  <c r="I75" i="330"/>
  <c r="J75" i="330" s="1"/>
  <c r="K26" i="175"/>
  <c r="K27" i="175" s="1"/>
  <c r="G166" i="335"/>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242"/>
  <c r="I7" i="242" s="1"/>
  <c r="J7" i="242"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C42" i="251" s="1"/>
  <c r="I30" i="268"/>
  <c r="J30" i="268" s="1"/>
  <c r="C41" i="251" s="1"/>
  <c r="J220" i="324"/>
  <c r="H75" i="325"/>
  <c r="I75" i="325" s="1"/>
  <c r="J75" i="325" s="1"/>
  <c r="I117" i="325"/>
  <c r="J117" i="325" s="1"/>
  <c r="D54" i="269"/>
  <c r="H7" i="335"/>
  <c r="I7" i="335" s="1"/>
  <c r="J7" i="335" s="1"/>
  <c r="G7" i="333"/>
  <c r="H166" i="333"/>
  <c r="J264" i="324"/>
  <c r="H54" i="269"/>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C20" i="267"/>
  <c r="C23" i="267" s="1"/>
  <c r="C25" i="267" s="1"/>
  <c r="K21" i="272"/>
  <c r="H20" i="241"/>
  <c r="C40" i="268"/>
  <c r="D46" i="174" s="1"/>
  <c r="D8" i="174" s="1"/>
  <c r="H17" i="174"/>
  <c r="I33" i="268"/>
  <c r="J33" i="268" s="1"/>
  <c r="C44" i="251" s="1"/>
  <c r="K39" i="268"/>
  <c r="K40" i="268" s="1"/>
  <c r="J28" i="267" s="1"/>
  <c r="K341" i="324"/>
  <c r="K343" i="324" s="1"/>
  <c r="E66" i="317"/>
  <c r="I114" i="242"/>
  <c r="J114" i="242" s="1"/>
  <c r="H110" i="242"/>
  <c r="I110" i="242" s="1"/>
  <c r="J110" i="242" s="1"/>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C43" i="251" s="1"/>
  <c r="J43" i="268"/>
  <c r="D20" i="267"/>
  <c r="D23" i="267" s="1"/>
  <c r="D25" i="267" s="1"/>
  <c r="E341" i="323"/>
  <c r="E40" i="272"/>
  <c r="J9" i="272"/>
  <c r="E49" i="241"/>
  <c r="E126" i="330"/>
  <c r="J21" i="241"/>
  <c r="I20" i="241"/>
  <c r="F19" i="267"/>
  <c r="H19" i="267" s="1"/>
  <c r="I19" i="267" s="1"/>
  <c r="J36" i="182"/>
  <c r="I38" i="182"/>
  <c r="J38" i="182" s="1"/>
  <c r="F27" i="174"/>
  <c r="F26" i="174"/>
  <c r="F17" i="174"/>
  <c r="F28" i="174"/>
  <c r="G166" i="325"/>
  <c r="F166" i="333"/>
  <c r="I106" i="318"/>
  <c r="J106" i="318" s="1"/>
  <c r="J99" i="318"/>
  <c r="I52" i="269"/>
  <c r="K40" i="272" l="1"/>
  <c r="K341" i="323"/>
  <c r="E56" i="317"/>
  <c r="F55" i="317" s="1"/>
  <c r="F56" i="317" s="1"/>
  <c r="G55" i="317" s="1"/>
  <c r="G56" i="317" s="1"/>
  <c r="H55" i="317" s="1"/>
  <c r="H56" i="317" s="1"/>
  <c r="I55" i="317" s="1"/>
  <c r="I56" i="317" s="1"/>
  <c r="J55" i="317" s="1"/>
  <c r="J56" i="317" s="1"/>
  <c r="K55" i="317" s="1"/>
  <c r="K56" i="317" s="1"/>
  <c r="L55" i="317" s="1"/>
  <c r="L56" i="317" s="1"/>
  <c r="M55" i="317" s="1"/>
  <c r="M56" i="317" s="1"/>
  <c r="N55" i="317" s="1"/>
  <c r="N56" i="317" s="1"/>
  <c r="F35" i="178"/>
  <c r="G48" i="174"/>
  <c r="G10" i="174" s="1"/>
  <c r="C28" i="267"/>
  <c r="D86" i="268"/>
  <c r="G250" i="330"/>
  <c r="C250" i="330"/>
  <c r="E50" i="241"/>
  <c r="D171" i="335"/>
  <c r="H46" i="267"/>
  <c r="I46" i="267" s="1"/>
  <c r="F171" i="326"/>
  <c r="G54" i="174"/>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G53" i="174" l="1"/>
  <c r="G14" i="174" s="1"/>
  <c r="F41" i="178"/>
  <c r="F38" i="267"/>
  <c r="H86" i="268"/>
  <c r="G52" i="174"/>
  <c r="F36" i="267"/>
  <c r="F26" i="178"/>
  <c r="I39" i="268"/>
  <c r="J39" i="268" s="1"/>
  <c r="K50" i="241"/>
  <c r="H63" i="268"/>
  <c r="I47" i="268"/>
  <c r="G171" i="242"/>
  <c r="G171" i="335"/>
  <c r="K250" i="330"/>
  <c r="G86" i="268"/>
  <c r="F28" i="267"/>
  <c r="H28" i="267" s="1"/>
  <c r="I28" i="267" s="1"/>
  <c r="G171" i="326"/>
  <c r="H171" i="326"/>
  <c r="H171" i="335"/>
  <c r="H40" i="272"/>
  <c r="J21" i="272"/>
  <c r="H258" i="330"/>
  <c r="I126" i="330"/>
  <c r="H250" i="330"/>
  <c r="I250" i="330" s="1"/>
  <c r="J250" i="330"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13" i="174" l="1"/>
  <c r="G39" i="174"/>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<sst xmlns="http://schemas.openxmlformats.org/spreadsheetml/2006/main" count="3111" uniqueCount="1644">
  <si>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</si>
  <si>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</si>
  <si>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</si>
  <si>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</si>
  <si>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</si>
  <si>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</si>
  <si>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</si>
  <si>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</si>
  <si>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</si>
  <si>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</si>
  <si>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</si>
  <si>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</si>
  <si>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</si>
  <si>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</si>
  <si>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</si>
  <si>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</si>
  <si>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</si>
  <si>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</si>
  <si>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</si>
  <si>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</si>
  <si>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</si>
  <si>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</si>
  <si>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</si>
  <si>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</si>
  <si>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</si>
  <si>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</si>
  <si>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</si>
  <si>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</si>
  <si>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</si>
  <si>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</si>
  <si>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</si>
  <si>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</si>
  <si>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</si>
  <si>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</si>
  <si>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</si>
  <si>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</si>
  <si>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</si>
  <si>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</si>
  <si>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</si>
  <si>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</si>
  <si>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</si>
  <si>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</si>
  <si>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</si>
  <si>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</si>
  <si>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</si>
  <si>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</si>
  <si>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</si>
  <si>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</si>
  <si>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</si>
  <si>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</si>
  <si>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</si>
  <si>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</si>
  <si>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</si>
  <si>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</si>
  <si>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</si>
  <si>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</si>
  <si>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</si>
  <si>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</si>
  <si>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</si>
  <si>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</si>
  <si>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</si>
  <si>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</si>
  <si>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</si>
  <si>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</si>
  <si>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</si>
  <si>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</si>
  <si>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</si>
  <si>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</si>
  <si>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</si>
  <si>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</si>
  <si>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</si>
  <si>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</si>
  <si>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</si>
  <si>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</si>
  <si>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</si>
  <si>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</si>
  <si>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</si>
  <si>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</si>
  <si>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</si>
  <si>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</si>
  <si>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</si>
  <si>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</si>
  <si>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</si>
  <si>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</si>
  <si>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</si>
  <si>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</si>
  <si>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</si>
  <si>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</si>
  <si>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</si>
  <si>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</si>
  <si>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</si>
  <si>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</si>
  <si>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</si>
  <si>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</si>
  <si>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</si>
  <si>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</si>
  <si>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</si>
  <si>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</si>
  <si>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</si>
  <si>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</si>
  <si>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</si>
  <si>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</si>
  <si>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</si>
  <si>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</si>
  <si>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</si>
  <si>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</si>
  <si>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</si>
  <si>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</si>
  <si>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</si>
  <si>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</si>
  <si>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</si>
  <si>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</si>
  <si>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</si>
  <si>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</si>
  <si>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</si>
  <si>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</si>
  <si>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</si>
  <si>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</si>
  <si>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</si>
  <si>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</si>
  <si>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</si>
  <si>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</si>
  <si>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</si>
  <si>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</si>
  <si>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</si>
  <si>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</si>
  <si>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</si>
  <si>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</si>
  <si>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</si>
  <si>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</si>
  <si>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</si>
  <si>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</si>
  <si>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</si>
  <si>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</si>
  <si>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</si>
  <si>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</si>
  <si>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</si>
  <si>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</si>
  <si>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</si>
  <si>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</si>
  <si>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</si>
  <si>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</si>
  <si>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</si>
  <si>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</si>
  <si>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</si>
  <si>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</si>
  <si>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</si>
  <si>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</si>
  <si>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</si>
  <si>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</si>
  <si>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</si>
  <si>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</si>
  <si>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</si>
  <si>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</si>
  <si>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</si>
  <si>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</si>
  <si>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</si>
  <si>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</si>
  <si>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</si>
  <si>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</si>
  <si>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</si>
  <si>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</si>
  <si>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</si>
  <si>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</si>
  <si>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</si>
  <si>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</si>
  <si>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</si>
  <si>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</si>
  <si>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</si>
  <si>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</si>
  <si>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</si>
  <si>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</si>
  <si>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</si>
  <si>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</si>
  <si>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</si>
  <si>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</si>
  <si>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</si>
  <si>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</si>
  <si>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</si>
  <si>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</si>
  <si>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</si>
  <si>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</si>
  <si>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</si>
  <si>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</si>
  <si>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</si>
  <si>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</si>
  <si>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</si>
  <si>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</si>
  <si>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</si>
  <si>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</si>
  <si>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</si>
  <si>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</si>
  <si>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</si>
  <si>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</si>
  <si>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</si>
  <si>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</si>
  <si>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</si>
  <si>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</si>
  <si>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</si>
  <si>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</si>
  <si>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</si>
  <si>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</si>
  <si>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</si>
  <si>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</si>
  <si>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</si>
  <si>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</si>
  <si>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</si>
  <si>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</si>
  <si>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</si>
  <si>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</si>
  <si>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</si>
  <si>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</si>
  <si>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</si>
  <si>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</si>
  <si>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</si>
  <si>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</si>
  <si>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</si>
  <si>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</si>
  <si>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</si>
  <si>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</si>
  <si>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</si>
  <si>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</si>
  <si>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</si>
  <si>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</si>
  <si>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</si>
  <si>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</si>
  <si>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</si>
  <si>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</si>
  <si>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</si>
  <si>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</si>
  <si>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</si>
  <si>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</si>
  <si>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</si>
  <si>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</si>
  <si>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</si>
  <si>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</si>
  <si>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</si>
  <si>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</si>
  <si>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</si>
  <si>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</si>
  <si>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</si>
  <si>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</si>
  <si>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</si>
  <si>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</si>
  <si>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</si>
  <si>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</si>
  <si>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</si>
  <si>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</si>
  <si>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</si>
  <si>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</si>
  <si>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</si>
  <si>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</si>
  <si>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</si>
  <si>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</si>
  <si>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</si>
  <si>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</si>
  <si>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</si>
  <si>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</si>
  <si>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</si>
  <si>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</si>
  <si>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</si>
  <si>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</si>
  <si>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</si>
  <si>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</si>
  <si>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</si>
  <si>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</si>
  <si>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</si>
  <si>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</si>
  <si>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</si>
  <si>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</si>
  <si>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</si>
  <si>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</si>
  <si>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</si>
  <si>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</si>
  <si>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</si>
  <si>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</si>
  <si>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</si>
  <si>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</si>
  <si>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</si>
  <si>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</si>
  <si>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</si>
  <si>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</si>
  <si>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</si>
  <si>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</si>
  <si>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</si>
  <si>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</si>
  <si>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</si>
  <si>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</si>
  <si>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</si>
  <si>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</si>
  <si>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</si>
  <si>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</si>
  <si>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</si>
  <si>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</si>
  <si>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</si>
  <si>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</si>
  <si>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</si>
  <si>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</si>
  <si>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</si>
  <si>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</si>
  <si>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</si>
  <si>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</si>
  <si>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</si>
  <si>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</si>
  <si>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</si>
  <si>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</si>
  <si>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</si>
  <si>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</si>
  <si>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</si>
  <si>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</si>
  <si>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</si>
  <si>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</si>
  <si>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</si>
  <si>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</si>
  <si>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</si>
  <si>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</si>
  <si>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</si>
  <si>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</si>
  <si>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</si>
  <si>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</si>
  <si>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</si>
  <si>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</si>
  <si>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</si>
  <si>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</si>
  <si>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</si>
  <si>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</si>
  <si>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</si>
  <si>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</si>
  <si>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</si>
  <si>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</si>
  <si>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</si>
  <si>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</si>
  <si>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</si>
  <si>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</si>
  <si>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</si>
  <si>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</si>
  <si>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</si>
  <si>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</si>
  <si>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</si>
  <si>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</si>
  <si>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</si>
  <si>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</si>
  <si>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</si>
  <si>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</si>
  <si>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</si>
  <si>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</si>
  <si>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</si>
  <si>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</si>
  <si>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</si>
  <si>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</si>
  <si>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</si>
  <si>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</si>
  <si>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</si>
  <si>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</si>
  <si>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</si>
  <si>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</si>
  <si>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</si>
  <si>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</si>
  <si>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</si>
  <si>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</si>
  <si>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</si>
  <si>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</si>
  <si>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</si>
  <si>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</si>
  <si>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</si>
  <si>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</si>
  <si>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</si>
  <si>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</si>
  <si>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</si>
  <si>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</si>
  <si>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</si>
  <si>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</si>
  <si>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</si>
  <si>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</si>
  <si>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</si>
  <si>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</si>
  <si>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</si>
  <si>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</si>
  <si>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</si>
  <si>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</si>
  <si>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</si>
  <si>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</si>
  <si>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</si>
  <si>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</si>
  <si>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</si>
  <si>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</si>
  <si>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</si>
  <si>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</si>
  <si>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</si>
  <si>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</si>
  <si>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</si>
  <si>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</si>
  <si>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</si>
  <si>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</si>
  <si>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</si>
  <si>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</si>
  <si>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</si>
  <si>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</si>
  <si>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</si>
  <si>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</si>
  <si>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</si>
  <si>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</si>
  <si>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</si>
  <si>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</si>
  <si>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</si>
  <si>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</si>
  <si>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</si>
  <si>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</si>
  <si>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</si>
  <si>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</si>
  <si>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</si>
  <si>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</si>
  <si>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</si>
  <si>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</si>
  <si>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</si>
  <si>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</si>
  <si>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</si>
  <si>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</si>
  <si>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</si>
  <si>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</si>
  <si>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</si>
  <si>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</si>
  <si>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</si>
  <si>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</si>
  <si>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</si>
  <si>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</si>
  <si>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</si>
  <si>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</si>
  <si>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</si>
  <si>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</si>
  <si>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</si>
  <si>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</si>
  <si>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</si>
  <si>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</si>
  <si>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</si>
  <si>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</si>
  <si>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</si>
  <si>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</si>
  <si>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</si>
  <si>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</si>
  <si>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</si>
  <si>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</si>
  <si>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</si>
  <si>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</si>
  <si>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</si>
  <si>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</si>
  <si>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</si>
  <si>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</si>
  <si>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</si>
  <si>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</si>
  <si>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</si>
  <si>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</si>
  <si>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</si>
  <si>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</si>
  <si>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</si>
  <si>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</si>
  <si>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</si>
  <si>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</si>
  <si>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</si>
  <si>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</si>
  <si>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</si>
  <si>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</si>
  <si>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</si>
  <si>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</si>
  <si>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</si>
  <si>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</si>
  <si>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</si>
  <si>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</si>
  <si>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</si>
  <si>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</si>
  <si>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</si>
  <si>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</si>
  <si>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</si>
  <si>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</si>
  <si>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</si>
  <si>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</si>
  <si>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</si>
  <si>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</si>
  <si>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</si>
  <si>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</si>
  <si>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</si>
  <si>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</si>
  <si>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</si>
  <si>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</si>
  <si>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</si>
  <si>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</si>
  <si>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</si>
  <si>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</si>
  <si>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</si>
  <si>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</si>
  <si>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</si>
  <si>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</si>
  <si>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</si>
  <si>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</si>
  <si>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</si>
  <si>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</si>
  <si>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</si>
  <si>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</si>
  <si>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</si>
  <si>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</si>
  <si>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</si>
  <si>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</si>
  <si>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</si>
  <si>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</si>
  <si>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</si>
  <si>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</si>
  <si>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</si>
  <si>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</si>
  <si>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</si>
  <si>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</si>
  <si>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</si>
  <si>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</si>
  <si>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</si>
  <si>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</si>
  <si>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</si>
  <si>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</si>
  <si>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</si>
  <si>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</si>
  <si>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</si>
  <si>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</si>
  <si>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</si>
  <si>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</si>
  <si>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</si>
  <si>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</si>
  <si>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</si>
  <si>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</si>
  <si>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</si>
  <si>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</si>
  <si>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</si>
  <si>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</si>
  <si>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</si>
  <si>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</si>
  <si>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</si>
  <si>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</si>
  <si>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</si>
  <si>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</si>
  <si>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</si>
  <si>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</si>
  <si>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</si>
  <si>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</si>
  <si>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</si>
  <si>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</si>
  <si>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</si>
  <si>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</si>
  <si>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</si>
  <si>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</si>
  <si>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</si>
  <si>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</si>
  <si>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</si>
  <si>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</si>
  <si>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</si>
  <si>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</si>
  <si>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</si>
  <si>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</si>
  <si>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</si>
  <si>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</si>
  <si>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</si>
  <si>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</si>
  <si>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</si>
  <si>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</si>
  <si>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</si>
  <si>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</si>
  <si>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</si>
  <si>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</si>
  <si>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</si>
  <si>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</si>
  <si>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</si>
  <si>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</si>
  <si>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</si>
  <si>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</si>
  <si>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</si>
  <si>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</si>
  <si>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</si>
  <si>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</si>
  <si>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</si>
  <si>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</si>
  <si>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</si>
  <si>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</si>
  <si>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</si>
  <si>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</si>
  <si>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</si>
  <si>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</si>
  <si>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</si>
  <si>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</si>
  <si>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</si>
  <si>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</si>
  <si>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</si>
  <si>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</si>
  <si>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</si>
  <si>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</si>
  <si>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</si>
  <si>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</si>
  <si>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</si>
  <si>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</si>
  <si>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</si>
  <si>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</si>
  <si>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</si>
  <si>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</si>
  <si>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</si>
  <si>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</si>
  <si>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</si>
  <si>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</si>
  <si>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</si>
  <si>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</si>
  <si>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</si>
  <si>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</si>
  <si>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</si>
  <si>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</si>
  <si>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</si>
  <si>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</si>
  <si>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</si>
  <si>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</si>
  <si>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</si>
  <si>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</si>
  <si>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</si>
  <si>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</si>
  <si>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</si>
  <si>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</si>
  <si>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</si>
  <si>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</si>
  <si>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</si>
  <si>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</si>
  <si>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</si>
  <si>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</si>
  <si>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</si>
  <si>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</si>
  <si>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</si>
  <si>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</si>
  <si>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</si>
  <si>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</si>
  <si>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</si>
  <si>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</si>
  <si>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</si>
  <si>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</si>
  <si>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</si>
  <si>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</si>
  <si>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</si>
  <si>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</si>
  <si>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</si>
  <si>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</si>
  <si>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</si>
  <si>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</si>
  <si>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</si>
  <si>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</si>
  <si>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</si>
  <si>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</si>
  <si>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</si>
  <si>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</si>
  <si>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</si>
  <si>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</si>
  <si>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</si>
  <si>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</si>
  <si>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</si>
  <si>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</si>
  <si>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</si>
  <si>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</si>
  <si>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</si>
  <si>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</si>
  <si>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</si>
  <si>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</si>
  <si>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</si>
  <si>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</si>
  <si>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</si>
  <si>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</si>
  <si>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</si>
  <si>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</si>
  <si>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</si>
  <si>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</si>
  <si>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</si>
  <si>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</si>
  <si>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</si>
  <si>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</si>
  <si>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</si>
  <si>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</si>
  <si>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</si>
  <si>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</si>
  <si>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</si>
  <si>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</si>
  <si>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</si>
  <si>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</si>
  <si>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</si>
  <si>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</si>
  <si>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</si>
  <si>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</si>
  <si>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</si>
  <si>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</si>
  <si>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</si>
  <si>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</si>
  <si>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</si>
  <si>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</si>
  <si>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</si>
  <si>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</si>
  <si>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</si>
  <si>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</si>
  <si>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</si>
  <si>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</si>
  <si>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</si>
  <si>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</si>
  <si>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</si>
  <si>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</si>
  <si>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</si>
  <si>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</si>
  <si>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</si>
  <si>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</si>
  <si>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</si>
  <si>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</si>
  <si>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</si>
  <si>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</si>
  <si>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</si>
  <si>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</si>
  <si>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</si>
  <si>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</si>
  <si>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</si>
  <si>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</si>
  <si>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</si>
  <si>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</si>
  <si>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</si>
  <si>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</si>
  <si>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</si>
  <si>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</si>
  <si>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</si>
  <si>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</si>
  <si>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</si>
  <si>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</si>
  <si>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</si>
  <si>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</si>
  <si>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</si>
  <si>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</si>
  <si>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</si>
  <si>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</si>
  <si>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</si>
  <si>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</si>
  <si>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</si>
  <si>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</si>
  <si>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</si>
  <si>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</si>
  <si>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</si>
  <si>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</si>
  <si>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</si>
  <si>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</si>
  <si>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</si>
  <si>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</si>
  <si>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</si>
  <si>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</si>
  <si>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</si>
  <si>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</si>
  <si>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</si>
  <si>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</si>
  <si>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</si>
  <si>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</si>
  <si>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</si>
  <si>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</si>
  <si>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</si>
  <si>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</si>
  <si>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</si>
  <si>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</si>
  <si>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</si>
  <si>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</si>
  <si>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</si>
  <si>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</si>
  <si>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</si>
  <si>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</si>
  <si>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</si>
  <si>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</si>
  <si>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</si>
  <si>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</si>
  <si>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</si>
  <si>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</si>
  <si>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</si>
  <si>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</si>
  <si>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</si>
  <si>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</si>
  <si>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</si>
  <si>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</si>
  <si>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</si>
  <si>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</si>
  <si>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</si>
  <si>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</si>
  <si>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</si>
  <si>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</si>
  <si>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</si>
  <si>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</si>
  <si>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</si>
  <si>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</si>
  <si>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</si>
  <si>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</si>
  <si>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</si>
  <si>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</si>
  <si>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</si>
  <si>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</si>
  <si>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</si>
  <si>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</si>
  <si>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</si>
  <si>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</si>
  <si>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</si>
  <si>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</si>
  <si>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</si>
  <si>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</si>
  <si>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</si>
  <si>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</si>
  <si>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</si>
  <si>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</si>
  <si>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</si>
  <si>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</si>
  <si>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</si>
  <si>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</si>
  <si>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</si>
  <si>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</si>
  <si>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</si>
  <si>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</si>
  <si>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</si>
  <si>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</si>
  <si>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</si>
  <si>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</si>
  <si>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</si>
  <si>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</si>
  <si>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</si>
  <si>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</si>
  <si>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</si>
  <si>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</si>
  <si>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</si>
  <si>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</si>
  <si>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</si>
  <si>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</si>
  <si>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</si>
  <si>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</si>
  <si>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</si>
  <si>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</si>
  <si>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</si>
  <si>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</si>
  <si>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</si>
  <si>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</si>
  <si>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</si>
  <si>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</si>
  <si>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</si>
  <si>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</si>
  <si>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</si>
  <si>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</si>
  <si>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</si>
  <si>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</si>
  <si>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</si>
  <si>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</si>
  <si>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</si>
  <si>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</si>
  <si>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</si>
  <si>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</si>
  <si>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</si>
  <si>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</si>
  <si>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</si>
  <si>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</si>
  <si>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</si>
  <si>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</si>
  <si>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</si>
  <si>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</si>
  <si>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</si>
  <si>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</si>
  <si>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</si>
  <si>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</si>
  <si>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</si>
  <si>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</si>
  <si>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</si>
  <si>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</si>
  <si>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</si>
  <si>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</si>
  <si>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</si>
  <si>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</si>
  <si>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</si>
  <si>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</si>
  <si>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</si>
  <si>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</si>
  <si>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</si>
  <si>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</si>
  <si>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</si>
  <si>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</si>
  <si>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</si>
  <si>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</si>
  <si>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</si>
  <si>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</si>
  <si>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</si>
  <si>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</si>
  <si>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</si>
  <si>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</si>
  <si>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</si>
  <si>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</si>
  <si>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</si>
  <si>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</si>
  <si>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</si>
  <si>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</si>
  <si>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</si>
  <si>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</si>
  <si>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</si>
  <si>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</si>
  <si>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</si>
  <si>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</si>
  <si>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</si>
  <si>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</si>
  <si>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</si>
  <si>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</si>
  <si>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</si>
  <si>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</si>
  <si>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</si>
  <si>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</si>
  <si>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</si>
  <si>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</si>
  <si>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</si>
  <si>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</si>
  <si>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</si>
  <si>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</si>
  <si>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</si>
  <si>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</si>
  <si>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</si>
  <si>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</si>
  <si>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</si>
  <si>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</si>
  <si>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</si>
  <si>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</si>
  <si>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</si>
  <si>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</si>
  <si>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</si>
  <si>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</si>
  <si>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</si>
  <si>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</si>
  <si>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</si>
  <si>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</si>
  <si>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</si>
  <si>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</si>
  <si>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</si>
  <si>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</si>
  <si>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</si>
  <si>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</si>
  <si>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</si>
  <si>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</si>
  <si>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</si>
  <si>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</si>
  <si>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</si>
  <si>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</si>
  <si>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</si>
  <si>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</si>
  <si>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</si>
  <si>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</si>
  <si>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</si>
  <si>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</si>
  <si>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</si>
  <si>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</si>
  <si>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</si>
  <si>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</si>
  <si>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</si>
  <si>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</si>
  <si>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</si>
  <si>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</si>
  <si>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</si>
  <si>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</si>
  <si>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</si>
  <si>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</si>
  <si>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</si>
  <si>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</si>
  <si>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</si>
  <si>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</si>
  <si>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</si>
  <si>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</si>
  <si>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</si>
  <si>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</si>
  <si>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</si>
  <si>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</si>
  <si>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</si>
  <si>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</si>
  <si>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</si>
  <si>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</si>
  <si>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</si>
  <si>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</si>
  <si>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</si>
  <si>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</si>
  <si>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</si>
  <si>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</si>
  <si>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</si>
  <si>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</si>
  <si>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</si>
  <si>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</si>
  <si>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</si>
  <si>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</si>
  <si>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</si>
  <si>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</si>
  <si>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</si>
  <si>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</si>
  <si>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</si>
  <si>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</si>
  <si>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</si>
  <si>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</si>
  <si>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</si>
  <si>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</si>
  <si>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</si>
  <si>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</si>
  <si>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</si>
  <si>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</si>
  <si>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</si>
  <si>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</si>
  <si>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</si>
  <si>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</si>
  <si>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</si>
  <si>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</si>
  <si>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</si>
  <si>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</si>
  <si>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</si>
  <si>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</si>
  <si>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</si>
  <si>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</si>
  <si>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</si>
  <si>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</si>
  <si>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</si>
  <si>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</si>
  <si>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</si>
  <si>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</si>
  <si>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</si>
  <si>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</si>
  <si>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</si>
  <si>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</si>
  <si>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</si>
  <si>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</si>
  <si>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</si>
  <si>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</si>
  <si>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</si>
  <si>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</si>
  <si>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</si>
  <si>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</si>
  <si>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</si>
  <si>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</si>
  <si>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</si>
  <si>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</si>
  <si>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</si>
  <si>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</si>
  <si>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</si>
  <si>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</si>
  <si>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</si>
  <si>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</si>
  <si>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</si>
  <si>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</si>
  <si>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</si>
  <si>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</si>
  <si>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</si>
  <si>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</si>
  <si>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</si>
  <si>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</si>
  <si>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</si>
  <si>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</si>
  <si>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</si>
  <si>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</si>
  <si>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</si>
  <si>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</si>
  <si>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</si>
  <si>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</si>
  <si>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</si>
  <si>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</si>
  <si>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</si>
  <si>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</si>
  <si>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</si>
  <si>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</si>
  <si>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</si>
  <si>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</si>
  <si>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</si>
  <si>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</si>
  <si>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</si>
  <si>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</si>
  <si>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</si>
  <si>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</si>
  <si>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</si>
  <si>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</si>
  <si>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</si>
  <si>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</si>
  <si>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</si>
  <si>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</si>
  <si>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</si>
  <si>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</si>
  <si>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</si>
  <si>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</si>
  <si>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</si>
  <si>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</si>
  <si>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</si>
  <si>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</si>
  <si>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</si>
  <si>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</si>
  <si>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</si>
  <si>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</si>
  <si>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</si>
  <si>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</si>
  <si>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</si>
  <si>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</si>
  <si>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</si>
  <si>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</si>
  <si>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</si>
  <si>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</si>
  <si>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</si>
  <si>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</si>
  <si>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</si>
  <si>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</si>
  <si>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</si>
  <si>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</si>
  <si>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</si>
  <si>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</si>
  <si>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</si>
  <si>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</si>
  <si>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</si>
  <si>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</si>
  <si>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</si>
  <si>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</si>
  <si>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</si>
  <si>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</si>
  <si>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</si>
  <si>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</si>
  <si>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</si>
  <si>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</si>
  <si>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</si>
  <si>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</si>
  <si>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</si>
  <si>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</si>
  <si>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</si>
  <si>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</si>
  <si>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</si>
  <si>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</si>
  <si>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</si>
  <si>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</si>
  <si>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</si>
  <si>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</si>
  <si>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</si>
  <si>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</si>
  <si>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</si>
  <si>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</si>
  <si>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</si>
  <si>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</si>
  <si>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</si>
  <si>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</si>
  <si>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</si>
  <si>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</si>
  <si>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</si>
  <si>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</si>
  <si>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</si>
  <si>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</si>
  <si>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</si>
  <si>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</si>
  <si>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</si>
  <si>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</si>
  <si>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</si>
  <si>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</si>
  <si>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</si>
  <si>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</si>
  <si>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</si>
  <si>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</si>
  <si>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</si>
  <si>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</si>
  <si>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</si>
  <si>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</si>
  <si>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</si>
  <si>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</si>
  <si>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</si>
  <si>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</si>
  <si>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</si>
  <si>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</si>
  <si>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</si>
  <si>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</si>
  <si>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</si>
  <si>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</si>
  <si>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</si>
  <si>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</si>
  <si>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</si>
  <si>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</si>
  <si>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</si>
  <si>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</si>
  <si>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</si>
  <si>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</si>
  <si>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</si>
  <si>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</si>
  <si>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</si>
  <si>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</si>
  <si>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</si>
  <si>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</si>
  <si>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</si>
  <si>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</si>
  <si>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</si>
  <si>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</si>
  <si>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</si>
  <si>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</si>
  <si>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</si>
  <si>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</si>
  <si>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</si>
  <si>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</si>
  <si>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</si>
  <si>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</si>
  <si>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</si>
  <si>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</si>
  <si>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</si>
  <si>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</si>
  <si>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</si>
  <si>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</si>
  <si>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</si>
  <si>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</si>
  <si>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</si>
  <si>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</si>
  <si>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</si>
  <si>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</si>
  <si>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</si>
  <si>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</si>
  <si>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</si>
  <si>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</si>
  <si>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</si>
  <si>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</si>
  <si>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</si>
  <si>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</si>
  <si>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</si>
  <si>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</si>
  <si>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</si>
  <si>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</si>
  <si>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</si>
  <si>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</si>
  <si>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</si>
  <si>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</si>
  <si>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</si>
  <si>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</si>
  <si>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</si>
  <si>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</si>
  <si>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</si>
  <si>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</si>
  <si>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</si>
  <si>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</si>
  <si>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</si>
  <si>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</si>
  <si>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</si>
  <si>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</si>
  <si>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</si>
  <si>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</si>
  <si>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</si>
  <si>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</si>
  <si>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</si>
  <si>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</si>
  <si>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</si>
  <si>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</si>
  <si>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</si>
  <si>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</si>
  <si>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</si>
  <si>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</si>
  <si>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</si>
  <si>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</si>
  <si>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</si>
  <si>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</si>
  <si>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</si>
  <si>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</si>
  <si>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</si>
  <si>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</si>
  <si>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</si>
  <si>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</si>
  <si>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</si>
  <si>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</si>
  <si>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</si>
  <si>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</si>
  <si>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</si>
  <si>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</si>
  <si>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</si>
  <si>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</si>
  <si>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</si>
  <si>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</si>
  <si>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</si>
  <si>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</si>
  <si>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</si>
  <si>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</si>
  <si>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</si>
  <si>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</si>
  <si>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</si>
  <si>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</si>
  <si>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</si>
  <si>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</si>
  <si>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</si>
  <si>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</si>
  <si>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</si>
  <si>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</si>
  <si>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</si>
  <si>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</si>
  <si>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</si>
  <si>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</si>
  <si>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</si>
  <si>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</si>
  <si>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</si>
  <si>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</si>
  <si>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</si>
  <si>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</si>
  <si>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</si>
  <si>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</si>
  <si>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</si>
  <si>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</si>
  <si>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</si>
  <si>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</si>
  <si>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</si>
  <si>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</si>
  <si>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</si>
  <si>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</si>
  <si>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</si>
  <si>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</si>
  <si>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</si>
  <si>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</si>
  <si>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</si>
  <si>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</si>
  <si>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</si>
  <si>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</si>
  <si>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</si>
  <si>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</si>
  <si>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</si>
  <si>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</si>
  <si>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</si>
  <si>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</si>
  <si>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</si>
  <si>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</si>
  <si>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</si>
  <si>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</si>
  <si>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</si>
  <si>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</si>
  <si>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</si>
  <si>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</si>
  <si>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</si>
  <si>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</si>
  <si>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</si>
  <si>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</si>
  <si>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</si>
  <si>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</si>
  <si>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</si>
  <si>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</si>
  <si>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</si>
  <si>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</si>
  <si>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</si>
  <si>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</si>
  <si>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</si>
  <si>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</si>
  <si>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</si>
  <si>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</si>
  <si>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</si>
  <si>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</si>
  <si>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</si>
  <si>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</si>
  <si>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</si>
  <si>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</si>
  <si>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</si>
  <si>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</si>
  <si>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</si>
  <si>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</si>
  <si>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</si>
  <si>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</si>
  <si>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</si>
  <si>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</si>
  <si>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</si>
  <si>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</si>
  <si>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</si>
  <si>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</si>
  <si>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</si>
  <si>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</si>
  <si>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</si>
  <si>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</si>
  <si>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</si>
  <si>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</si>
  <si>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</si>
  <si>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</si>
  <si>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</si>
  <si>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</si>
  <si>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</si>
  <si>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</si>
  <si>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</si>
  <si>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</si>
  <si>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</si>
  <si>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</si>
  <si>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</si>
  <si>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</si>
  <si>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</si>
  <si>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</si>
  <si>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</si>
  <si>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</si>
  <si>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</si>
  <si>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</si>
  <si>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</si>
  <si>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</si>
  <si>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</si>
  <si>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</si>
  <si>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</si>
  <si>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</si>
  <si>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</si>
  <si>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</si>
  <si>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</si>
  <si>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</si>
  <si>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</si>
  <si>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</si>
  <si>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</si>
  <si>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</si>
  <si>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</si>
  <si>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</si>
  <si>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</si>
  <si>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</si>
  <si>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</si>
  <si>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</si>
  <si>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</si>
  <si>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</si>
  <si>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</si>
  <si>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</si>
  <si>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</si>
  <si>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</si>
  <si>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</si>
  <si>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</si>
  <si>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</si>
  <si>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</si>
  <si>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</si>
  <si>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</si>
  <si>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</si>
  <si>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</si>
  <si>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</si>
  <si>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</si>
  <si>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</si>
  <si>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</si>
  <si>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</si>
  <si>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</si>
  <si>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</si>
  <si>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</si>
  <si>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</si>
  <si>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</si>
  <si>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</si>
  <si>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</si>
  <si>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</si>
  <si>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</si>
  <si>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</si>
  <si>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</si>
  <si>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</si>
  <si>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</si>
  <si>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</si>
  <si>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</si>
  <si>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</si>
  <si>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</si>
  <si>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</si>
  <si>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</si>
  <si>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</si>
  <si>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</si>
  <si>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</si>
  <si>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</si>
  <si>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</si>
  <si>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</si>
  <si>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</si>
  <si>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</si>
  <si>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</si>
  <si>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</si>
  <si>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</si>
  <si>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</si>
  <si>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</si>
  <si>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</si>
  <si>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</si>
  <si>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</si>
  <si>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</si>
  <si>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</si>
  <si>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</si>
  <si>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</si>
  <si>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</si>
  <si>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</si>
  <si>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</si>
  <si>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</si>
  <si>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</si>
  <si>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</si>
  <si>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</si>
  <si>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</si>
  <si>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</si>
  <si>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</si>
  <si>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</si>
  <si>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</si>
  <si>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</si>
  <si>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</si>
  <si>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</si>
  <si>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</si>
  <si>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</si>
  <si>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</si>
  <si>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</si>
  <si>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</si>
  <si>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</si>
  <si>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</si>
  <si>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</si>
  <si>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</si>
  <si>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</si>
  <si>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</si>
  <si>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</si>
  <si>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</si>
  <si>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</si>
  <si>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</si>
  <si>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</si>
  <si>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</si>
  <si>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</si>
  <si>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</si>
  <si>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</si>
  <si>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</si>
  <si>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</si>
  <si>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</si>
  <si>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</si>
  <si>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</si>
  <si>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</si>
  <si>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</si>
  <si>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</si>
  <si>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</si>
  <si>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</si>
  <si>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</si>
  <si>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</si>
  <si>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</si>
  <si>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</si>
  <si>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</si>
  <si>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</si>
  <si>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</si>
  <si>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</si>
  <si>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</si>
  <si>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</si>
  <si>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</si>
  <si>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</si>
  <si>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</si>
  <si>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</si>
  <si>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</si>
  <si>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</si>
  <si>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</si>
  <si>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</si>
  <si>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</si>
  <si>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</si>
  <si>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</si>
  <si>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</si>
  <si>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</si>
  <si>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</si>
  <si>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</si>
  <si>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</si>
  <si>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</si>
  <si>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</si>
  <si>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</si>
  <si>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</si>
  <si>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</si>
  <si>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</si>
  <si>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</si>
  <si>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</si>
  <si>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</si>
  <si>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</si>
  <si>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</si>
  <si>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</si>
  <si>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</si>
  <si>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</si>
  <si>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</si>
  <si>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</si>
  <si>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</si>
  <si>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</si>
  <si>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</si>
  <si>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</si>
  <si>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</si>
  <si>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</si>
  <si>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</si>
  <si>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</si>
  <si>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</si>
  <si>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</si>
  <si>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</si>
  <si>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</si>
  <si>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</si>
  <si>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</si>
  <si>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</si>
  <si>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</si>
  <si>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</si>
  <si>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</si>
  <si>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</si>
  <si>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</si>
  <si>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</si>
  <si>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</si>
  <si>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</si>
  <si>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</si>
  <si>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</si>
  <si>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</si>
  <si>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</si>
  <si>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</si>
  <si>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</si>
  <si>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</si>
  <si>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</si>
  <si>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</si>
  <si>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</si>
  <si>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</si>
  <si>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</si>
  <si>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</si>
  <si>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</si>
  <si>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</si>
  <si>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</si>
  <si>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</si>
  <si>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</si>
  <si>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</si>
  <si>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</si>
  <si>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</si>
  <si>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</si>
  <si>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</si>
  <si>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</si>
  <si>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</si>
  <si>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</si>
  <si>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</si>
  <si>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</si>
  <si>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</si>
  <si>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</si>
  <si>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</si>
  <si>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</si>
  <si>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</si>
  <si>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</si>
  <si>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</si>
  <si>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</si>
  <si>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</si>
  <si>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</si>
  <si>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</si>
  <si>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</si>
  <si>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</si>
  <si>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</si>
  <si>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</si>
  <si>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</si>
  <si>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</si>
  <si>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</si>
  <si>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</si>
  <si>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</si>
  <si>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</si>
  <si>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</si>
  <si>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</si>
  <si>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</si>
  <si>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</si>
  <si>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</si>
  <si>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</si>
  <si>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</si>
  <si>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</si>
  <si>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</si>
  <si>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</si>
  <si>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</si>
  <si>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</si>
  <si>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</si>
  <si>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</si>
  <si>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</si>
  <si>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</si>
  <si>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</si>
  <si>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</si>
  <si>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</si>
  <si>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</si>
  <si>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</si>
  <si>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</si>
  <si>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</si>
  <si>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</si>
  <si>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</si>
  <si>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</si>
  <si>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</si>
  <si>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</si>
  <si>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</si>
  <si>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</si>
  <si>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</si>
  <si>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Under spending due to non-cash provisions which will be calculated at financial year end</t>
  </si>
  <si>
    <t>This expenditure is dependent on needs and requirements of departments for materials.</t>
  </si>
  <si>
    <t>Delayed due to late  appointment of contractors</t>
  </si>
  <si>
    <t>This is due to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</si>
</sst>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78">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66" fontId="17" fillId="0" borderId="0" xfId="28" applyNumberFormat="1" applyFont="1" applyFill="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240646147</c:v>
                </c:pt>
                <c:pt idx="1">
                  <c:v>76739990</c:v>
                </c:pt>
                <c:pt idx="2">
                  <c:v>53876246</c:v>
                </c:pt>
                <c:pt idx="3">
                  <c:v>49750121</c:v>
                </c:pt>
                <c:pt idx="4">
                  <c:v>37769812</c:v>
                </c:pt>
                <c:pt idx="5">
                  <c:v>35251921</c:v>
                </c:pt>
                <c:pt idx="6">
                  <c:v>123912857</c:v>
                </c:pt>
                <c:pt idx="7">
                  <c:v>863267445</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-19131011.229999993</c:v>
                </c:pt>
                <c:pt idx="1">
                  <c:v>63901998.010000005</c:v>
                </c:pt>
                <c:pt idx="2">
                  <c:v>45037411.109999999</c:v>
                </c:pt>
                <c:pt idx="3">
                  <c:v>28878773.199999999</c:v>
                </c:pt>
                <c:pt idx="4">
                  <c:v>27439369.510000002</c:v>
                </c:pt>
                <c:pt idx="5">
                  <c:v>24087956.16</c:v>
                </c:pt>
                <c:pt idx="6">
                  <c:v>163666101.40000001</c:v>
                </c:pt>
                <c:pt idx="7">
                  <c:v>690399278.50999999</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303148696"/>
        <c:axId val="303143600"/>
        <c:axId val="0"/>
      </c:bar3DChart>
      <c:catAx>
        <c:axId val="303148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143600"/>
        <c:crosses val="autoZero"/>
        <c:auto val="1"/>
        <c:lblAlgn val="ctr"/>
        <c:lblOffset val="100"/>
        <c:tickLblSkip val="1"/>
        <c:tickMarkSkip val="1"/>
        <c:noMultiLvlLbl val="0"/>
      </c:catAx>
      <c:valAx>
        <c:axId val="30314360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14869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103250461.75</c:v>
                </c:pt>
                <c:pt idx="1">
                  <c:v>413189278.15999997</c:v>
                </c:pt>
                <c:pt idx="2">
                  <c:v>920338362.91999996</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106443775</c:v>
                </c:pt>
                <c:pt idx="1">
                  <c:v>425968328</c:v>
                </c:pt>
                <c:pt idx="2">
                  <c:v>948802436</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03141248"/>
        <c:axId val="303141640"/>
        <c:axId val="0"/>
      </c:bar3DChart>
      <c:catAx>
        <c:axId val="3031412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141640"/>
        <c:crosses val="autoZero"/>
        <c:auto val="1"/>
        <c:lblAlgn val="ctr"/>
        <c:lblOffset val="100"/>
        <c:tickLblSkip val="1"/>
        <c:tickMarkSkip val="1"/>
        <c:noMultiLvlLbl val="0"/>
      </c:catAx>
      <c:valAx>
        <c:axId val="3031416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14124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53236049</c:v>
                </c:pt>
                <c:pt idx="1">
                  <c:v>18438235</c:v>
                </c:pt>
                <c:pt idx="2">
                  <c:v>0</c:v>
                </c:pt>
                <c:pt idx="3">
                  <c:v>0</c:v>
                </c:pt>
                <c:pt idx="4">
                  <c:v>0</c:v>
                </c:pt>
                <c:pt idx="5">
                  <c:v>0</c:v>
                </c:pt>
                <c:pt idx="6">
                  <c:v>10733951</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59901730.020000003</c:v>
                </c:pt>
                <c:pt idx="1">
                  <c:v>36539758.159999996</c:v>
                </c:pt>
                <c:pt idx="2">
                  <c:v>0</c:v>
                </c:pt>
                <c:pt idx="3">
                  <c:v>0</c:v>
                </c:pt>
                <c:pt idx="4">
                  <c:v>0</c:v>
                </c:pt>
                <c:pt idx="5">
                  <c:v>0</c:v>
                </c:pt>
                <c:pt idx="6">
                  <c:v>87228450.179999992</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303145168"/>
        <c:axId val="303148304"/>
        <c:axId val="0"/>
      </c:bar3DChart>
      <c:catAx>
        <c:axId val="303145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8304"/>
        <c:crosses val="autoZero"/>
        <c:auto val="1"/>
        <c:lblAlgn val="ctr"/>
        <c:lblOffset val="100"/>
        <c:tickLblSkip val="2"/>
        <c:tickMarkSkip val="1"/>
        <c:noMultiLvlLbl val="0"/>
      </c:catAx>
      <c:valAx>
        <c:axId val="303148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51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199282000</c:v>
                </c:pt>
                <c:pt idx="9">
                  <c:v>226991000</c:v>
                </c:pt>
                <c:pt idx="10">
                  <c:v>278808000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45515291.767000005</c:v>
                </c:pt>
                <c:pt idx="2">
                  <c:v>63024484.609000005</c:v>
                </c:pt>
                <c:pt idx="3">
                  <c:v>63068303.311999992</c:v>
                </c:pt>
                <c:pt idx="4">
                  <c:v>124247725.67</c:v>
                </c:pt>
                <c:pt idx="5">
                  <c:v>152138184.78950003</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303146344"/>
        <c:axId val="303147128"/>
        <c:axId val="0"/>
      </c:bar3DChart>
      <c:catAx>
        <c:axId val="303146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3147128"/>
        <c:crosses val="autoZero"/>
        <c:auto val="1"/>
        <c:lblAlgn val="ctr"/>
        <c:lblOffset val="100"/>
        <c:tickLblSkip val="1"/>
        <c:tickMarkSkip val="1"/>
        <c:noMultiLvlLbl val="0"/>
      </c:catAx>
      <c:valAx>
        <c:axId val="30314712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314634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130812960.88700001</c:v>
                </c:pt>
                <c:pt idx="2">
                  <c:v>193837445.49600002</c:v>
                </c:pt>
                <c:pt idx="3">
                  <c:v>256905748.80800003</c:v>
                </c:pt>
                <c:pt idx="4">
                  <c:v>381153474.47800004</c:v>
                </c:pt>
                <c:pt idx="5">
                  <c:v>533291659.26750004</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976179474.47800004</c:v>
                </c:pt>
                <c:pt idx="9">
                  <c:v>1203170474.4780002</c:v>
                </c:pt>
                <c:pt idx="10">
                  <c:v>1481978474.4780002</c:v>
                </c:pt>
                <c:pt idx="11">
                  <c:v>1830632112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304260456"/>
        <c:axId val="304257712"/>
        <c:axId val="0"/>
      </c:bar3DChart>
      <c:catAx>
        <c:axId val="304260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4257712"/>
        <c:crosses val="autoZero"/>
        <c:auto val="1"/>
        <c:lblAlgn val="ctr"/>
        <c:lblOffset val="100"/>
        <c:tickLblSkip val="1"/>
        <c:tickMarkSkip val="1"/>
        <c:noMultiLvlLbl val="0"/>
      </c:catAx>
      <c:valAx>
        <c:axId val="3042577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42604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6" val="4"/>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938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556260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7" activePane="bottomRight" state="frozen"/>
      <selection pane="topRight"/>
      <selection pane="bottomLeft"/>
      <selection pane="bottomRight" activeCell="N25" sqref="N24:P25"/>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3" t="str">
        <f>muni&amp; " - "&amp;S71C&amp; " - "&amp;date</f>
        <v>LIM354 Polokwane - Table C3 Monthly Budget Statement - Financial Performance (revenue and expenditure by municipal vote) - M06 December</v>
      </c>
      <c r="B1" s="1033"/>
      <c r="C1" s="1033"/>
      <c r="D1" s="1033"/>
      <c r="E1" s="1033"/>
      <c r="F1" s="1033"/>
      <c r="G1" s="1033"/>
      <c r="H1" s="1033"/>
      <c r="I1" s="1033"/>
      <c r="J1" s="1033"/>
      <c r="K1" s="1033"/>
    </row>
    <row r="2" spans="1:24" x14ac:dyDescent="0.2">
      <c r="A2" s="20" t="str">
        <f>Vdesc</f>
        <v>Vote Description</v>
      </c>
      <c r="B2" s="1024" t="str">
        <f>head27</f>
        <v>Ref</v>
      </c>
      <c r="C2" s="143" t="str">
        <f>Head1</f>
        <v>2018/19</v>
      </c>
      <c r="D2" s="1026" t="str">
        <f>Head2</f>
        <v>Budget Year 2019/20</v>
      </c>
      <c r="E2" s="1027"/>
      <c r="F2" s="1027"/>
      <c r="G2" s="1027"/>
      <c r="H2" s="1027"/>
      <c r="I2" s="1027"/>
      <c r="J2" s="1027"/>
      <c r="K2" s="1028"/>
    </row>
    <row r="3" spans="1:24" ht="20.399999999999999" x14ac:dyDescent="0.2">
      <c r="A3" s="169"/>
      <c r="B3" s="1035"/>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36"/>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4482</v>
      </c>
      <c r="I6" s="45">
        <f>G6-H6</f>
        <v>-4482</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0</v>
      </c>
      <c r="G7" s="45">
        <f>'C3C'!G17</f>
        <v>0</v>
      </c>
      <c r="H7" s="45">
        <f>'C3C'!H17</f>
        <v>1001994</v>
      </c>
      <c r="I7" s="45">
        <f t="shared" ref="I7:I20" si="0">G7-H7</f>
        <v>-1001994</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96970016.030000016</v>
      </c>
      <c r="G8" s="45">
        <f>'C3C'!G28</f>
        <v>261089992.16999999</v>
      </c>
      <c r="H8" s="45">
        <f>'C3C'!H28</f>
        <v>222377988</v>
      </c>
      <c r="I8" s="45">
        <f t="shared" si="0"/>
        <v>38712004.169999987</v>
      </c>
      <c r="J8" s="725">
        <f t="shared" si="1"/>
        <v>0.17408199668575106</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72755288.86999999</v>
      </c>
      <c r="G9" s="45">
        <f>'C3C'!G39</f>
        <v>501674378</v>
      </c>
      <c r="H9" s="45">
        <f>'C3C'!H39</f>
        <v>596421996</v>
      </c>
      <c r="I9" s="45">
        <f t="shared" si="0"/>
        <v>-94747618</v>
      </c>
      <c r="J9" s="725">
        <f t="shared" si="1"/>
        <v>-0.15886003305619198</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8305335.1600000001</v>
      </c>
      <c r="G10" s="45">
        <f>'C3C'!G50</f>
        <v>58454326.640000001</v>
      </c>
      <c r="H10" s="45">
        <f>'C3C'!H50</f>
        <v>72831456</v>
      </c>
      <c r="I10" s="45">
        <f t="shared" si="0"/>
        <v>-14377129.359999999</v>
      </c>
      <c r="J10" s="725">
        <f t="shared" si="1"/>
        <v>-0.19740274531927524</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4450196.84</v>
      </c>
      <c r="G11" s="45">
        <f>'C3C'!G61</f>
        <v>15253302.809999999</v>
      </c>
      <c r="H11" s="45">
        <f>'C3C'!H61</f>
        <v>33129486</v>
      </c>
      <c r="I11" s="45">
        <f t="shared" si="0"/>
        <v>-17876183.190000001</v>
      </c>
      <c r="J11" s="725">
        <f t="shared" si="1"/>
        <v>-0.53958528635186198</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189016.46000000002</v>
      </c>
      <c r="G12" s="45">
        <f>'C3C'!G72</f>
        <v>2652230.4099999997</v>
      </c>
      <c r="H12" s="45">
        <f>'C3C'!H72</f>
        <v>2834472</v>
      </c>
      <c r="I12" s="45">
        <f t="shared" si="0"/>
        <v>-182241.59000000032</v>
      </c>
      <c r="J12" s="725">
        <f t="shared" si="1"/>
        <v>-6.4294722262206269E-2</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598357.4</v>
      </c>
      <c r="G13" s="45">
        <f>'C3C'!G83</f>
        <v>7767371.2799999993</v>
      </c>
      <c r="H13" s="45">
        <f>'C3C'!H83</f>
        <v>26739966</v>
      </c>
      <c r="I13" s="45">
        <f t="shared" si="0"/>
        <v>-18972594.719999999</v>
      </c>
      <c r="J13" s="725">
        <f t="shared" si="1"/>
        <v>-0.70952202108259965</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3143104980</v>
      </c>
      <c r="F14" s="45">
        <f>'C3C'!F94</f>
        <v>389909594.09399998</v>
      </c>
      <c r="G14" s="45">
        <f>'C3C'!G94</f>
        <v>1418485335.0975008</v>
      </c>
      <c r="H14" s="45">
        <f>'C3C'!H94</f>
        <v>1571552490</v>
      </c>
      <c r="I14" s="45">
        <f t="shared" si="0"/>
        <v>-153067154.9024992</v>
      </c>
      <c r="J14" s="725">
        <f t="shared" si="1"/>
        <v>-9.7398690706474084E-2</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6084231.4000000004</v>
      </c>
      <c r="G15" s="45">
        <f>'C3C'!G105</f>
        <v>49594548.470000006</v>
      </c>
      <c r="H15" s="45">
        <f>'C3C'!H105</f>
        <v>138486</v>
      </c>
      <c r="I15" s="45">
        <f t="shared" si="0"/>
        <v>49456062.470000006</v>
      </c>
      <c r="J15" s="725">
        <f t="shared" si="1"/>
        <v>357.11958226824379</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527277.24</v>
      </c>
      <c r="H16" s="45">
        <f>'C3C'!H116</f>
        <v>4428996</v>
      </c>
      <c r="I16" s="45">
        <f t="shared" si="0"/>
        <v>-3901718.76</v>
      </c>
      <c r="J16" s="725">
        <f t="shared" si="1"/>
        <v>-0.88094881097205768</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5062923624</v>
      </c>
      <c r="F21" s="74">
        <f t="shared" si="2"/>
        <v>579352691.19400001</v>
      </c>
      <c r="G21" s="74">
        <f t="shared" si="2"/>
        <v>2315498762.1175003</v>
      </c>
      <c r="H21" s="74">
        <f t="shared" si="2"/>
        <v>2531461812</v>
      </c>
      <c r="I21" s="74">
        <f t="shared" si="2"/>
        <v>-215963049.88249919</v>
      </c>
      <c r="J21" s="726">
        <f t="shared" si="1"/>
        <v>-8.5311596982723586E-2</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176406368</v>
      </c>
      <c r="F24" s="45">
        <f>'C3C'!F174</f>
        <v>14132652.840000002</v>
      </c>
      <c r="G24" s="45">
        <f>'C3C'!G174</f>
        <v>73926623.290000007</v>
      </c>
      <c r="H24" s="45">
        <f>'C3C'!H174</f>
        <v>86952082</v>
      </c>
      <c r="I24" s="45">
        <f t="shared" ref="I24:I38" si="3">G24-H24</f>
        <v>-13025458.709999993</v>
      </c>
      <c r="J24" s="725">
        <f t="shared" ref="J24:J29" si="4">IF(I24=0,"",I24/H24)</f>
        <v>-0.14980042352522385</v>
      </c>
      <c r="K24" s="145">
        <f>'C3C'!K174</f>
        <v>176406368</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308168240</v>
      </c>
      <c r="F25" s="45">
        <f>'C3C'!F185</f>
        <v>41121021.829999998</v>
      </c>
      <c r="G25" s="45">
        <f>'C3C'!G185</f>
        <v>82672600.50999999</v>
      </c>
      <c r="H25" s="45">
        <f>'C3C'!H185</f>
        <v>155167020</v>
      </c>
      <c r="I25" s="45">
        <f t="shared" si="3"/>
        <v>-72494419.49000001</v>
      </c>
      <c r="J25" s="725">
        <f t="shared" si="4"/>
        <v>-0.46720249889441717</v>
      </c>
      <c r="K25" s="145">
        <f>'C3C'!K185</f>
        <v>308168240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476062004</v>
      </c>
      <c r="F26" s="45">
        <f>'C3C'!F196</f>
        <v>38823336.669999994</v>
      </c>
      <c r="G26" s="45">
        <f>'C3C'!G196</f>
        <v>206803145.84999999</v>
      </c>
      <c r="H26" s="45">
        <f>'C3C'!H196</f>
        <v>238030952</v>
      </c>
      <c r="I26" s="45">
        <f t="shared" si="3"/>
        <v>-31227806.150000006</v>
      </c>
      <c r="J26" s="725">
        <f t="shared" si="4"/>
        <v>-0.1311922079360503</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961329708</v>
      </c>
      <c r="F27" s="45">
        <f>'C3C'!F207</f>
        <v>61413861.780000001</v>
      </c>
      <c r="G27" s="45">
        <f>'C3C'!G207</f>
        <v>473695365.33000004</v>
      </c>
      <c r="H27" s="45">
        <f>'C3C'!H207</f>
        <v>480664554</v>
      </c>
      <c r="I27" s="45">
        <f t="shared" si="3"/>
        <v>-6969188.6699999571</v>
      </c>
      <c r="J27" s="725">
        <f t="shared" si="4"/>
        <v>-1.4499069282316909E-2</v>
      </c>
      <c r="K27" s="145">
        <f>'C3C'!K207</f>
        <v>961329708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340022380</v>
      </c>
      <c r="F28" s="45">
        <f>'C3C'!F218</f>
        <v>19330947.359999996</v>
      </c>
      <c r="G28" s="45">
        <f>'C3C'!G218</f>
        <v>114011138.52999997</v>
      </c>
      <c r="H28" s="45">
        <f>'C3C'!H218</f>
        <v>169335840</v>
      </c>
      <c r="I28" s="45">
        <f t="shared" si="3"/>
        <v>-55324701.470000029</v>
      </c>
      <c r="J28" s="725">
        <f t="shared" si="4"/>
        <v>-0.32671584154895994</v>
      </c>
      <c r="K28" s="145">
        <f>'C3C'!K218</f>
        <v>340022380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276618884</v>
      </c>
      <c r="F29" s="45">
        <f>'C3C'!F229</f>
        <v>21718913.530000001</v>
      </c>
      <c r="G29" s="45">
        <f>'C3C'!G229</f>
        <v>122440992.71000001</v>
      </c>
      <c r="H29" s="45">
        <f>'C3C'!H229</f>
        <v>139045992</v>
      </c>
      <c r="I29" s="45">
        <f t="shared" si="3"/>
        <v>-16604999.289999992</v>
      </c>
      <c r="J29" s="725">
        <f t="shared" si="4"/>
        <v>-0.11942091283005117</v>
      </c>
      <c r="K29" s="145">
        <f>'C3C'!K229</f>
        <v>276618884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206025204</v>
      </c>
      <c r="F30" s="45">
        <f>'C3C'!F240</f>
        <v>23609039.809999995</v>
      </c>
      <c r="G30" s="45">
        <f>'C3C'!G240</f>
        <v>105744608.28999999</v>
      </c>
      <c r="H30" s="45">
        <f>'C3C'!H240</f>
        <v>103012452</v>
      </c>
      <c r="I30" s="45">
        <f t="shared" si="3"/>
        <v>2732156.2899999917</v>
      </c>
      <c r="J30" s="725">
        <f t="shared" ref="J30:J38" si="5">IF(I30=0,"",I30/H30)</f>
        <v>2.6522582823288118E-2</v>
      </c>
      <c r="K30" s="145">
        <f>'C3C'!K240</f>
        <v>206025204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117595276</v>
      </c>
      <c r="F31" s="45">
        <f>'C3C'!F251</f>
        <v>4528145.41</v>
      </c>
      <c r="G31" s="45">
        <f>'C3C'!G251</f>
        <v>27442367.599999998</v>
      </c>
      <c r="H31" s="45">
        <f>'C3C'!H251</f>
        <v>59767140</v>
      </c>
      <c r="I31" s="45">
        <f t="shared" si="3"/>
        <v>-32324772.400000002</v>
      </c>
      <c r="J31" s="725">
        <f t="shared" si="5"/>
        <v>-0.54084522699262505</v>
      </c>
      <c r="K31" s="145">
        <f>'C3C'!K251</f>
        <v>117595276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444014396</v>
      </c>
      <c r="F32" s="45">
        <f>'C3C'!F262</f>
        <v>27413509.790000159</v>
      </c>
      <c r="G32" s="45">
        <f>'C3C'!G262</f>
        <v>378472208.97000033</v>
      </c>
      <c r="H32" s="45">
        <f>'C3C'!H262</f>
        <v>222258450</v>
      </c>
      <c r="I32" s="45">
        <f t="shared" si="3"/>
        <v>156213758.97000033</v>
      </c>
      <c r="J32" s="725">
        <f t="shared" si="5"/>
        <v>0.70284733367842855</v>
      </c>
      <c r="K32" s="145">
        <f>'C3C'!K262</f>
        <v>444014396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228888316</v>
      </c>
      <c r="F33" s="45">
        <f>'C3C'!F273</f>
        <v>17072816.379999999</v>
      </c>
      <c r="G33" s="45">
        <f>'C3C'!G273</f>
        <v>57162870.909999996</v>
      </c>
      <c r="H33" s="45">
        <f>'C3C'!H273</f>
        <v>114444108</v>
      </c>
      <c r="I33" s="45">
        <f t="shared" si="3"/>
        <v>-57281237.090000004</v>
      </c>
      <c r="J33" s="725">
        <f>IF(I33=0,"",I33/H33)</f>
        <v>-0.50051713531639397</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12573736</v>
      </c>
      <c r="F34" s="45">
        <f>'C3C'!F284</f>
        <v>730442.82</v>
      </c>
      <c r="G34" s="45">
        <f>'C3C'!G284</f>
        <v>5121563.6900000004</v>
      </c>
      <c r="H34" s="45">
        <f>'C3C'!H284</f>
        <v>6286668</v>
      </c>
      <c r="I34" s="45">
        <f t="shared" si="3"/>
        <v>-1165104.3099999996</v>
      </c>
      <c r="J34" s="725">
        <f>IF(I34=0,"",I34/H34)</f>
        <v>-0.18532938434159393</v>
      </c>
      <c r="K34" s="145">
        <f>'C3C'!K284</f>
        <v>12573736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3547704512</v>
      </c>
      <c r="F39" s="433">
        <f t="shared" si="6"/>
        <v>269894688.22000015</v>
      </c>
      <c r="G39" s="433">
        <f t="shared" si="6"/>
        <v>1647493485.6800003</v>
      </c>
      <c r="H39" s="433">
        <f t="shared" si="6"/>
        <v>1774965258</v>
      </c>
      <c r="I39" s="433">
        <f t="shared" si="6"/>
        <v>-127471772.31999969</v>
      </c>
      <c r="J39" s="728">
        <f>IF(I39=0,"",I39/H39)</f>
        <v>-7.1816488658280941E-2</v>
      </c>
      <c r="K39" s="516">
        <f>SUM(K24:K38)</f>
        <v>3547704312</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1515219112</v>
      </c>
      <c r="F40" s="56">
        <f t="shared" si="7"/>
        <v>309458002.97399986</v>
      </c>
      <c r="G40" s="56">
        <f t="shared" si="7"/>
        <v>668005276.4375</v>
      </c>
      <c r="H40" s="56">
        <f t="shared" si="7"/>
        <v>756496554</v>
      </c>
      <c r="I40" s="56">
        <f>I21-I39</f>
        <v>-88491277.562499493</v>
      </c>
      <c r="J40" s="729">
        <f>IF(I40=0,"",I40/H40)</f>
        <v>-0.11697512314444659</v>
      </c>
      <c r="K40" s="236">
        <f>K21-K39</f>
        <v>1515219312</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55" activePane="bottomRight" state="frozen"/>
      <selection pane="topRight"/>
      <selection pane="bottomLeft"/>
      <selection pane="bottomRight" activeCell="F100" sqref="F100"/>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M06 December</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26" t="str">
        <f>Head2</f>
        <v>Budget Year 2019/20</v>
      </c>
      <c r="E2" s="1027"/>
      <c r="F2" s="1027"/>
      <c r="G2" s="1027"/>
      <c r="H2" s="1027"/>
      <c r="I2" s="1027"/>
      <c r="J2" s="1027"/>
      <c r="K2" s="1028"/>
      <c r="L2" s="1037" t="e">
        <f>Head4</f>
        <v>#REF!</v>
      </c>
      <c r="M2" s="1038"/>
      <c r="N2" s="1038"/>
      <c r="O2" s="1038"/>
      <c r="P2" s="1038"/>
      <c r="Q2" s="1038"/>
      <c r="R2" s="1038"/>
      <c r="S2" s="1038"/>
      <c r="T2" s="1038"/>
      <c r="U2" s="1038"/>
      <c r="V2" s="1038"/>
      <c r="W2" s="1039"/>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 t="shared" si="0"/>
        <v>0</v>
      </c>
      <c r="G6" s="444">
        <f t="shared" si="0"/>
        <v>0</v>
      </c>
      <c r="H6" s="446">
        <f t="shared" si="0"/>
        <v>4482</v>
      </c>
      <c r="I6" s="45">
        <f t="shared" ref="I6:I69" si="1">G6-H6</f>
        <v>-4482</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996</v>
      </c>
      <c r="F7" s="752">
        <v>0</v>
      </c>
      <c r="G7" s="751">
        <v>0</v>
      </c>
      <c r="H7" s="751">
        <f>D7/12*6</f>
        <v>498</v>
      </c>
      <c r="I7" s="45">
        <f t="shared" si="1"/>
        <v>-498</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996</v>
      </c>
      <c r="F8" s="752">
        <v>0</v>
      </c>
      <c r="G8" s="751">
        <v>0</v>
      </c>
      <c r="H8" s="751">
        <f t="shared" ref="H8:H73" si="4">D8/12*6</f>
        <v>498</v>
      </c>
      <c r="I8" s="45">
        <f t="shared" si="1"/>
        <v>-498</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996</v>
      </c>
      <c r="F9" s="752">
        <v>0</v>
      </c>
      <c r="G9" s="751">
        <v>0</v>
      </c>
      <c r="H9" s="751">
        <f t="shared" si="4"/>
        <v>498</v>
      </c>
      <c r="I9" s="45">
        <f t="shared" si="1"/>
        <v>-498</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996</v>
      </c>
      <c r="F10" s="752">
        <v>0</v>
      </c>
      <c r="G10" s="751">
        <v>0</v>
      </c>
      <c r="H10" s="751">
        <f t="shared" si="4"/>
        <v>498</v>
      </c>
      <c r="I10" s="45">
        <f t="shared" si="1"/>
        <v>-498</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996</v>
      </c>
      <c r="F11" s="752">
        <v>0</v>
      </c>
      <c r="G11" s="751">
        <v>0</v>
      </c>
      <c r="H11" s="751">
        <f t="shared" si="4"/>
        <v>498</v>
      </c>
      <c r="I11" s="45">
        <f t="shared" si="1"/>
        <v>-498</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996</v>
      </c>
      <c r="F12" s="752">
        <v>0</v>
      </c>
      <c r="G12" s="751">
        <v>0</v>
      </c>
      <c r="H12" s="751">
        <f t="shared" si="4"/>
        <v>498</v>
      </c>
      <c r="I12" s="45">
        <f t="shared" si="1"/>
        <v>-498</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996</v>
      </c>
      <c r="F13" s="752">
        <v>0</v>
      </c>
      <c r="G13" s="751">
        <v>0</v>
      </c>
      <c r="H13" s="751">
        <f t="shared" si="4"/>
        <v>498</v>
      </c>
      <c r="I13" s="45">
        <f t="shared" si="1"/>
        <v>-498</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996</v>
      </c>
      <c r="F14" s="752">
        <v>0</v>
      </c>
      <c r="G14" s="751">
        <v>0</v>
      </c>
      <c r="H14" s="751">
        <f t="shared" si="4"/>
        <v>498</v>
      </c>
      <c r="I14" s="45">
        <f t="shared" si="1"/>
        <v>-498</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996</v>
      </c>
      <c r="F15" s="752">
        <v>0</v>
      </c>
      <c r="G15" s="751">
        <v>0</v>
      </c>
      <c r="H15" s="751">
        <f t="shared" si="4"/>
        <v>498</v>
      </c>
      <c r="I15" s="45">
        <f t="shared" si="1"/>
        <v>-498</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2003988</v>
      </c>
      <c r="F17" s="446">
        <f t="shared" si="5"/>
        <v>0</v>
      </c>
      <c r="G17" s="444">
        <f t="shared" si="5"/>
        <v>0</v>
      </c>
      <c r="H17" s="444">
        <f t="shared" si="5"/>
        <v>1001994</v>
      </c>
      <c r="I17" s="45">
        <f t="shared" si="1"/>
        <v>-1001994</v>
      </c>
      <c r="J17" s="333">
        <f t="shared" si="2"/>
        <v>-1</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2001000</v>
      </c>
      <c r="F18" s="752">
        <v>0</v>
      </c>
      <c r="G18" s="751">
        <v>0</v>
      </c>
      <c r="H18" s="751">
        <f t="shared" si="4"/>
        <v>1000500</v>
      </c>
      <c r="I18" s="45">
        <f t="shared" si="1"/>
        <v>-1000500</v>
      </c>
      <c r="J18" s="333">
        <f t="shared" si="2"/>
        <v>-1</v>
      </c>
      <c r="K18" s="753">
        <f t="shared" ref="K18:K27" si="6">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996</v>
      </c>
      <c r="F19" s="752">
        <v>0</v>
      </c>
      <c r="G19" s="751">
        <v>0</v>
      </c>
      <c r="H19" s="751">
        <f t="shared" si="4"/>
        <v>498</v>
      </c>
      <c r="I19" s="45">
        <f t="shared" si="1"/>
        <v>-498</v>
      </c>
      <c r="J19" s="333">
        <f t="shared" si="2"/>
        <v>-1</v>
      </c>
      <c r="K19" s="753">
        <f t="shared" si="6"/>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996</v>
      </c>
      <c r="F20" s="752">
        <v>0</v>
      </c>
      <c r="G20" s="751">
        <v>0</v>
      </c>
      <c r="H20" s="751">
        <f t="shared" si="4"/>
        <v>498</v>
      </c>
      <c r="I20" s="45">
        <f t="shared" si="1"/>
        <v>-498</v>
      </c>
      <c r="J20" s="333">
        <f t="shared" si="2"/>
        <v>-1</v>
      </c>
      <c r="K20" s="753">
        <f t="shared" si="6"/>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996</v>
      </c>
      <c r="F21" s="752">
        <v>0</v>
      </c>
      <c r="G21" s="751">
        <v>0</v>
      </c>
      <c r="H21" s="751">
        <f t="shared" si="4"/>
        <v>498</v>
      </c>
      <c r="I21" s="45">
        <f t="shared" si="1"/>
        <v>-498</v>
      </c>
      <c r="J21" s="333">
        <f t="shared" si="2"/>
        <v>-1</v>
      </c>
      <c r="K21" s="753">
        <f t="shared" si="6"/>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4"/>
        <v>0</v>
      </c>
      <c r="I22" s="45">
        <f t="shared" si="1"/>
        <v>0</v>
      </c>
      <c r="J22" s="333" t="str">
        <f t="shared" si="2"/>
        <v/>
      </c>
      <c r="K22" s="753">
        <f t="shared" si="6"/>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f t="shared" si="4"/>
        <v>0</v>
      </c>
      <c r="I23" s="45">
        <f t="shared" si="1"/>
        <v>0</v>
      </c>
      <c r="J23" s="333" t="str">
        <f t="shared" si="2"/>
        <v/>
      </c>
      <c r="K23" s="753">
        <f t="shared" si="6"/>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f t="shared" si="4"/>
        <v>0</v>
      </c>
      <c r="I24" s="45">
        <f t="shared" si="1"/>
        <v>0</v>
      </c>
      <c r="J24" s="333" t="str">
        <f t="shared" si="2"/>
        <v/>
      </c>
      <c r="K24" s="753">
        <f t="shared" si="6"/>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f t="shared" si="4"/>
        <v>0</v>
      </c>
      <c r="I25" s="45">
        <f t="shared" si="1"/>
        <v>0</v>
      </c>
      <c r="J25" s="333" t="str">
        <f t="shared" si="2"/>
        <v/>
      </c>
      <c r="K25" s="753">
        <f t="shared" si="6"/>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f t="shared" si="4"/>
        <v>0</v>
      </c>
      <c r="I26" s="45">
        <f t="shared" si="1"/>
        <v>0</v>
      </c>
      <c r="J26" s="333" t="str">
        <f t="shared" si="2"/>
        <v/>
      </c>
      <c r="K26" s="753">
        <f t="shared" si="6"/>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f t="shared" si="4"/>
        <v>0</v>
      </c>
      <c r="I27" s="45">
        <f t="shared" si="1"/>
        <v>0</v>
      </c>
      <c r="J27" s="333" t="str">
        <f t="shared" si="2"/>
        <v/>
      </c>
      <c r="K27" s="753">
        <f t="shared" si="6"/>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7">SUM(C29:C38)</f>
        <v>367920359.03999996</v>
      </c>
      <c r="D28" s="447">
        <f t="shared" si="7"/>
        <v>444755976</v>
      </c>
      <c r="E28" s="444">
        <f t="shared" si="7"/>
        <v>444755976</v>
      </c>
      <c r="F28" s="446">
        <f t="shared" si="7"/>
        <v>96970016.030000016</v>
      </c>
      <c r="G28" s="446">
        <f t="shared" si="7"/>
        <v>261089992.16999999</v>
      </c>
      <c r="H28" s="446">
        <f t="shared" si="7"/>
        <v>222377988</v>
      </c>
      <c r="I28" s="45">
        <f t="shared" si="1"/>
        <v>38712004.169999987</v>
      </c>
      <c r="J28" s="333">
        <f t="shared" si="2"/>
        <v>0.17408199668575106</v>
      </c>
      <c r="K28" s="445">
        <f t="shared" si="7"/>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996</v>
      </c>
      <c r="F29" s="752">
        <v>5806186.9500000002</v>
      </c>
      <c r="G29" s="751">
        <v>48493894.549999997</v>
      </c>
      <c r="H29" s="751">
        <f t="shared" si="4"/>
        <v>498</v>
      </c>
      <c r="I29" s="259">
        <f t="shared" si="1"/>
        <v>48493396.549999997</v>
      </c>
      <c r="J29" s="333">
        <f t="shared" si="2"/>
        <v>97376.298293172687</v>
      </c>
      <c r="K29" s="753">
        <f t="shared" ref="K29:K37" si="8">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310978980</v>
      </c>
      <c r="F30" s="752">
        <v>91163712.790000007</v>
      </c>
      <c r="G30" s="751">
        <v>212719316.28999999</v>
      </c>
      <c r="H30" s="751">
        <f t="shared" si="4"/>
        <v>155489490</v>
      </c>
      <c r="I30" s="45">
        <f t="shared" si="1"/>
        <v>57229826.289999992</v>
      </c>
      <c r="J30" s="333">
        <f t="shared" si="2"/>
        <v>0.36806234485687739</v>
      </c>
      <c r="K30" s="753">
        <f t="shared" si="8"/>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133774008</v>
      </c>
      <c r="F31" s="752">
        <v>116.29</v>
      </c>
      <c r="G31" s="751">
        <v>-123218.67</v>
      </c>
      <c r="H31" s="751">
        <f t="shared" si="4"/>
        <v>66887004</v>
      </c>
      <c r="I31" s="45">
        <f t="shared" si="1"/>
        <v>-67010222.670000002</v>
      </c>
      <c r="J31" s="333">
        <f t="shared" si="2"/>
        <v>-1.0018421914965723</v>
      </c>
      <c r="K31" s="753">
        <f t="shared" si="8"/>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996</v>
      </c>
      <c r="F32" s="752">
        <v>0</v>
      </c>
      <c r="G32" s="751">
        <v>0</v>
      </c>
      <c r="H32" s="751">
        <f t="shared" si="4"/>
        <v>498</v>
      </c>
      <c r="I32" s="45">
        <f t="shared" si="1"/>
        <v>-498</v>
      </c>
      <c r="J32" s="333">
        <f t="shared" si="2"/>
        <v>-1</v>
      </c>
      <c r="K32" s="753">
        <f t="shared" si="8"/>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996</v>
      </c>
      <c r="F33" s="752">
        <v>0</v>
      </c>
      <c r="G33" s="751">
        <v>0</v>
      </c>
      <c r="H33" s="751">
        <f t="shared" si="4"/>
        <v>498</v>
      </c>
      <c r="I33" s="45">
        <f t="shared" si="1"/>
        <v>-498</v>
      </c>
      <c r="J33" s="333">
        <f t="shared" si="2"/>
        <v>-1</v>
      </c>
      <c r="K33" s="753">
        <f t="shared" si="8"/>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4"/>
        <v>0</v>
      </c>
      <c r="I34" s="45">
        <f t="shared" si="1"/>
        <v>0</v>
      </c>
      <c r="J34" s="333" t="str">
        <f t="shared" si="2"/>
        <v/>
      </c>
      <c r="K34" s="753">
        <f t="shared" si="8"/>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f t="shared" si="4"/>
        <v>0</v>
      </c>
      <c r="I35" s="45">
        <f t="shared" si="1"/>
        <v>0</v>
      </c>
      <c r="J35" s="333" t="str">
        <f t="shared" si="2"/>
        <v/>
      </c>
      <c r="K35" s="753">
        <f t="shared" si="8"/>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f t="shared" si="4"/>
        <v>0</v>
      </c>
      <c r="I36" s="45">
        <f t="shared" si="1"/>
        <v>0</v>
      </c>
      <c r="J36" s="333" t="str">
        <f t="shared" si="2"/>
        <v/>
      </c>
      <c r="K36" s="753">
        <f t="shared" si="8"/>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f t="shared" si="4"/>
        <v>0</v>
      </c>
      <c r="I37" s="45">
        <f t="shared" si="1"/>
        <v>0</v>
      </c>
      <c r="J37" s="333" t="str">
        <f t="shared" si="2"/>
        <v/>
      </c>
      <c r="K37" s="753">
        <f t="shared" si="8"/>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f t="shared" si="4"/>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9">SUM(C40:C49)</f>
        <v>956100536.37</v>
      </c>
      <c r="D39" s="447">
        <f t="shared" si="9"/>
        <v>1192843992</v>
      </c>
      <c r="E39" s="444">
        <f t="shared" si="9"/>
        <v>1192843992</v>
      </c>
      <c r="F39" s="446">
        <f t="shared" si="9"/>
        <v>72755288.86999999</v>
      </c>
      <c r="G39" s="444">
        <f t="shared" si="9"/>
        <v>501674378</v>
      </c>
      <c r="H39" s="444">
        <f t="shared" si="9"/>
        <v>596421996</v>
      </c>
      <c r="I39" s="45">
        <f t="shared" si="1"/>
        <v>-94747618</v>
      </c>
      <c r="J39" s="333">
        <f t="shared" si="2"/>
        <v>-0.15886003305619198</v>
      </c>
      <c r="K39" s="445">
        <f t="shared" si="9"/>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996</v>
      </c>
      <c r="F40" s="752">
        <v>72755288.86999999</v>
      </c>
      <c r="G40" s="751">
        <v>501672494</v>
      </c>
      <c r="H40" s="751">
        <f t="shared" si="4"/>
        <v>498</v>
      </c>
      <c r="I40" s="45">
        <f t="shared" si="1"/>
        <v>501671996</v>
      </c>
      <c r="J40" s="333">
        <f t="shared" si="2"/>
        <v>1007373.4859437752</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1192840008</v>
      </c>
      <c r="F41" s="752">
        <v>0</v>
      </c>
      <c r="G41" s="751">
        <v>1884</v>
      </c>
      <c r="H41" s="751">
        <f t="shared" si="4"/>
        <v>596420004</v>
      </c>
      <c r="I41" s="45">
        <f t="shared" si="1"/>
        <v>-596418120</v>
      </c>
      <c r="J41" s="333">
        <f t="shared" si="2"/>
        <v>-0.99999684115222931</v>
      </c>
      <c r="K41" s="753">
        <f t="shared" ref="K41:K49" si="10">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996</v>
      </c>
      <c r="F42" s="752">
        <v>0</v>
      </c>
      <c r="G42" s="751">
        <v>0</v>
      </c>
      <c r="H42" s="751">
        <f t="shared" si="4"/>
        <v>498</v>
      </c>
      <c r="I42" s="45">
        <f t="shared" si="1"/>
        <v>-498</v>
      </c>
      <c r="J42" s="333">
        <f t="shared" si="2"/>
        <v>-1</v>
      </c>
      <c r="K42" s="753">
        <f t="shared" si="10"/>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996</v>
      </c>
      <c r="F43" s="752">
        <v>0</v>
      </c>
      <c r="G43" s="751">
        <v>0</v>
      </c>
      <c r="H43" s="751">
        <f t="shared" si="4"/>
        <v>498</v>
      </c>
      <c r="I43" s="45">
        <f t="shared" si="1"/>
        <v>-498</v>
      </c>
      <c r="J43" s="333">
        <f t="shared" si="2"/>
        <v>-1</v>
      </c>
      <c r="K43" s="753">
        <f t="shared" si="10"/>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996</v>
      </c>
      <c r="F44" s="752">
        <v>0</v>
      </c>
      <c r="G44" s="751">
        <v>0</v>
      </c>
      <c r="H44" s="751">
        <f t="shared" si="4"/>
        <v>498</v>
      </c>
      <c r="I44" s="45">
        <f t="shared" si="1"/>
        <v>-498</v>
      </c>
      <c r="J44" s="333">
        <f t="shared" si="2"/>
        <v>-1</v>
      </c>
      <c r="K44" s="753">
        <f t="shared" si="10"/>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f t="shared" si="4"/>
        <v>0</v>
      </c>
      <c r="I45" s="45">
        <f t="shared" si="1"/>
        <v>0</v>
      </c>
      <c r="J45" s="333" t="str">
        <f t="shared" si="2"/>
        <v/>
      </c>
      <c r="K45" s="753">
        <f t="shared" si="10"/>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f t="shared" si="4"/>
        <v>0</v>
      </c>
      <c r="I46" s="45">
        <f t="shared" si="1"/>
        <v>0</v>
      </c>
      <c r="J46" s="333" t="str">
        <f t="shared" si="2"/>
        <v/>
      </c>
      <c r="K46" s="753">
        <f t="shared" si="10"/>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f t="shared" si="4"/>
        <v>0</v>
      </c>
      <c r="I47" s="45">
        <f t="shared" si="1"/>
        <v>0</v>
      </c>
      <c r="J47" s="333" t="str">
        <f t="shared" si="2"/>
        <v/>
      </c>
      <c r="K47" s="753">
        <f t="shared" si="10"/>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f t="shared" si="4"/>
        <v>0</v>
      </c>
      <c r="I48" s="45">
        <f t="shared" si="1"/>
        <v>0</v>
      </c>
      <c r="J48" s="333" t="str">
        <f t="shared" si="2"/>
        <v/>
      </c>
      <c r="K48" s="753">
        <f t="shared" si="10"/>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f t="shared" si="4"/>
        <v>0</v>
      </c>
      <c r="I49" s="45">
        <f t="shared" si="1"/>
        <v>0</v>
      </c>
      <c r="J49" s="333" t="str">
        <f t="shared" si="2"/>
        <v/>
      </c>
      <c r="K49" s="753">
        <f t="shared" si="10"/>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1">SUM(D51:D60)</f>
        <v>145662912</v>
      </c>
      <c r="E50" s="444">
        <f t="shared" si="11"/>
        <v>145662912</v>
      </c>
      <c r="F50" s="446">
        <f t="shared" si="11"/>
        <v>8305335.1600000001</v>
      </c>
      <c r="G50" s="444">
        <f t="shared" si="11"/>
        <v>58454326.640000001</v>
      </c>
      <c r="H50" s="444">
        <f t="shared" si="11"/>
        <v>72831456</v>
      </c>
      <c r="I50" s="45">
        <f t="shared" si="1"/>
        <v>-14377129.359999999</v>
      </c>
      <c r="J50" s="333">
        <f t="shared" si="2"/>
        <v>-0.19740274531927524</v>
      </c>
      <c r="K50" s="445">
        <f t="shared" si="11"/>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 t="shared" si="4"/>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11092956</v>
      </c>
      <c r="F52" s="752">
        <v>298147.38999999996</v>
      </c>
      <c r="G52" s="751">
        <v>2217847.31</v>
      </c>
      <c r="H52" s="751">
        <f t="shared" si="4"/>
        <v>5546478</v>
      </c>
      <c r="I52" s="45">
        <f t="shared" si="1"/>
        <v>-3328630.69</v>
      </c>
      <c r="J52" s="333">
        <f t="shared" si="2"/>
        <v>-0.60013411934564598</v>
      </c>
      <c r="K52" s="753">
        <f t="shared" ref="K52:K60" si="12">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1992</v>
      </c>
      <c r="F53" s="752">
        <v>0</v>
      </c>
      <c r="G53" s="751">
        <v>0</v>
      </c>
      <c r="H53" s="751">
        <f t="shared" si="4"/>
        <v>996</v>
      </c>
      <c r="I53" s="45">
        <f t="shared" si="1"/>
        <v>-996</v>
      </c>
      <c r="J53" s="333">
        <f t="shared" si="2"/>
        <v>-1</v>
      </c>
      <c r="K53" s="753">
        <f t="shared" si="12"/>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573000</v>
      </c>
      <c r="F54" s="752">
        <v>0</v>
      </c>
      <c r="G54" s="751">
        <v>0</v>
      </c>
      <c r="H54" s="751">
        <f t="shared" si="4"/>
        <v>286500</v>
      </c>
      <c r="I54" s="45">
        <f t="shared" si="1"/>
        <v>-286500</v>
      </c>
      <c r="J54" s="333">
        <f t="shared" si="2"/>
        <v>-1</v>
      </c>
      <c r="K54" s="753">
        <f t="shared" si="12"/>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210996</v>
      </c>
      <c r="F55" s="752">
        <v>0</v>
      </c>
      <c r="G55" s="751">
        <v>0</v>
      </c>
      <c r="H55" s="751">
        <f t="shared" si="4"/>
        <v>105498</v>
      </c>
      <c r="I55" s="45">
        <f t="shared" si="1"/>
        <v>-105498</v>
      </c>
      <c r="J55" s="333">
        <f t="shared" si="2"/>
        <v>-1</v>
      </c>
      <c r="K55" s="753">
        <f t="shared" si="12"/>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359988</v>
      </c>
      <c r="F56" s="752">
        <v>0</v>
      </c>
      <c r="G56" s="751">
        <v>0</v>
      </c>
      <c r="H56" s="751">
        <f t="shared" si="4"/>
        <v>179994</v>
      </c>
      <c r="I56" s="45">
        <f t="shared" si="1"/>
        <v>-179994</v>
      </c>
      <c r="J56" s="333">
        <f t="shared" si="2"/>
        <v>-1</v>
      </c>
      <c r="K56" s="753">
        <f t="shared" si="12"/>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1992</v>
      </c>
      <c r="F57" s="752">
        <v>0</v>
      </c>
      <c r="G57" s="751">
        <v>89233.919999999998</v>
      </c>
      <c r="H57" s="751">
        <f t="shared" si="4"/>
        <v>996</v>
      </c>
      <c r="I57" s="45">
        <f t="shared" si="1"/>
        <v>88237.92</v>
      </c>
      <c r="J57" s="333">
        <f t="shared" si="2"/>
        <v>88.592289156626506</v>
      </c>
      <c r="K57" s="753">
        <f t="shared" si="12"/>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1125996</v>
      </c>
      <c r="F58" s="752">
        <v>23512.51</v>
      </c>
      <c r="G58" s="751">
        <v>164942.04</v>
      </c>
      <c r="H58" s="751">
        <f t="shared" si="4"/>
        <v>562998</v>
      </c>
      <c r="I58" s="45">
        <f t="shared" si="1"/>
        <v>-398055.95999999996</v>
      </c>
      <c r="J58" s="333">
        <f t="shared" si="2"/>
        <v>-0.70702908358466632</v>
      </c>
      <c r="K58" s="753">
        <f t="shared" si="12"/>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128630988</v>
      </c>
      <c r="F59" s="752">
        <v>0</v>
      </c>
      <c r="G59" s="751">
        <v>0</v>
      </c>
      <c r="H59" s="751">
        <f t="shared" si="4"/>
        <v>64315494</v>
      </c>
      <c r="I59" s="45">
        <f t="shared" si="1"/>
        <v>-64315494</v>
      </c>
      <c r="J59" s="333">
        <f t="shared" si="2"/>
        <v>-1</v>
      </c>
      <c r="K59" s="753">
        <f t="shared" si="12"/>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3665004</v>
      </c>
      <c r="F60" s="752">
        <v>7983675.2599999998</v>
      </c>
      <c r="G60" s="751">
        <v>55982303.369999997</v>
      </c>
      <c r="H60" s="751">
        <f t="shared" si="4"/>
        <v>1832502</v>
      </c>
      <c r="I60" s="45">
        <f t="shared" si="1"/>
        <v>54149801.369999997</v>
      </c>
      <c r="J60" s="333">
        <f t="shared" si="2"/>
        <v>29.549654717975748</v>
      </c>
      <c r="K60" s="753">
        <f t="shared" si="12"/>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3">SUM(D62:D71)</f>
        <v>66258972</v>
      </c>
      <c r="E61" s="444">
        <f t="shared" si="13"/>
        <v>66258972</v>
      </c>
      <c r="F61" s="446">
        <f t="shared" si="13"/>
        <v>4450196.84</v>
      </c>
      <c r="G61" s="444">
        <f t="shared" si="13"/>
        <v>15253302.809999999</v>
      </c>
      <c r="H61" s="444">
        <f t="shared" si="13"/>
        <v>33129486</v>
      </c>
      <c r="I61" s="45">
        <f t="shared" si="1"/>
        <v>-17876183.190000001</v>
      </c>
      <c r="J61" s="333">
        <f t="shared" si="2"/>
        <v>-0.53958528635186198</v>
      </c>
      <c r="K61" s="445">
        <f t="shared" si="13"/>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13992</v>
      </c>
      <c r="F62" s="752">
        <v>0</v>
      </c>
      <c r="G62" s="751">
        <v>0</v>
      </c>
      <c r="H62" s="751">
        <f t="shared" si="4"/>
        <v>6996</v>
      </c>
      <c r="I62" s="45">
        <f t="shared" si="1"/>
        <v>-6996</v>
      </c>
      <c r="J62" s="333">
        <f t="shared" si="2"/>
        <v>-1</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0</v>
      </c>
      <c r="G63" s="751">
        <v>0</v>
      </c>
      <c r="H63" s="751">
        <f t="shared" si="4"/>
        <v>0</v>
      </c>
      <c r="I63" s="45">
        <f t="shared" si="1"/>
        <v>0</v>
      </c>
      <c r="J63" s="333" t="str">
        <f t="shared" si="2"/>
        <v/>
      </c>
      <c r="K63" s="753">
        <f t="shared" ref="K63:K71" si="14">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996</v>
      </c>
      <c r="F64" s="752">
        <v>0</v>
      </c>
      <c r="G64" s="751">
        <v>0</v>
      </c>
      <c r="H64" s="751">
        <f t="shared" si="4"/>
        <v>498</v>
      </c>
      <c r="I64" s="45">
        <f t="shared" si="1"/>
        <v>-498</v>
      </c>
      <c r="J64" s="333">
        <f t="shared" si="2"/>
        <v>-1</v>
      </c>
      <c r="K64" s="753">
        <f t="shared" si="14"/>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26532996</v>
      </c>
      <c r="F65" s="752">
        <v>-3505.64</v>
      </c>
      <c r="G65" s="751">
        <v>0.01</v>
      </c>
      <c r="H65" s="751">
        <f t="shared" si="4"/>
        <v>13266498</v>
      </c>
      <c r="I65" s="45">
        <f t="shared" si="1"/>
        <v>-13266497.99</v>
      </c>
      <c r="J65" s="333">
        <f t="shared" si="2"/>
        <v>-0.99999999924622163</v>
      </c>
      <c r="K65" s="753">
        <f t="shared" si="14"/>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14373996</v>
      </c>
      <c r="F66" s="752">
        <v>4387864.42</v>
      </c>
      <c r="G66" s="751">
        <v>14782210.699999999</v>
      </c>
      <c r="H66" s="751">
        <f t="shared" si="4"/>
        <v>7186998</v>
      </c>
      <c r="I66" s="45">
        <f t="shared" si="1"/>
        <v>7595212.6999999993</v>
      </c>
      <c r="J66" s="333">
        <f t="shared" si="2"/>
        <v>1.0567990557392668</v>
      </c>
      <c r="K66" s="753">
        <f t="shared" si="14"/>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24978012</v>
      </c>
      <c r="F67" s="752">
        <v>0</v>
      </c>
      <c r="G67" s="751">
        <v>0</v>
      </c>
      <c r="H67" s="751">
        <f t="shared" si="4"/>
        <v>12489006</v>
      </c>
      <c r="I67" s="45">
        <f t="shared" si="1"/>
        <v>-12489006</v>
      </c>
      <c r="J67" s="333">
        <f t="shared" si="2"/>
        <v>-1</v>
      </c>
      <c r="K67" s="753">
        <f t="shared" si="14"/>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996</v>
      </c>
      <c r="F68" s="752">
        <v>51230.55</v>
      </c>
      <c r="G68" s="751">
        <v>373988.84</v>
      </c>
      <c r="H68" s="751">
        <f t="shared" si="4"/>
        <v>498</v>
      </c>
      <c r="I68" s="45">
        <f t="shared" si="1"/>
        <v>373490.84</v>
      </c>
      <c r="J68" s="333">
        <f t="shared" si="2"/>
        <v>749.98160642570281</v>
      </c>
      <c r="K68" s="753">
        <f t="shared" si="14"/>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354996</v>
      </c>
      <c r="F69" s="752">
        <v>0</v>
      </c>
      <c r="G69" s="751">
        <v>0</v>
      </c>
      <c r="H69" s="751">
        <f t="shared" si="4"/>
        <v>177498</v>
      </c>
      <c r="I69" s="45">
        <f t="shared" si="1"/>
        <v>-177498</v>
      </c>
      <c r="J69" s="333">
        <f t="shared" si="2"/>
        <v>-1</v>
      </c>
      <c r="K69" s="753">
        <f t="shared" si="14"/>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2988</v>
      </c>
      <c r="F70" s="752">
        <v>8473</v>
      </c>
      <c r="G70" s="751">
        <v>21502</v>
      </c>
      <c r="H70" s="751">
        <f t="shared" si="4"/>
        <v>1494</v>
      </c>
      <c r="I70" s="45">
        <f t="shared" ref="I70:I133" si="15">G70-H70</f>
        <v>20008</v>
      </c>
      <c r="J70" s="333">
        <f t="shared" ref="J70:J133" si="16">IF(I70=0,"",I70/H70)</f>
        <v>13.392235609103079</v>
      </c>
      <c r="K70" s="753">
        <f t="shared" si="14"/>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6134.51</v>
      </c>
      <c r="G71" s="751">
        <v>75601.259999999995</v>
      </c>
      <c r="H71" s="751">
        <f t="shared" si="4"/>
        <v>0</v>
      </c>
      <c r="I71" s="45">
        <f t="shared" si="15"/>
        <v>75601.259999999995</v>
      </c>
      <c r="J71" s="333" t="e">
        <f t="shared" si="16"/>
        <v>#DIV/0!</v>
      </c>
      <c r="K71" s="753">
        <f t="shared" si="14"/>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7">SUM(C73:C82)</f>
        <v>30173364.699999999</v>
      </c>
      <c r="D72" s="447">
        <f t="shared" si="17"/>
        <v>5668944</v>
      </c>
      <c r="E72" s="444">
        <f t="shared" si="17"/>
        <v>5668944</v>
      </c>
      <c r="F72" s="446">
        <f t="shared" si="17"/>
        <v>189016.46000000002</v>
      </c>
      <c r="G72" s="444">
        <f t="shared" si="17"/>
        <v>2652230.4099999997</v>
      </c>
      <c r="H72" s="444">
        <f t="shared" si="17"/>
        <v>2834472</v>
      </c>
      <c r="I72" s="45">
        <f t="shared" si="15"/>
        <v>-182241.59000000032</v>
      </c>
      <c r="J72" s="333">
        <f t="shared" si="16"/>
        <v>-6.4294722262206269E-2</v>
      </c>
      <c r="K72" s="445">
        <f t="shared" si="17"/>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996</v>
      </c>
      <c r="F73" s="752">
        <v>250.43</v>
      </c>
      <c r="G73" s="751">
        <v>250.43</v>
      </c>
      <c r="H73" s="751">
        <f t="shared" si="4"/>
        <v>498</v>
      </c>
      <c r="I73" s="45">
        <f t="shared" si="15"/>
        <v>-247.57</v>
      </c>
      <c r="J73" s="333">
        <f t="shared" si="16"/>
        <v>-0.49712851405622488</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3000</v>
      </c>
      <c r="F74" s="752">
        <v>887.83</v>
      </c>
      <c r="G74" s="751">
        <v>3897.66</v>
      </c>
      <c r="H74" s="751">
        <f t="shared" ref="H74:H82" si="18">D74/12*6</f>
        <v>1500</v>
      </c>
      <c r="I74" s="45">
        <f t="shared" si="15"/>
        <v>2397.66</v>
      </c>
      <c r="J74" s="333">
        <f t="shared" si="16"/>
        <v>1.5984399999999999</v>
      </c>
      <c r="K74" s="753">
        <f t="shared" ref="K74:K82" si="19">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16992</v>
      </c>
      <c r="F75" s="752">
        <v>0</v>
      </c>
      <c r="G75" s="751">
        <v>0</v>
      </c>
      <c r="H75" s="751">
        <f t="shared" si="18"/>
        <v>8496</v>
      </c>
      <c r="I75" s="45">
        <f t="shared" si="15"/>
        <v>-8496</v>
      </c>
      <c r="J75" s="333">
        <f t="shared" si="16"/>
        <v>-1</v>
      </c>
      <c r="K75" s="753">
        <f t="shared" si="19"/>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1992</v>
      </c>
      <c r="F76" s="752">
        <v>0</v>
      </c>
      <c r="G76" s="751">
        <v>0</v>
      </c>
      <c r="H76" s="751">
        <f t="shared" si="18"/>
        <v>996</v>
      </c>
      <c r="I76" s="45">
        <f t="shared" si="15"/>
        <v>-996</v>
      </c>
      <c r="J76" s="333">
        <f t="shared" si="16"/>
        <v>-1</v>
      </c>
      <c r="K76" s="753">
        <f t="shared" si="19"/>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1992</v>
      </c>
      <c r="F77" s="752">
        <v>0</v>
      </c>
      <c r="G77" s="751">
        <v>0</v>
      </c>
      <c r="H77" s="751">
        <f t="shared" si="18"/>
        <v>996</v>
      </c>
      <c r="I77" s="45">
        <f t="shared" si="15"/>
        <v>-996</v>
      </c>
      <c r="J77" s="333">
        <f t="shared" si="16"/>
        <v>-1</v>
      </c>
      <c r="K77" s="753">
        <f t="shared" si="19"/>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1992</v>
      </c>
      <c r="F78" s="752">
        <v>0</v>
      </c>
      <c r="G78" s="751">
        <v>0</v>
      </c>
      <c r="H78" s="751">
        <f t="shared" si="18"/>
        <v>996</v>
      </c>
      <c r="I78" s="45">
        <f t="shared" si="15"/>
        <v>-996</v>
      </c>
      <c r="J78" s="333">
        <f t="shared" si="16"/>
        <v>-1</v>
      </c>
      <c r="K78" s="753">
        <f t="shared" si="19"/>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5641980</v>
      </c>
      <c r="F79" s="752">
        <v>0</v>
      </c>
      <c r="G79" s="751">
        <v>0</v>
      </c>
      <c r="H79" s="751">
        <f t="shared" si="18"/>
        <v>2820990</v>
      </c>
      <c r="I79" s="45">
        <f t="shared" si="15"/>
        <v>-2820990</v>
      </c>
      <c r="J79" s="333">
        <f t="shared" si="16"/>
        <v>-1</v>
      </c>
      <c r="K79" s="753">
        <f t="shared" si="19"/>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18"/>
        <v>0</v>
      </c>
      <c r="I80" s="45">
        <f t="shared" si="15"/>
        <v>0</v>
      </c>
      <c r="J80" s="333" t="str">
        <f t="shared" si="16"/>
        <v/>
      </c>
      <c r="K80" s="753">
        <f t="shared" si="19"/>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18"/>
        <v>0</v>
      </c>
      <c r="I81" s="45">
        <f t="shared" si="15"/>
        <v>0</v>
      </c>
      <c r="J81" s="333" t="str">
        <f t="shared" si="16"/>
        <v/>
      </c>
      <c r="K81" s="753">
        <f t="shared" si="19"/>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187878.2</v>
      </c>
      <c r="G82" s="751">
        <v>2648082.3199999998</v>
      </c>
      <c r="H82" s="751">
        <f t="shared" si="18"/>
        <v>0</v>
      </c>
      <c r="I82" s="45">
        <f t="shared" si="15"/>
        <v>2648082.3199999998</v>
      </c>
      <c r="J82" s="333" t="e">
        <f t="shared" si="16"/>
        <v>#DIV/0!</v>
      </c>
      <c r="K82" s="753">
        <f t="shared" si="19"/>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0">SUM(D84:D93)</f>
        <v>53479932</v>
      </c>
      <c r="E83" s="444">
        <f t="shared" si="20"/>
        <v>53479932</v>
      </c>
      <c r="F83" s="446">
        <f t="shared" si="20"/>
        <v>598357.4</v>
      </c>
      <c r="G83" s="444">
        <f t="shared" si="20"/>
        <v>7767371.2799999993</v>
      </c>
      <c r="H83" s="444">
        <f t="shared" si="20"/>
        <v>26739966</v>
      </c>
      <c r="I83" s="45">
        <f t="shared" si="15"/>
        <v>-18972594.719999999</v>
      </c>
      <c r="J83" s="333">
        <f t="shared" si="16"/>
        <v>-0.70952202108259965</v>
      </c>
      <c r="K83" s="445">
        <f t="shared" si="20"/>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996</v>
      </c>
      <c r="F84" s="752">
        <v>0</v>
      </c>
      <c r="G84" s="751">
        <v>0</v>
      </c>
      <c r="H84" s="751">
        <f t="shared" ref="H84:H93" si="21">D84/12*6</f>
        <v>498</v>
      </c>
      <c r="I84" s="45">
        <f t="shared" si="15"/>
        <v>-498</v>
      </c>
      <c r="J84" s="333">
        <f t="shared" si="16"/>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2988</v>
      </c>
      <c r="F85" s="752">
        <v>0</v>
      </c>
      <c r="G85" s="751">
        <v>0</v>
      </c>
      <c r="H85" s="751">
        <f t="shared" si="21"/>
        <v>1494</v>
      </c>
      <c r="I85" s="45">
        <f t="shared" si="15"/>
        <v>-1494</v>
      </c>
      <c r="J85" s="333">
        <f t="shared" si="16"/>
        <v>-1</v>
      </c>
      <c r="K85" s="753">
        <f t="shared" ref="K85:K93" si="22">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53434980</v>
      </c>
      <c r="F86" s="752">
        <v>151657.21</v>
      </c>
      <c r="G86" s="751">
        <v>907180.14</v>
      </c>
      <c r="H86" s="751">
        <f t="shared" si="21"/>
        <v>26717490</v>
      </c>
      <c r="I86" s="45">
        <f t="shared" si="15"/>
        <v>-25810309.859999999</v>
      </c>
      <c r="J86" s="333">
        <f t="shared" si="16"/>
        <v>-0.96604545786299534</v>
      </c>
      <c r="K86" s="753">
        <f t="shared" si="22"/>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996</v>
      </c>
      <c r="F87" s="752">
        <v>0</v>
      </c>
      <c r="G87" s="751">
        <v>0</v>
      </c>
      <c r="H87" s="751">
        <f t="shared" si="21"/>
        <v>498</v>
      </c>
      <c r="I87" s="45">
        <f t="shared" si="15"/>
        <v>-498</v>
      </c>
      <c r="J87" s="333">
        <f t="shared" si="16"/>
        <v>-1</v>
      </c>
      <c r="K87" s="753">
        <f t="shared" si="22"/>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996</v>
      </c>
      <c r="F88" s="752">
        <v>0</v>
      </c>
      <c r="G88" s="751">
        <v>0</v>
      </c>
      <c r="H88" s="751">
        <f t="shared" si="21"/>
        <v>498</v>
      </c>
      <c r="I88" s="45">
        <f t="shared" si="15"/>
        <v>-498</v>
      </c>
      <c r="J88" s="333">
        <f t="shared" si="16"/>
        <v>-1</v>
      </c>
      <c r="K88" s="753">
        <f t="shared" si="22"/>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996</v>
      </c>
      <c r="F89" s="752">
        <v>4895.67</v>
      </c>
      <c r="G89" s="751">
        <v>983320.05</v>
      </c>
      <c r="H89" s="751">
        <f t="shared" si="21"/>
        <v>498</v>
      </c>
      <c r="I89" s="45">
        <f t="shared" si="15"/>
        <v>982822.05</v>
      </c>
      <c r="J89" s="333">
        <f t="shared" si="16"/>
        <v>1973.5382530120482</v>
      </c>
      <c r="K89" s="753">
        <f t="shared" si="22"/>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35988</v>
      </c>
      <c r="F90" s="752">
        <v>0</v>
      </c>
      <c r="G90" s="751">
        <v>0</v>
      </c>
      <c r="H90" s="751">
        <f t="shared" si="21"/>
        <v>17994</v>
      </c>
      <c r="I90" s="45">
        <f t="shared" si="15"/>
        <v>-17994</v>
      </c>
      <c r="J90" s="333">
        <f t="shared" si="16"/>
        <v>-1</v>
      </c>
      <c r="K90" s="753">
        <f t="shared" si="22"/>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996</v>
      </c>
      <c r="F91" s="752">
        <v>0</v>
      </c>
      <c r="G91" s="751">
        <v>0</v>
      </c>
      <c r="H91" s="751">
        <f t="shared" si="21"/>
        <v>498</v>
      </c>
      <c r="I91" s="45">
        <f t="shared" si="15"/>
        <v>-498</v>
      </c>
      <c r="J91" s="333">
        <f t="shared" si="16"/>
        <v>-1</v>
      </c>
      <c r="K91" s="753">
        <f t="shared" si="22"/>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996</v>
      </c>
      <c r="F92" s="752">
        <v>0</v>
      </c>
      <c r="G92" s="751">
        <v>0</v>
      </c>
      <c r="H92" s="751">
        <f t="shared" si="21"/>
        <v>498</v>
      </c>
      <c r="I92" s="45">
        <f t="shared" si="15"/>
        <v>-498</v>
      </c>
      <c r="J92" s="333">
        <f t="shared" si="16"/>
        <v>-1</v>
      </c>
      <c r="K92" s="753">
        <f t="shared" si="22"/>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441804.52</v>
      </c>
      <c r="G93" s="751">
        <v>5876871.0899999999</v>
      </c>
      <c r="H93" s="751">
        <f t="shared" si="21"/>
        <v>0</v>
      </c>
      <c r="I93" s="45">
        <f t="shared" si="15"/>
        <v>5876871.0899999999</v>
      </c>
      <c r="J93" s="333" t="e">
        <f t="shared" si="16"/>
        <v>#DIV/0!</v>
      </c>
      <c r="K93" s="753">
        <f t="shared" si="22"/>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23">SUM(D95:D104)</f>
        <v>3143104980</v>
      </c>
      <c r="E94" s="444">
        <f t="shared" si="23"/>
        <v>3143104980</v>
      </c>
      <c r="F94" s="446">
        <f t="shared" si="23"/>
        <v>389909594.09399998</v>
      </c>
      <c r="G94" s="444">
        <f t="shared" si="23"/>
        <v>1418485335.0975008</v>
      </c>
      <c r="H94" s="444">
        <f t="shared" si="23"/>
        <v>1571552490</v>
      </c>
      <c r="I94" s="45">
        <f t="shared" si="15"/>
        <v>-153067154.9024992</v>
      </c>
      <c r="J94" s="333">
        <f t="shared" si="16"/>
        <v>-9.7398690706474084E-2</v>
      </c>
      <c r="K94" s="445">
        <f t="shared" si="23"/>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996</v>
      </c>
      <c r="F95" s="752">
        <v>21308373.539999999</v>
      </c>
      <c r="G95" s="751">
        <v>126977044.78999999</v>
      </c>
      <c r="H95" s="751">
        <f t="shared" ref="H95:H104" si="24">D95/12*6</f>
        <v>498</v>
      </c>
      <c r="I95" s="45">
        <f t="shared" si="15"/>
        <v>126976546.78999999</v>
      </c>
      <c r="J95" s="333">
        <f t="shared" si="16"/>
        <v>254972.98552208833</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si="24"/>
        <v>0</v>
      </c>
      <c r="I96" s="45">
        <f t="shared" si="15"/>
        <v>0</v>
      </c>
      <c r="J96" s="333" t="str">
        <f t="shared" si="16"/>
        <v/>
      </c>
      <c r="K96" s="753">
        <f t="shared" ref="K96:K104" si="25">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2262912350.3800001</v>
      </c>
      <c r="D97" s="750">
        <v>3136356996</v>
      </c>
      <c r="E97" s="751">
        <v>3136356996</v>
      </c>
      <c r="F97" s="752">
        <v>343300063.80000001</v>
      </c>
      <c r="G97" s="751">
        <v>1261425699.1200001</v>
      </c>
      <c r="H97" s="751">
        <f t="shared" si="24"/>
        <v>1568178498</v>
      </c>
      <c r="I97" s="45">
        <f t="shared" si="15"/>
        <v>-306752798.87999988</v>
      </c>
      <c r="J97" s="333">
        <f t="shared" si="16"/>
        <v>-0.19561089459600528</v>
      </c>
      <c r="K97" s="753">
        <f t="shared" si="25"/>
        <v>3136356996</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6744996</v>
      </c>
      <c r="F98" s="752">
        <v>218079.99</v>
      </c>
      <c r="G98" s="751">
        <v>230299.83000000002</v>
      </c>
      <c r="H98" s="751">
        <f t="shared" si="24"/>
        <v>3372498</v>
      </c>
      <c r="I98" s="45">
        <f t="shared" si="15"/>
        <v>-3142198.17</v>
      </c>
      <c r="J98" s="333">
        <f t="shared" si="16"/>
        <v>-0.93171238945137991</v>
      </c>
      <c r="K98" s="753">
        <f t="shared" si="25"/>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996</v>
      </c>
      <c r="F99" s="752">
        <v>0</v>
      </c>
      <c r="G99" s="751">
        <v>0</v>
      </c>
      <c r="H99" s="751">
        <f t="shared" si="24"/>
        <v>498</v>
      </c>
      <c r="I99" s="45">
        <f t="shared" si="15"/>
        <v>-498</v>
      </c>
      <c r="J99" s="333">
        <f t="shared" si="16"/>
        <v>-1</v>
      </c>
      <c r="K99" s="753">
        <f t="shared" si="25"/>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c r="D100" s="750"/>
      <c r="E100" s="751"/>
      <c r="F100" s="752">
        <v>20564.13</v>
      </c>
      <c r="G100" s="751">
        <v>946934.07</v>
      </c>
      <c r="H100" s="751">
        <f t="shared" si="24"/>
        <v>0</v>
      </c>
      <c r="I100" s="45">
        <f t="shared" si="15"/>
        <v>946934.07</v>
      </c>
      <c r="J100" s="333" t="e">
        <f t="shared" si="16"/>
        <v>#DIV/0!</v>
      </c>
      <c r="K100" s="753">
        <f t="shared" si="25"/>
        <v>0</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996</v>
      </c>
      <c r="F101" s="752">
        <v>25062512.633999944</v>
      </c>
      <c r="G101" s="751">
        <v>28905357.287500858</v>
      </c>
      <c r="H101" s="751">
        <f t="shared" si="24"/>
        <v>498</v>
      </c>
      <c r="I101" s="45">
        <f t="shared" si="15"/>
        <v>28904859.287500858</v>
      </c>
      <c r="J101" s="333">
        <f t="shared" si="16"/>
        <v>58041.886119479634</v>
      </c>
      <c r="K101" s="753">
        <f t="shared" si="25"/>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24"/>
        <v>0</v>
      </c>
      <c r="I102" s="45">
        <f t="shared" si="15"/>
        <v>0</v>
      </c>
      <c r="J102" s="333" t="str">
        <f t="shared" si="16"/>
        <v/>
      </c>
      <c r="K102" s="753">
        <f t="shared" si="25"/>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24"/>
        <v>0</v>
      </c>
      <c r="I103" s="45">
        <f t="shared" si="15"/>
        <v>0</v>
      </c>
      <c r="J103" s="333" t="str">
        <f t="shared" si="16"/>
        <v/>
      </c>
      <c r="K103" s="753">
        <f t="shared" si="25"/>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f t="shared" si="24"/>
        <v>0</v>
      </c>
      <c r="I104" s="45">
        <f t="shared" si="15"/>
        <v>0</v>
      </c>
      <c r="J104" s="333" t="str">
        <f t="shared" si="16"/>
        <v/>
      </c>
      <c r="K104" s="753">
        <f t="shared" si="25"/>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26">SUM(D106:D115)</f>
        <v>276972</v>
      </c>
      <c r="E105" s="444">
        <f t="shared" si="26"/>
        <v>276972</v>
      </c>
      <c r="F105" s="446">
        <f t="shared" si="26"/>
        <v>6084231.4000000004</v>
      </c>
      <c r="G105" s="444">
        <f t="shared" si="26"/>
        <v>49594548.470000006</v>
      </c>
      <c r="H105" s="444">
        <f t="shared" si="26"/>
        <v>138486</v>
      </c>
      <c r="I105" s="45">
        <f t="shared" si="15"/>
        <v>49456062.470000006</v>
      </c>
      <c r="J105" s="333">
        <f t="shared" si="16"/>
        <v>357.11958226824379</v>
      </c>
      <c r="K105" s="445">
        <f t="shared" si="26"/>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269004</v>
      </c>
      <c r="F106" s="752">
        <v>0</v>
      </c>
      <c r="G106" s="751">
        <v>79478.27</v>
      </c>
      <c r="H106" s="751">
        <f t="shared" ref="H106:H115" si="27">D106/12*6</f>
        <v>134502</v>
      </c>
      <c r="I106" s="45">
        <f t="shared" si="15"/>
        <v>-55023.729999999996</v>
      </c>
      <c r="J106" s="333">
        <f t="shared" si="16"/>
        <v>-0.40909228115567053</v>
      </c>
      <c r="K106" s="753">
        <f t="shared" ref="K106:K115" si="28">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1992</v>
      </c>
      <c r="F107" s="752">
        <v>200</v>
      </c>
      <c r="G107" s="751">
        <v>200</v>
      </c>
      <c r="H107" s="751">
        <f t="shared" si="27"/>
        <v>996</v>
      </c>
      <c r="I107" s="45">
        <f t="shared" si="15"/>
        <v>-796</v>
      </c>
      <c r="J107" s="333">
        <f t="shared" si="16"/>
        <v>-0.79919678714859432</v>
      </c>
      <c r="K107" s="753">
        <f t="shared" si="28"/>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996</v>
      </c>
      <c r="F108" s="752">
        <v>0</v>
      </c>
      <c r="G108" s="751">
        <v>0</v>
      </c>
      <c r="H108" s="751">
        <f t="shared" si="27"/>
        <v>498</v>
      </c>
      <c r="I108" s="45">
        <f t="shared" si="15"/>
        <v>-498</v>
      </c>
      <c r="J108" s="333">
        <f t="shared" si="16"/>
        <v>-1</v>
      </c>
      <c r="K108" s="753">
        <f t="shared" si="28"/>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996</v>
      </c>
      <c r="F109" s="752">
        <v>0</v>
      </c>
      <c r="G109" s="751">
        <v>0</v>
      </c>
      <c r="H109" s="751">
        <f t="shared" si="27"/>
        <v>498</v>
      </c>
      <c r="I109" s="45">
        <f t="shared" si="15"/>
        <v>-498</v>
      </c>
      <c r="J109" s="333">
        <f t="shared" si="16"/>
        <v>-1</v>
      </c>
      <c r="K109" s="753">
        <f t="shared" si="28"/>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996</v>
      </c>
      <c r="F110" s="752">
        <v>6084031.4000000004</v>
      </c>
      <c r="G110" s="751">
        <v>49514870.200000003</v>
      </c>
      <c r="H110" s="751">
        <f t="shared" si="27"/>
        <v>498</v>
      </c>
      <c r="I110" s="45">
        <f t="shared" si="15"/>
        <v>49514372.200000003</v>
      </c>
      <c r="J110" s="333">
        <f t="shared" si="16"/>
        <v>99426.450200803214</v>
      </c>
      <c r="K110" s="753">
        <f t="shared" si="28"/>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996</v>
      </c>
      <c r="F111" s="752">
        <v>0</v>
      </c>
      <c r="G111" s="751">
        <v>0</v>
      </c>
      <c r="H111" s="751">
        <f t="shared" si="27"/>
        <v>498</v>
      </c>
      <c r="I111" s="45">
        <f t="shared" si="15"/>
        <v>-498</v>
      </c>
      <c r="J111" s="333">
        <f t="shared" si="16"/>
        <v>-1</v>
      </c>
      <c r="K111" s="753">
        <f t="shared" si="28"/>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996</v>
      </c>
      <c r="F112" s="752">
        <v>0</v>
      </c>
      <c r="G112" s="751">
        <v>0</v>
      </c>
      <c r="H112" s="751">
        <f t="shared" si="27"/>
        <v>498</v>
      </c>
      <c r="I112" s="45">
        <f t="shared" si="15"/>
        <v>-498</v>
      </c>
      <c r="J112" s="333">
        <f t="shared" si="16"/>
        <v>-1</v>
      </c>
      <c r="K112" s="753">
        <f t="shared" si="28"/>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f t="shared" si="27"/>
        <v>0</v>
      </c>
      <c r="I113" s="45">
        <f t="shared" si="15"/>
        <v>0</v>
      </c>
      <c r="J113" s="333" t="str">
        <f t="shared" si="16"/>
        <v/>
      </c>
      <c r="K113" s="753">
        <f t="shared" si="28"/>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996</v>
      </c>
      <c r="F114" s="752">
        <v>0</v>
      </c>
      <c r="G114" s="751">
        <v>0</v>
      </c>
      <c r="H114" s="751">
        <f t="shared" si="27"/>
        <v>498</v>
      </c>
      <c r="I114" s="45">
        <f t="shared" si="15"/>
        <v>-498</v>
      </c>
      <c r="J114" s="333">
        <f t="shared" si="16"/>
        <v>-1</v>
      </c>
      <c r="K114" s="753">
        <f t="shared" si="28"/>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f t="shared" si="27"/>
        <v>0</v>
      </c>
      <c r="I115" s="45">
        <f t="shared" si="15"/>
        <v>0</v>
      </c>
      <c r="J115" s="333" t="str">
        <f t="shared" si="16"/>
        <v/>
      </c>
      <c r="K115" s="753">
        <f t="shared" si="28"/>
        <v>0</v>
      </c>
      <c r="L115" s="449"/>
      <c r="M115" s="41"/>
      <c r="N115" s="41"/>
      <c r="O115" s="41"/>
      <c r="P115" s="41"/>
      <c r="Q115" s="41"/>
      <c r="R115" s="41"/>
      <c r="S115" s="41"/>
      <c r="T115" s="41"/>
      <c r="U115" s="41"/>
      <c r="V115" s="41"/>
      <c r="W115" s="41"/>
    </row>
    <row r="116" spans="1:23" ht="11.25" customHeight="1" x14ac:dyDescent="0.2">
      <c r="A116" s="820" t="str">
        <f>'Org structure'!A12</f>
        <v>Vote 11 - Human Settlement</v>
      </c>
      <c r="B116" s="448"/>
      <c r="C116" s="506">
        <f>SUM(C117:C126)</f>
        <v>305517.13</v>
      </c>
      <c r="D116" s="447">
        <f t="shared" ref="D116:K116" si="29">SUM(D117:D126)</f>
        <v>8857992</v>
      </c>
      <c r="E116" s="444">
        <f t="shared" si="29"/>
        <v>8857992</v>
      </c>
      <c r="F116" s="446">
        <f t="shared" si="29"/>
        <v>90654.94</v>
      </c>
      <c r="G116" s="444">
        <f t="shared" si="29"/>
        <v>527277.24</v>
      </c>
      <c r="H116" s="444">
        <f t="shared" si="29"/>
        <v>4428996</v>
      </c>
      <c r="I116" s="45">
        <f t="shared" si="15"/>
        <v>-3901718.76</v>
      </c>
      <c r="J116" s="333">
        <f t="shared" si="16"/>
        <v>-0.88094881097205768</v>
      </c>
      <c r="K116" s="445">
        <f t="shared" si="29"/>
        <v>8857992</v>
      </c>
      <c r="L116" s="449"/>
      <c r="M116" s="41"/>
      <c r="N116" s="41"/>
      <c r="O116" s="41"/>
      <c r="P116" s="41"/>
      <c r="Q116" s="41"/>
      <c r="R116" s="41"/>
      <c r="S116" s="41"/>
      <c r="T116" s="41"/>
      <c r="U116" s="41"/>
      <c r="V116" s="41"/>
      <c r="W116" s="41"/>
    </row>
    <row r="117" spans="1:23" ht="11.25" customHeight="1" x14ac:dyDescent="0.2">
      <c r="A117" s="819" t="str">
        <f>'Org structure'!E113</f>
        <v>11.1 - Human Settlement</v>
      </c>
      <c r="B117" s="448"/>
      <c r="C117" s="749">
        <v>0</v>
      </c>
      <c r="D117" s="750">
        <v>996</v>
      </c>
      <c r="E117" s="751">
        <v>996</v>
      </c>
      <c r="F117" s="752">
        <v>0</v>
      </c>
      <c r="G117" s="751">
        <v>0</v>
      </c>
      <c r="H117" s="751">
        <f t="shared" ref="H117:H126" si="30">D117/12*6</f>
        <v>498</v>
      </c>
      <c r="I117" s="45">
        <f t="shared" si="15"/>
        <v>-498</v>
      </c>
      <c r="J117" s="333">
        <f t="shared" si="16"/>
        <v>-1</v>
      </c>
      <c r="K117" s="753">
        <f>D117</f>
        <v>996</v>
      </c>
      <c r="L117" s="449"/>
      <c r="M117" s="41"/>
      <c r="N117" s="41"/>
      <c r="O117" s="41"/>
      <c r="P117" s="41"/>
      <c r="Q117" s="41"/>
      <c r="R117" s="41"/>
      <c r="S117" s="41"/>
      <c r="T117" s="41"/>
      <c r="U117" s="41"/>
      <c r="V117" s="41"/>
      <c r="W117" s="41"/>
    </row>
    <row r="118" spans="1:23" ht="11.25" customHeight="1" x14ac:dyDescent="0.2">
      <c r="A118" s="819" t="str">
        <f>'Org structure'!E114</f>
        <v>11.2 - Human Settlement - Housing Adimistration</v>
      </c>
      <c r="B118" s="448"/>
      <c r="C118" s="749">
        <v>305517.13</v>
      </c>
      <c r="D118" s="750">
        <v>996</v>
      </c>
      <c r="E118" s="751">
        <v>996</v>
      </c>
      <c r="F118" s="752">
        <v>90654.94</v>
      </c>
      <c r="G118" s="751">
        <v>527277.24</v>
      </c>
      <c r="H118" s="751">
        <f t="shared" si="30"/>
        <v>498</v>
      </c>
      <c r="I118" s="45">
        <f t="shared" si="15"/>
        <v>526779.24</v>
      </c>
      <c r="J118" s="333">
        <f t="shared" si="16"/>
        <v>1057.7896385542169</v>
      </c>
      <c r="K118" s="753">
        <f>D118</f>
        <v>996</v>
      </c>
      <c r="L118" s="449"/>
      <c r="M118" s="41"/>
      <c r="N118" s="41"/>
      <c r="O118" s="41"/>
      <c r="P118" s="41"/>
      <c r="Q118" s="41"/>
      <c r="R118" s="41"/>
      <c r="S118" s="41"/>
      <c r="T118" s="41"/>
      <c r="U118" s="41"/>
      <c r="V118" s="41"/>
      <c r="W118" s="41"/>
    </row>
    <row r="119" spans="1:23" ht="11.25" customHeight="1" x14ac:dyDescent="0.2">
      <c r="A119" s="819" t="str">
        <f>'Org structure'!E115</f>
        <v>11.3 - Human Settlement Rental Hosing and Programme Implemantation</v>
      </c>
      <c r="B119" s="448"/>
      <c r="C119" s="749">
        <v>0</v>
      </c>
      <c r="D119" s="750">
        <v>8856000</v>
      </c>
      <c r="E119" s="751">
        <v>8856000</v>
      </c>
      <c r="F119" s="752">
        <v>0</v>
      </c>
      <c r="G119" s="751">
        <v>0</v>
      </c>
      <c r="H119" s="751">
        <f t="shared" si="30"/>
        <v>4428000</v>
      </c>
      <c r="I119" s="45">
        <f t="shared" si="15"/>
        <v>-4428000</v>
      </c>
      <c r="J119" s="333">
        <f t="shared" si="16"/>
        <v>-1</v>
      </c>
      <c r="K119" s="753">
        <f>D119</f>
        <v>8856000</v>
      </c>
      <c r="L119" s="449"/>
      <c r="M119" s="41"/>
      <c r="N119" s="41"/>
      <c r="O119" s="41"/>
      <c r="P119" s="41"/>
      <c r="Q119" s="41"/>
      <c r="R119" s="41"/>
      <c r="S119" s="41"/>
      <c r="T119" s="41"/>
      <c r="U119" s="41"/>
      <c r="V119" s="41"/>
      <c r="W119" s="41"/>
    </row>
    <row r="120" spans="1:23" ht="11.25" customHeight="1" x14ac:dyDescent="0.2">
      <c r="A120" s="819">
        <f>'Org structure'!E116</f>
        <v>0</v>
      </c>
      <c r="B120" s="448"/>
      <c r="C120" s="749">
        <v>0</v>
      </c>
      <c r="D120" s="750">
        <v>0</v>
      </c>
      <c r="E120" s="751">
        <v>0</v>
      </c>
      <c r="F120" s="752">
        <v>0</v>
      </c>
      <c r="G120" s="751">
        <v>0</v>
      </c>
      <c r="H120" s="751">
        <f t="shared" si="30"/>
        <v>0</v>
      </c>
      <c r="I120" s="45">
        <f t="shared" si="15"/>
        <v>0</v>
      </c>
      <c r="J120" s="333" t="str">
        <f t="shared" si="16"/>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v>0</v>
      </c>
      <c r="D121" s="750">
        <v>0</v>
      </c>
      <c r="E121" s="751">
        <v>0</v>
      </c>
      <c r="F121" s="752">
        <v>0</v>
      </c>
      <c r="G121" s="751">
        <v>0</v>
      </c>
      <c r="H121" s="751">
        <f t="shared" si="30"/>
        <v>0</v>
      </c>
      <c r="I121" s="45">
        <f t="shared" si="15"/>
        <v>0</v>
      </c>
      <c r="J121" s="333" t="str">
        <f t="shared" si="16"/>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v>0</v>
      </c>
      <c r="D122" s="750">
        <v>0</v>
      </c>
      <c r="E122" s="751">
        <v>0</v>
      </c>
      <c r="F122" s="752">
        <v>0</v>
      </c>
      <c r="G122" s="751">
        <v>0</v>
      </c>
      <c r="H122" s="751">
        <f t="shared" si="30"/>
        <v>0</v>
      </c>
      <c r="I122" s="45">
        <f t="shared" si="15"/>
        <v>0</v>
      </c>
      <c r="J122" s="333" t="str">
        <f t="shared" si="16"/>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v>0</v>
      </c>
      <c r="D123" s="750">
        <v>0</v>
      </c>
      <c r="E123" s="751">
        <v>0</v>
      </c>
      <c r="F123" s="752">
        <v>0</v>
      </c>
      <c r="G123" s="751">
        <v>0</v>
      </c>
      <c r="H123" s="751">
        <f t="shared" si="30"/>
        <v>0</v>
      </c>
      <c r="I123" s="45">
        <f t="shared" si="15"/>
        <v>0</v>
      </c>
      <c r="J123" s="333" t="str">
        <f t="shared" si="16"/>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v>0</v>
      </c>
      <c r="D124" s="750">
        <v>0</v>
      </c>
      <c r="E124" s="751">
        <v>0</v>
      </c>
      <c r="F124" s="752">
        <v>0</v>
      </c>
      <c r="G124" s="751">
        <v>0</v>
      </c>
      <c r="H124" s="751">
        <f t="shared" si="30"/>
        <v>0</v>
      </c>
      <c r="I124" s="45">
        <f t="shared" si="15"/>
        <v>0</v>
      </c>
      <c r="J124" s="333" t="str">
        <f t="shared" si="16"/>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v>0</v>
      </c>
      <c r="D125" s="750">
        <v>0</v>
      </c>
      <c r="E125" s="751">
        <v>0</v>
      </c>
      <c r="F125" s="752">
        <v>0</v>
      </c>
      <c r="G125" s="751">
        <v>0</v>
      </c>
      <c r="H125" s="751">
        <f t="shared" si="30"/>
        <v>0</v>
      </c>
      <c r="I125" s="45">
        <f t="shared" si="15"/>
        <v>0</v>
      </c>
      <c r="J125" s="333" t="str">
        <f t="shared" si="16"/>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v>0</v>
      </c>
      <c r="D126" s="750">
        <v>0</v>
      </c>
      <c r="E126" s="751">
        <v>0</v>
      </c>
      <c r="F126" s="752">
        <v>0</v>
      </c>
      <c r="G126" s="751">
        <v>0</v>
      </c>
      <c r="H126" s="751">
        <f t="shared" si="30"/>
        <v>0</v>
      </c>
      <c r="I126" s="45">
        <f t="shared" si="15"/>
        <v>0</v>
      </c>
      <c r="J126" s="333" t="str">
        <f t="shared" si="16"/>
        <v/>
      </c>
      <c r="K126" s="753"/>
      <c r="L126" s="449"/>
      <c r="M126" s="41"/>
      <c r="N126" s="41"/>
      <c r="O126" s="41"/>
      <c r="P126" s="41"/>
      <c r="Q126" s="41"/>
      <c r="R126" s="41"/>
      <c r="S126" s="41"/>
      <c r="T126" s="41"/>
      <c r="U126" s="41"/>
      <c r="V126" s="41"/>
      <c r="W126" s="41"/>
    </row>
    <row r="127" spans="1:23" ht="11.25" customHeight="1" x14ac:dyDescent="0.2">
      <c r="A127" s="820" t="str">
        <f>'Org structure'!A13</f>
        <v xml:space="preserve">Vote 12 - </v>
      </c>
      <c r="B127" s="448"/>
      <c r="C127" s="506">
        <f>SUM(C128:C137)</f>
        <v>0</v>
      </c>
      <c r="D127" s="447">
        <f t="shared" ref="D127:K127" si="31">SUM(D128:D137)</f>
        <v>0</v>
      </c>
      <c r="E127" s="444">
        <f t="shared" si="31"/>
        <v>0</v>
      </c>
      <c r="F127" s="446">
        <f t="shared" si="31"/>
        <v>0</v>
      </c>
      <c r="G127" s="444">
        <f t="shared" si="31"/>
        <v>0</v>
      </c>
      <c r="H127" s="444">
        <f t="shared" si="31"/>
        <v>0</v>
      </c>
      <c r="I127" s="45">
        <f t="shared" si="15"/>
        <v>0</v>
      </c>
      <c r="J127" s="333" t="str">
        <f t="shared" si="16"/>
        <v/>
      </c>
      <c r="K127" s="445">
        <f t="shared" si="31"/>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v>0</v>
      </c>
      <c r="E128" s="751">
        <v>0</v>
      </c>
      <c r="F128" s="752">
        <v>0</v>
      </c>
      <c r="G128" s="751">
        <v>0</v>
      </c>
      <c r="H128" s="751">
        <f t="shared" ref="H128:H135" si="32">D128/12*7</f>
        <v>0</v>
      </c>
      <c r="I128" s="45">
        <f t="shared" si="15"/>
        <v>0</v>
      </c>
      <c r="J128" s="333" t="str">
        <f t="shared" si="16"/>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v>0</v>
      </c>
      <c r="E129" s="751">
        <v>0</v>
      </c>
      <c r="F129" s="752">
        <v>0</v>
      </c>
      <c r="G129" s="751">
        <v>0</v>
      </c>
      <c r="H129" s="751">
        <f t="shared" si="32"/>
        <v>0</v>
      </c>
      <c r="I129" s="45">
        <f t="shared" si="15"/>
        <v>0</v>
      </c>
      <c r="J129" s="333" t="str">
        <f t="shared" si="16"/>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v>0</v>
      </c>
      <c r="E130" s="751">
        <v>0</v>
      </c>
      <c r="F130" s="752">
        <v>0</v>
      </c>
      <c r="G130" s="751">
        <v>0</v>
      </c>
      <c r="H130" s="751">
        <f t="shared" si="32"/>
        <v>0</v>
      </c>
      <c r="I130" s="45">
        <f t="shared" si="15"/>
        <v>0</v>
      </c>
      <c r="J130" s="333" t="str">
        <f t="shared" si="16"/>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v>0</v>
      </c>
      <c r="E131" s="751">
        <v>0</v>
      </c>
      <c r="F131" s="752">
        <v>0</v>
      </c>
      <c r="G131" s="751">
        <v>0</v>
      </c>
      <c r="H131" s="751">
        <f t="shared" si="32"/>
        <v>0</v>
      </c>
      <c r="I131" s="45">
        <f t="shared" si="15"/>
        <v>0</v>
      </c>
      <c r="J131" s="333" t="str">
        <f t="shared" si="16"/>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v>0</v>
      </c>
      <c r="E132" s="751">
        <v>0</v>
      </c>
      <c r="F132" s="752">
        <v>0</v>
      </c>
      <c r="G132" s="751">
        <v>0</v>
      </c>
      <c r="H132" s="751">
        <f t="shared" si="32"/>
        <v>0</v>
      </c>
      <c r="I132" s="45">
        <f t="shared" si="15"/>
        <v>0</v>
      </c>
      <c r="J132" s="333" t="str">
        <f t="shared" si="16"/>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v>0</v>
      </c>
      <c r="E133" s="751">
        <v>0</v>
      </c>
      <c r="F133" s="752">
        <v>0</v>
      </c>
      <c r="G133" s="751">
        <v>0</v>
      </c>
      <c r="H133" s="751">
        <f t="shared" si="32"/>
        <v>0</v>
      </c>
      <c r="I133" s="45">
        <f t="shared" si="15"/>
        <v>0</v>
      </c>
      <c r="J133" s="333" t="str">
        <f t="shared" si="16"/>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v>0</v>
      </c>
      <c r="E134" s="751">
        <v>0</v>
      </c>
      <c r="F134" s="752">
        <v>0</v>
      </c>
      <c r="G134" s="751">
        <v>0</v>
      </c>
      <c r="H134" s="751">
        <f t="shared" si="32"/>
        <v>0</v>
      </c>
      <c r="I134" s="45">
        <f t="shared" ref="I134:I197" si="33">G134-H134</f>
        <v>0</v>
      </c>
      <c r="J134" s="333" t="str">
        <f t="shared" ref="J134:J197" si="34">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v>0</v>
      </c>
      <c r="E135" s="751">
        <v>0</v>
      </c>
      <c r="F135" s="752">
        <v>0</v>
      </c>
      <c r="G135" s="751">
        <v>0</v>
      </c>
      <c r="H135" s="751">
        <f t="shared" si="32"/>
        <v>0</v>
      </c>
      <c r="I135" s="45">
        <f t="shared" si="33"/>
        <v>0</v>
      </c>
      <c r="J135" s="333" t="str">
        <f t="shared" si="34"/>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v>0</v>
      </c>
      <c r="E136" s="751">
        <v>0</v>
      </c>
      <c r="F136" s="752">
        <v>0</v>
      </c>
      <c r="G136" s="751">
        <v>0</v>
      </c>
      <c r="H136" s="751">
        <f t="shared" ref="H136:H173" si="35">D136/12*7</f>
        <v>0</v>
      </c>
      <c r="I136" s="45">
        <f t="shared" si="33"/>
        <v>0</v>
      </c>
      <c r="J136" s="333" t="str">
        <f t="shared" si="34"/>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v>0</v>
      </c>
      <c r="E137" s="751">
        <v>0</v>
      </c>
      <c r="F137" s="752">
        <v>0</v>
      </c>
      <c r="G137" s="751">
        <v>0</v>
      </c>
      <c r="H137" s="751">
        <f t="shared" si="35"/>
        <v>0</v>
      </c>
      <c r="I137" s="45">
        <f t="shared" si="33"/>
        <v>0</v>
      </c>
      <c r="J137" s="333" t="str">
        <f t="shared" si="34"/>
        <v/>
      </c>
      <c r="K137" s="753"/>
      <c r="L137" s="449"/>
      <c r="M137" s="41"/>
      <c r="N137" s="41"/>
      <c r="O137" s="41"/>
      <c r="P137" s="41"/>
      <c r="Q137" s="41"/>
      <c r="R137" s="41"/>
      <c r="S137" s="41"/>
      <c r="T137" s="41"/>
      <c r="U137" s="41"/>
      <c r="V137" s="41"/>
      <c r="W137" s="41"/>
    </row>
    <row r="138" spans="1:23" ht="11.25" customHeight="1" x14ac:dyDescent="0.2">
      <c r="A138" s="820" t="str">
        <f>'Org structure'!A14</f>
        <v xml:space="preserve">Vote 13 - </v>
      </c>
      <c r="B138" s="448"/>
      <c r="C138" s="506">
        <f>SUM(C139:C148)</f>
        <v>0</v>
      </c>
      <c r="D138" s="447">
        <f t="shared" ref="D138:K138" si="36">SUM(D139:D148)</f>
        <v>0</v>
      </c>
      <c r="E138" s="444">
        <f t="shared" si="36"/>
        <v>0</v>
      </c>
      <c r="F138" s="446">
        <f t="shared" si="36"/>
        <v>0</v>
      </c>
      <c r="G138" s="444">
        <f t="shared" si="36"/>
        <v>0</v>
      </c>
      <c r="H138" s="444">
        <f t="shared" si="36"/>
        <v>0</v>
      </c>
      <c r="I138" s="45">
        <f t="shared" si="33"/>
        <v>0</v>
      </c>
      <c r="J138" s="333" t="str">
        <f t="shared" si="34"/>
        <v/>
      </c>
      <c r="K138" s="445">
        <f t="shared" si="36"/>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v>0</v>
      </c>
      <c r="E139" s="751">
        <v>0</v>
      </c>
      <c r="F139" s="752">
        <v>0</v>
      </c>
      <c r="G139" s="751">
        <v>0</v>
      </c>
      <c r="H139" s="751">
        <f t="shared" si="35"/>
        <v>0</v>
      </c>
      <c r="I139" s="45">
        <f t="shared" si="33"/>
        <v>0</v>
      </c>
      <c r="J139" s="333" t="str">
        <f t="shared" si="34"/>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v>0</v>
      </c>
      <c r="E140" s="751">
        <v>0</v>
      </c>
      <c r="F140" s="752">
        <v>0</v>
      </c>
      <c r="G140" s="751">
        <v>0</v>
      </c>
      <c r="H140" s="751">
        <f t="shared" si="35"/>
        <v>0</v>
      </c>
      <c r="I140" s="45">
        <f t="shared" si="33"/>
        <v>0</v>
      </c>
      <c r="J140" s="333" t="str">
        <f t="shared" si="34"/>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v>0</v>
      </c>
      <c r="E141" s="751">
        <v>0</v>
      </c>
      <c r="F141" s="752">
        <v>0</v>
      </c>
      <c r="G141" s="751">
        <v>0</v>
      </c>
      <c r="H141" s="751">
        <f t="shared" si="35"/>
        <v>0</v>
      </c>
      <c r="I141" s="45">
        <f t="shared" si="33"/>
        <v>0</v>
      </c>
      <c r="J141" s="333" t="str">
        <f t="shared" si="34"/>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v>0</v>
      </c>
      <c r="E142" s="751">
        <v>0</v>
      </c>
      <c r="F142" s="752">
        <v>0</v>
      </c>
      <c r="G142" s="751">
        <v>0</v>
      </c>
      <c r="H142" s="751">
        <f t="shared" si="35"/>
        <v>0</v>
      </c>
      <c r="I142" s="45">
        <f t="shared" si="33"/>
        <v>0</v>
      </c>
      <c r="J142" s="333" t="str">
        <f t="shared" si="34"/>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v>0</v>
      </c>
      <c r="E143" s="751">
        <v>0</v>
      </c>
      <c r="F143" s="752">
        <v>0</v>
      </c>
      <c r="G143" s="751">
        <v>0</v>
      </c>
      <c r="H143" s="751">
        <f t="shared" si="35"/>
        <v>0</v>
      </c>
      <c r="I143" s="45">
        <f t="shared" si="33"/>
        <v>0</v>
      </c>
      <c r="J143" s="333" t="str">
        <f t="shared" si="34"/>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v>0</v>
      </c>
      <c r="E144" s="751">
        <v>0</v>
      </c>
      <c r="F144" s="752">
        <v>0</v>
      </c>
      <c r="G144" s="751">
        <v>0</v>
      </c>
      <c r="H144" s="751">
        <f t="shared" si="35"/>
        <v>0</v>
      </c>
      <c r="I144" s="45">
        <f t="shared" si="33"/>
        <v>0</v>
      </c>
      <c r="J144" s="333" t="str">
        <f t="shared" si="34"/>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v>0</v>
      </c>
      <c r="E145" s="751">
        <v>0</v>
      </c>
      <c r="F145" s="752">
        <v>0</v>
      </c>
      <c r="G145" s="751">
        <v>0</v>
      </c>
      <c r="H145" s="751">
        <f t="shared" si="35"/>
        <v>0</v>
      </c>
      <c r="I145" s="45">
        <f t="shared" si="33"/>
        <v>0</v>
      </c>
      <c r="J145" s="333" t="str">
        <f t="shared" si="34"/>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v>0</v>
      </c>
      <c r="E146" s="751">
        <v>0</v>
      </c>
      <c r="F146" s="752">
        <v>0</v>
      </c>
      <c r="G146" s="751">
        <v>0</v>
      </c>
      <c r="H146" s="751">
        <f t="shared" si="35"/>
        <v>0</v>
      </c>
      <c r="I146" s="45">
        <f t="shared" si="33"/>
        <v>0</v>
      </c>
      <c r="J146" s="333" t="str">
        <f t="shared" si="34"/>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v>0</v>
      </c>
      <c r="E147" s="751">
        <v>0</v>
      </c>
      <c r="F147" s="752">
        <v>0</v>
      </c>
      <c r="G147" s="751">
        <v>0</v>
      </c>
      <c r="H147" s="751">
        <f t="shared" si="35"/>
        <v>0</v>
      </c>
      <c r="I147" s="45">
        <f t="shared" si="33"/>
        <v>0</v>
      </c>
      <c r="J147" s="333" t="str">
        <f t="shared" si="34"/>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v>0</v>
      </c>
      <c r="E148" s="751">
        <v>0</v>
      </c>
      <c r="F148" s="752">
        <v>0</v>
      </c>
      <c r="G148" s="751">
        <v>0</v>
      </c>
      <c r="H148" s="751">
        <f t="shared" si="35"/>
        <v>0</v>
      </c>
      <c r="I148" s="45">
        <f t="shared" si="33"/>
        <v>0</v>
      </c>
      <c r="J148" s="333" t="str">
        <f t="shared" si="34"/>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7">SUM(D150:D159)</f>
        <v>0</v>
      </c>
      <c r="E149" s="444">
        <f t="shared" si="37"/>
        <v>0</v>
      </c>
      <c r="F149" s="446">
        <f t="shared" si="37"/>
        <v>0</v>
      </c>
      <c r="G149" s="444">
        <f t="shared" si="37"/>
        <v>0</v>
      </c>
      <c r="H149" s="444">
        <f t="shared" si="37"/>
        <v>0</v>
      </c>
      <c r="I149" s="45">
        <f t="shared" si="33"/>
        <v>0</v>
      </c>
      <c r="J149" s="333" t="str">
        <f t="shared" si="34"/>
        <v/>
      </c>
      <c r="K149" s="445">
        <f t="shared" si="37"/>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v>0</v>
      </c>
      <c r="E150" s="751">
        <v>0</v>
      </c>
      <c r="F150" s="752">
        <v>0</v>
      </c>
      <c r="G150" s="751">
        <v>0</v>
      </c>
      <c r="H150" s="751">
        <f t="shared" si="35"/>
        <v>0</v>
      </c>
      <c r="I150" s="45">
        <f t="shared" si="33"/>
        <v>0</v>
      </c>
      <c r="J150" s="333" t="str">
        <f t="shared" si="34"/>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v>0</v>
      </c>
      <c r="E151" s="751">
        <v>0</v>
      </c>
      <c r="F151" s="752">
        <v>0</v>
      </c>
      <c r="G151" s="751">
        <v>0</v>
      </c>
      <c r="H151" s="751">
        <f t="shared" si="35"/>
        <v>0</v>
      </c>
      <c r="I151" s="45">
        <f t="shared" si="33"/>
        <v>0</v>
      </c>
      <c r="J151" s="333" t="str">
        <f t="shared" si="34"/>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v>0</v>
      </c>
      <c r="E152" s="751">
        <v>0</v>
      </c>
      <c r="F152" s="752">
        <v>0</v>
      </c>
      <c r="G152" s="751">
        <v>0</v>
      </c>
      <c r="H152" s="751">
        <f t="shared" si="35"/>
        <v>0</v>
      </c>
      <c r="I152" s="45">
        <f t="shared" si="33"/>
        <v>0</v>
      </c>
      <c r="J152" s="333" t="str">
        <f t="shared" si="34"/>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v>0</v>
      </c>
      <c r="E153" s="751">
        <v>0</v>
      </c>
      <c r="F153" s="752">
        <v>0</v>
      </c>
      <c r="G153" s="751">
        <v>0</v>
      </c>
      <c r="H153" s="751">
        <f t="shared" si="35"/>
        <v>0</v>
      </c>
      <c r="I153" s="45">
        <f t="shared" si="33"/>
        <v>0</v>
      </c>
      <c r="J153" s="333" t="str">
        <f t="shared" si="34"/>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v>0</v>
      </c>
      <c r="E154" s="751">
        <v>0</v>
      </c>
      <c r="F154" s="752">
        <v>0</v>
      </c>
      <c r="G154" s="751">
        <v>0</v>
      </c>
      <c r="H154" s="751">
        <f t="shared" si="35"/>
        <v>0</v>
      </c>
      <c r="I154" s="45">
        <f t="shared" si="33"/>
        <v>0</v>
      </c>
      <c r="J154" s="333" t="str">
        <f t="shared" si="34"/>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v>0</v>
      </c>
      <c r="E155" s="751">
        <v>0</v>
      </c>
      <c r="F155" s="752">
        <v>0</v>
      </c>
      <c r="G155" s="751">
        <v>0</v>
      </c>
      <c r="H155" s="751">
        <f t="shared" si="35"/>
        <v>0</v>
      </c>
      <c r="I155" s="45">
        <f t="shared" si="33"/>
        <v>0</v>
      </c>
      <c r="J155" s="333" t="str">
        <f t="shared" si="34"/>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v>0</v>
      </c>
      <c r="E156" s="751">
        <v>0</v>
      </c>
      <c r="F156" s="752">
        <v>0</v>
      </c>
      <c r="G156" s="751">
        <v>0</v>
      </c>
      <c r="H156" s="751">
        <f t="shared" si="35"/>
        <v>0</v>
      </c>
      <c r="I156" s="45">
        <f t="shared" si="33"/>
        <v>0</v>
      </c>
      <c r="J156" s="333" t="str">
        <f t="shared" si="34"/>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v>0</v>
      </c>
      <c r="E157" s="751">
        <v>0</v>
      </c>
      <c r="F157" s="752">
        <v>0</v>
      </c>
      <c r="G157" s="751">
        <v>0</v>
      </c>
      <c r="H157" s="751">
        <f t="shared" si="35"/>
        <v>0</v>
      </c>
      <c r="I157" s="45">
        <f t="shared" si="33"/>
        <v>0</v>
      </c>
      <c r="J157" s="333" t="str">
        <f t="shared" si="34"/>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v>0</v>
      </c>
      <c r="E158" s="751">
        <v>0</v>
      </c>
      <c r="F158" s="752">
        <v>0</v>
      </c>
      <c r="G158" s="751">
        <v>0</v>
      </c>
      <c r="H158" s="751">
        <f t="shared" si="35"/>
        <v>0</v>
      </c>
      <c r="I158" s="45">
        <f t="shared" si="33"/>
        <v>0</v>
      </c>
      <c r="J158" s="333" t="str">
        <f t="shared" si="34"/>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v>0</v>
      </c>
      <c r="E159" s="751">
        <v>0</v>
      </c>
      <c r="F159" s="752">
        <v>0</v>
      </c>
      <c r="G159" s="751">
        <v>0</v>
      </c>
      <c r="H159" s="751">
        <f t="shared" si="35"/>
        <v>0</v>
      </c>
      <c r="I159" s="45">
        <f t="shared" si="33"/>
        <v>0</v>
      </c>
      <c r="J159" s="333" t="str">
        <f t="shared" si="34"/>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8">SUM(D161:D170)</f>
        <v>0</v>
      </c>
      <c r="E160" s="444">
        <f t="shared" si="38"/>
        <v>0</v>
      </c>
      <c r="F160" s="446">
        <f t="shared" si="38"/>
        <v>0</v>
      </c>
      <c r="G160" s="444">
        <f t="shared" si="38"/>
        <v>0</v>
      </c>
      <c r="H160" s="444">
        <f t="shared" si="38"/>
        <v>0</v>
      </c>
      <c r="I160" s="45">
        <f t="shared" si="33"/>
        <v>0</v>
      </c>
      <c r="J160" s="333" t="str">
        <f t="shared" si="34"/>
        <v/>
      </c>
      <c r="K160" s="445">
        <f t="shared" si="38"/>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v>0</v>
      </c>
      <c r="E161" s="751">
        <v>0</v>
      </c>
      <c r="F161" s="752">
        <v>0</v>
      </c>
      <c r="G161" s="751">
        <v>0</v>
      </c>
      <c r="H161" s="751">
        <f t="shared" si="35"/>
        <v>0</v>
      </c>
      <c r="I161" s="45">
        <f t="shared" si="33"/>
        <v>0</v>
      </c>
      <c r="J161" s="333" t="str">
        <f t="shared" si="34"/>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v>0</v>
      </c>
      <c r="E162" s="751">
        <v>0</v>
      </c>
      <c r="F162" s="752">
        <v>0</v>
      </c>
      <c r="G162" s="751">
        <v>0</v>
      </c>
      <c r="H162" s="751">
        <f t="shared" si="35"/>
        <v>0</v>
      </c>
      <c r="I162" s="45">
        <f t="shared" si="33"/>
        <v>0</v>
      </c>
      <c r="J162" s="333" t="str">
        <f t="shared" si="34"/>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v>0</v>
      </c>
      <c r="E163" s="751">
        <v>0</v>
      </c>
      <c r="F163" s="752">
        <v>0</v>
      </c>
      <c r="G163" s="751">
        <v>0</v>
      </c>
      <c r="H163" s="751">
        <f t="shared" si="35"/>
        <v>0</v>
      </c>
      <c r="I163" s="45">
        <f t="shared" si="33"/>
        <v>0</v>
      </c>
      <c r="J163" s="333" t="str">
        <f t="shared" si="34"/>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v>0</v>
      </c>
      <c r="E164" s="751">
        <v>0</v>
      </c>
      <c r="F164" s="752">
        <v>0</v>
      </c>
      <c r="G164" s="751">
        <v>0</v>
      </c>
      <c r="H164" s="751">
        <f t="shared" si="35"/>
        <v>0</v>
      </c>
      <c r="I164" s="45">
        <f t="shared" si="33"/>
        <v>0</v>
      </c>
      <c r="J164" s="333" t="str">
        <f t="shared" si="34"/>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v>0</v>
      </c>
      <c r="E165" s="751">
        <v>0</v>
      </c>
      <c r="F165" s="752">
        <v>0</v>
      </c>
      <c r="G165" s="751">
        <v>0</v>
      </c>
      <c r="H165" s="751">
        <f t="shared" si="35"/>
        <v>0</v>
      </c>
      <c r="I165" s="45">
        <f t="shared" si="33"/>
        <v>0</v>
      </c>
      <c r="J165" s="333" t="str">
        <f t="shared" si="34"/>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v>0</v>
      </c>
      <c r="E166" s="751">
        <v>0</v>
      </c>
      <c r="F166" s="752">
        <v>0</v>
      </c>
      <c r="G166" s="751">
        <v>0</v>
      </c>
      <c r="H166" s="751">
        <f t="shared" si="35"/>
        <v>0</v>
      </c>
      <c r="I166" s="45">
        <f t="shared" si="33"/>
        <v>0</v>
      </c>
      <c r="J166" s="333" t="str">
        <f t="shared" si="34"/>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v>0</v>
      </c>
      <c r="E167" s="751">
        <v>0</v>
      </c>
      <c r="F167" s="752">
        <v>0</v>
      </c>
      <c r="G167" s="751">
        <v>0</v>
      </c>
      <c r="H167" s="751">
        <f t="shared" si="35"/>
        <v>0</v>
      </c>
      <c r="I167" s="45">
        <f t="shared" si="33"/>
        <v>0</v>
      </c>
      <c r="J167" s="333" t="str">
        <f t="shared" si="34"/>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v>0</v>
      </c>
      <c r="E168" s="751">
        <v>0</v>
      </c>
      <c r="F168" s="752">
        <v>0</v>
      </c>
      <c r="G168" s="751">
        <v>0</v>
      </c>
      <c r="H168" s="751">
        <f t="shared" si="35"/>
        <v>0</v>
      </c>
      <c r="I168" s="45">
        <f t="shared" si="33"/>
        <v>0</v>
      </c>
      <c r="J168" s="333" t="str">
        <f t="shared" si="34"/>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v>0</v>
      </c>
      <c r="E169" s="751">
        <v>0</v>
      </c>
      <c r="F169" s="752">
        <v>0</v>
      </c>
      <c r="G169" s="751">
        <v>0</v>
      </c>
      <c r="H169" s="751">
        <f t="shared" si="35"/>
        <v>0</v>
      </c>
      <c r="I169" s="45">
        <f t="shared" si="33"/>
        <v>0</v>
      </c>
      <c r="J169" s="333" t="str">
        <f t="shared" si="34"/>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v>0</v>
      </c>
      <c r="E170" s="751">
        <v>0</v>
      </c>
      <c r="F170" s="752">
        <v>0</v>
      </c>
      <c r="G170" s="751">
        <v>0</v>
      </c>
      <c r="H170" s="751">
        <f t="shared" si="35"/>
        <v>0</v>
      </c>
      <c r="I170" s="45">
        <f t="shared" si="33"/>
        <v>0</v>
      </c>
      <c r="J170" s="333" t="str">
        <f t="shared" si="34"/>
        <v/>
      </c>
      <c r="K170" s="753"/>
      <c r="L170" s="455">
        <f t="shared" ref="L170:W170" si="39">SUM(L78:L81)</f>
        <v>0</v>
      </c>
      <c r="M170" s="456">
        <f t="shared" si="39"/>
        <v>0</v>
      </c>
      <c r="N170" s="456">
        <f t="shared" si="39"/>
        <v>0</v>
      </c>
      <c r="O170" s="456">
        <f t="shared" si="39"/>
        <v>0</v>
      </c>
      <c r="P170" s="456">
        <f t="shared" si="39"/>
        <v>0</v>
      </c>
      <c r="Q170" s="456">
        <f t="shared" si="39"/>
        <v>0</v>
      </c>
      <c r="R170" s="456">
        <f t="shared" si="39"/>
        <v>0</v>
      </c>
      <c r="S170" s="456">
        <f t="shared" si="39"/>
        <v>0</v>
      </c>
      <c r="T170" s="456">
        <f t="shared" si="39"/>
        <v>0</v>
      </c>
      <c r="U170" s="456">
        <f t="shared" si="39"/>
        <v>0</v>
      </c>
      <c r="V170" s="456">
        <f t="shared" si="39"/>
        <v>0</v>
      </c>
      <c r="W170" s="456">
        <f t="shared" si="39"/>
        <v>0</v>
      </c>
    </row>
    <row r="171" spans="1:23" ht="12.75" customHeight="1" x14ac:dyDescent="0.2">
      <c r="A171" s="450" t="s">
        <v>655</v>
      </c>
      <c r="B171" s="418">
        <v>2</v>
      </c>
      <c r="C171" s="507">
        <f>C6+C17+C28+C39+C50+C61+C72+C83+C94+C105+C116+C127+C138+C149+C160</f>
        <v>4045643331.02</v>
      </c>
      <c r="D171" s="454">
        <f t="shared" ref="D171:K171" si="40">D6+D17+D28+D39+D50+D61+D72+D83+D94+D105+D116+D127+D138+D149+D160</f>
        <v>5062923624</v>
      </c>
      <c r="E171" s="451">
        <f t="shared" si="40"/>
        <v>5062923624</v>
      </c>
      <c r="F171" s="453">
        <f t="shared" si="40"/>
        <v>579352691.19400001</v>
      </c>
      <c r="G171" s="451">
        <f t="shared" si="40"/>
        <v>2315498762.1175003</v>
      </c>
      <c r="H171" s="451">
        <f t="shared" si="40"/>
        <v>2531461812</v>
      </c>
      <c r="I171" s="517">
        <f t="shared" si="33"/>
        <v>-215963049.88249969</v>
      </c>
      <c r="J171" s="518">
        <f t="shared" si="34"/>
        <v>-8.5311596982723795E-2</v>
      </c>
      <c r="K171" s="452">
        <f t="shared" si="40"/>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8">
        <f t="shared" si="35"/>
        <v>0</v>
      </c>
      <c r="I172" s="116">
        <f t="shared" si="33"/>
        <v>0</v>
      </c>
      <c r="J172" s="134" t="str">
        <f t="shared" si="34"/>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35"/>
        <v>0</v>
      </c>
      <c r="I173" s="45">
        <f t="shared" si="33"/>
        <v>0</v>
      </c>
      <c r="J173" s="333" t="str">
        <f t="shared" si="34"/>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1">SUM(C175:C184)</f>
        <v>96914217.120000005</v>
      </c>
      <c r="D174" s="474">
        <f t="shared" si="41"/>
        <v>173904164</v>
      </c>
      <c r="E174" s="471">
        <f t="shared" si="41"/>
        <v>176406368</v>
      </c>
      <c r="F174" s="473">
        <f>SUM(F175:F184)</f>
        <v>14132652.840000002</v>
      </c>
      <c r="G174" s="471">
        <f>SUM(G175:G184)</f>
        <v>73926623.290000007</v>
      </c>
      <c r="H174" s="510">
        <f>SUM(H175:H184)</f>
        <v>86952082</v>
      </c>
      <c r="I174" s="45">
        <f t="shared" si="33"/>
        <v>-13025458.709999993</v>
      </c>
      <c r="J174" s="333">
        <f t="shared" si="34"/>
        <v>-0.14980042352522385</v>
      </c>
      <c r="K174" s="472">
        <f t="shared" si="41"/>
        <v>176406368</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5061424</v>
      </c>
      <c r="F175" s="756">
        <v>1893686.1400000006</v>
      </c>
      <c r="G175" s="743">
        <v>12991880.490000004</v>
      </c>
      <c r="H175" s="751">
        <f t="shared" ref="H175:H184" si="42">D175/12*6</f>
        <v>2530512</v>
      </c>
      <c r="I175" s="45">
        <f t="shared" ref="I175:I184" si="43">G175-H175</f>
        <v>10461368.490000004</v>
      </c>
      <c r="J175" s="333">
        <f t="shared" si="34"/>
        <v>4.1340916344202299</v>
      </c>
      <c r="K175" s="757">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19561308</v>
      </c>
      <c r="F176" s="756">
        <v>870352.82000000007</v>
      </c>
      <c r="G176" s="743">
        <v>4157519.4299999997</v>
      </c>
      <c r="H176" s="751">
        <f t="shared" si="42"/>
        <v>9812754</v>
      </c>
      <c r="I176" s="45">
        <f t="shared" si="43"/>
        <v>-5655234.5700000003</v>
      </c>
      <c r="J176" s="333">
        <f t="shared" si="34"/>
        <v>-0.57631471959859593</v>
      </c>
      <c r="K176" s="757">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31015524</v>
      </c>
      <c r="F177" s="756">
        <v>4848316.2200000007</v>
      </c>
      <c r="G177" s="743">
        <v>14949302.050000003</v>
      </c>
      <c r="H177" s="751">
        <f t="shared" si="42"/>
        <v>15507762</v>
      </c>
      <c r="I177" s="45">
        <f t="shared" si="43"/>
        <v>-558459.94999999739</v>
      </c>
      <c r="J177" s="333">
        <f t="shared" si="34"/>
        <v>-3.6011640493321818E-2</v>
      </c>
      <c r="K177" s="757">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17731896</v>
      </c>
      <c r="F178" s="756">
        <v>0</v>
      </c>
      <c r="G178" s="743">
        <v>0</v>
      </c>
      <c r="H178" s="751">
        <f t="shared" si="42"/>
        <v>8865948</v>
      </c>
      <c r="I178" s="45">
        <f t="shared" si="43"/>
        <v>-8865948</v>
      </c>
      <c r="J178" s="333">
        <f t="shared" si="34"/>
        <v>-1</v>
      </c>
      <c r="K178" s="757">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16056912</v>
      </c>
      <c r="F179" s="756">
        <v>804276.76000000013</v>
      </c>
      <c r="G179" s="743">
        <v>5265002.08</v>
      </c>
      <c r="H179" s="751">
        <f t="shared" si="42"/>
        <v>8028456</v>
      </c>
      <c r="I179" s="45">
        <f t="shared" si="43"/>
        <v>-2763453.92</v>
      </c>
      <c r="J179" s="333">
        <f t="shared" si="34"/>
        <v>-0.3442073942984803</v>
      </c>
      <c r="K179" s="757">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48886196</v>
      </c>
      <c r="F180" s="756">
        <v>3522374.1199999996</v>
      </c>
      <c r="G180" s="743">
        <v>20833076.559999999</v>
      </c>
      <c r="H180" s="751">
        <f t="shared" si="42"/>
        <v>24443098</v>
      </c>
      <c r="I180" s="45">
        <f t="shared" si="43"/>
        <v>-3610021.4400000013</v>
      </c>
      <c r="J180" s="333">
        <f t="shared" si="34"/>
        <v>-0.14769083035219191</v>
      </c>
      <c r="K180" s="757">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3796812</v>
      </c>
      <c r="F181" s="756">
        <v>0</v>
      </c>
      <c r="G181" s="743">
        <v>0</v>
      </c>
      <c r="H181" s="751">
        <f t="shared" si="42"/>
        <v>1898406</v>
      </c>
      <c r="I181" s="45">
        <f t="shared" si="43"/>
        <v>-1898406</v>
      </c>
      <c r="J181" s="333">
        <f t="shared" si="34"/>
        <v>-1</v>
      </c>
      <c r="K181" s="757">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12372984</v>
      </c>
      <c r="F182" s="756">
        <v>809729.8899999999</v>
      </c>
      <c r="G182" s="743">
        <v>5449329.8499999987</v>
      </c>
      <c r="H182" s="751">
        <f t="shared" si="42"/>
        <v>6186492</v>
      </c>
      <c r="I182" s="45">
        <f t="shared" si="43"/>
        <v>-737162.1500000013</v>
      </c>
      <c r="J182" s="333">
        <f t="shared" si="34"/>
        <v>-0.11915672888609592</v>
      </c>
      <c r="K182" s="757">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21923312</v>
      </c>
      <c r="F183" s="756">
        <v>1383916.89</v>
      </c>
      <c r="G183" s="743">
        <v>10280512.83</v>
      </c>
      <c r="H183" s="751">
        <f t="shared" si="42"/>
        <v>9678654</v>
      </c>
      <c r="I183" s="45">
        <f t="shared" si="43"/>
        <v>601858.83000000007</v>
      </c>
      <c r="J183" s="333">
        <f t="shared" si="34"/>
        <v>6.2184145646698399E-2</v>
      </c>
      <c r="K183" s="757">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751">
        <f t="shared" si="42"/>
        <v>0</v>
      </c>
      <c r="I184" s="45">
        <f t="shared" si="43"/>
        <v>0</v>
      </c>
      <c r="J184" s="333" t="str">
        <f t="shared" si="34"/>
        <v/>
      </c>
      <c r="K184" s="757">
        <f t="shared" ref="K184" si="44">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45">SUM(E186:E195)</f>
        <v>308168240</v>
      </c>
      <c r="F185" s="446">
        <f t="shared" si="45"/>
        <v>41121021.829999998</v>
      </c>
      <c r="G185" s="444">
        <f t="shared" si="45"/>
        <v>82672600.50999999</v>
      </c>
      <c r="H185" s="444">
        <f t="shared" si="45"/>
        <v>155167020</v>
      </c>
      <c r="I185" s="45">
        <f t="shared" si="33"/>
        <v>-72494419.49000001</v>
      </c>
      <c r="J185" s="333">
        <f t="shared" si="34"/>
        <v>-0.46720249889441717</v>
      </c>
      <c r="K185" s="445">
        <f t="shared" si="45"/>
        <v>308168240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266022576</v>
      </c>
      <c r="F186" s="756">
        <v>3207425.5599999996</v>
      </c>
      <c r="G186" s="743">
        <v>31978646.319999997</v>
      </c>
      <c r="H186" s="751">
        <f t="shared" ref="H186:H195" si="46">D186/12*6</f>
        <v>132679188</v>
      </c>
      <c r="I186" s="45">
        <f t="shared" si="33"/>
        <v>-100700541.68000001</v>
      </c>
      <c r="J186" s="333">
        <f t="shared" si="34"/>
        <v>-0.75897767538342187</v>
      </c>
      <c r="K186" s="757">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22999928</v>
      </c>
      <c r="F187" s="756">
        <v>37028133.519999996</v>
      </c>
      <c r="G187" s="743">
        <v>43723301.549999997</v>
      </c>
      <c r="H187" s="751">
        <f t="shared" si="46"/>
        <v>12914964</v>
      </c>
      <c r="I187" s="45">
        <f t="shared" si="33"/>
        <v>30808337.549999997</v>
      </c>
      <c r="J187" s="333">
        <f t="shared" si="34"/>
        <v>2.3854760686905512</v>
      </c>
      <c r="K187" s="757">
        <v>22999928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5631816</v>
      </c>
      <c r="F188" s="756">
        <v>152203.52000000002</v>
      </c>
      <c r="G188" s="743">
        <v>964689.51000000013</v>
      </c>
      <c r="H188" s="751">
        <f t="shared" si="46"/>
        <v>2815908</v>
      </c>
      <c r="I188" s="45">
        <f t="shared" si="33"/>
        <v>-1851218.4899999998</v>
      </c>
      <c r="J188" s="333">
        <f t="shared" si="34"/>
        <v>-0.65741440771502468</v>
      </c>
      <c r="K188" s="757">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13513920</v>
      </c>
      <c r="F189" s="756">
        <v>733259.23</v>
      </c>
      <c r="G189" s="743">
        <v>6005963.1299999999</v>
      </c>
      <c r="H189" s="751">
        <f t="shared" si="46"/>
        <v>6756960</v>
      </c>
      <c r="I189" s="45">
        <f t="shared" si="33"/>
        <v>-750996.87000000011</v>
      </c>
      <c r="J189" s="333">
        <f t="shared" si="34"/>
        <v>-0.11114419354265825</v>
      </c>
      <c r="K189" s="757">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46"/>
        <v>0</v>
      </c>
      <c r="I190" s="45">
        <f t="shared" si="33"/>
        <v>0</v>
      </c>
      <c r="J190" s="333" t="str">
        <f t="shared" si="34"/>
        <v/>
      </c>
      <c r="K190" s="757">
        <f t="shared" ref="K190:K195" si="47">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46"/>
        <v>0</v>
      </c>
      <c r="I191" s="45">
        <f t="shared" si="33"/>
        <v>0</v>
      </c>
      <c r="J191" s="333" t="str">
        <f t="shared" si="34"/>
        <v/>
      </c>
      <c r="K191" s="757">
        <f t="shared" si="47"/>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46"/>
        <v>0</v>
      </c>
      <c r="I192" s="45">
        <f t="shared" si="33"/>
        <v>0</v>
      </c>
      <c r="J192" s="333" t="str">
        <f t="shared" si="34"/>
        <v/>
      </c>
      <c r="K192" s="757">
        <f t="shared" si="47"/>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46"/>
        <v>0</v>
      </c>
      <c r="I193" s="45">
        <f t="shared" si="33"/>
        <v>0</v>
      </c>
      <c r="J193" s="333" t="str">
        <f t="shared" si="34"/>
        <v/>
      </c>
      <c r="K193" s="757">
        <f t="shared" si="47"/>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46"/>
        <v>0</v>
      </c>
      <c r="I194" s="45">
        <f t="shared" si="33"/>
        <v>0</v>
      </c>
      <c r="J194" s="333" t="str">
        <f t="shared" si="34"/>
        <v/>
      </c>
      <c r="K194" s="757">
        <f t="shared" si="47"/>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si="46"/>
        <v>0</v>
      </c>
      <c r="I195" s="45">
        <f t="shared" si="33"/>
        <v>0</v>
      </c>
      <c r="J195" s="333" t="str">
        <f t="shared" si="34"/>
        <v/>
      </c>
      <c r="K195" s="757">
        <f t="shared" si="47"/>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48">SUM(C197:C206)</f>
        <v>363795872.22000003</v>
      </c>
      <c r="D196" s="447">
        <f t="shared" si="48"/>
        <v>476061904</v>
      </c>
      <c r="E196" s="444">
        <f t="shared" si="48"/>
        <v>476062004</v>
      </c>
      <c r="F196" s="446">
        <f t="shared" si="48"/>
        <v>38823336.669999994</v>
      </c>
      <c r="G196" s="444">
        <f t="shared" si="48"/>
        <v>206803145.84999999</v>
      </c>
      <c r="H196" s="444">
        <f t="shared" si="48"/>
        <v>238030952</v>
      </c>
      <c r="I196" s="45">
        <f t="shared" si="33"/>
        <v>-31227806.150000006</v>
      </c>
      <c r="J196" s="333">
        <f t="shared" si="34"/>
        <v>-0.1311922079360503</v>
      </c>
      <c r="K196" s="445">
        <f t="shared" si="48"/>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33662904</v>
      </c>
      <c r="F197" s="756">
        <v>2431879.34</v>
      </c>
      <c r="G197" s="743">
        <v>21535049.789999999</v>
      </c>
      <c r="H197" s="751">
        <f t="shared" ref="H197:H206" si="49">D197/12*6</f>
        <v>16831452</v>
      </c>
      <c r="I197" s="45">
        <f t="shared" si="33"/>
        <v>4703597.7899999991</v>
      </c>
      <c r="J197" s="333">
        <f t="shared" si="34"/>
        <v>0.27945288320936301</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343238928</v>
      </c>
      <c r="F198" s="756">
        <v>25868245.359999999</v>
      </c>
      <c r="G198" s="743">
        <v>121527535.68000001</v>
      </c>
      <c r="H198" s="751">
        <f t="shared" si="49"/>
        <v>171619464</v>
      </c>
      <c r="I198" s="45">
        <f t="shared" ref="I198:I261" si="50">G198-H198</f>
        <v>-50091928.319999993</v>
      </c>
      <c r="J198" s="333">
        <f t="shared" ref="J198:J261" si="51">IF(I198=0,"",I198/H198)</f>
        <v>-0.29187789748603338</v>
      </c>
      <c r="K198" s="757">
        <f t="shared" ref="K198:K206" si="52">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77149276</v>
      </c>
      <c r="F199" s="756">
        <v>4873506.0999999987</v>
      </c>
      <c r="G199" s="743">
        <v>29125152.910000004</v>
      </c>
      <c r="H199" s="751">
        <f t="shared" si="49"/>
        <v>38574638</v>
      </c>
      <c r="I199" s="45">
        <f t="shared" si="50"/>
        <v>-9449485.0899999961</v>
      </c>
      <c r="J199" s="333">
        <f t="shared" si="51"/>
        <v>-0.24496626747346265</v>
      </c>
      <c r="K199" s="757">
        <f t="shared" si="52"/>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13669996</v>
      </c>
      <c r="F200" s="756">
        <v>2350039.5499999998</v>
      </c>
      <c r="G200" s="743">
        <v>14179079.039999999</v>
      </c>
      <c r="H200" s="751">
        <f t="shared" si="49"/>
        <v>6834948</v>
      </c>
      <c r="I200" s="45">
        <f t="shared" si="50"/>
        <v>7344131.0399999991</v>
      </c>
      <c r="J200" s="333">
        <f t="shared" si="51"/>
        <v>1.0744969881263178</v>
      </c>
      <c r="K200" s="757">
        <f t="shared" si="52"/>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8340900</v>
      </c>
      <c r="F201" s="756">
        <v>0</v>
      </c>
      <c r="G201" s="743">
        <v>0</v>
      </c>
      <c r="H201" s="751">
        <f t="shared" si="49"/>
        <v>4170450</v>
      </c>
      <c r="I201" s="45">
        <f t="shared" si="50"/>
        <v>-4170450</v>
      </c>
      <c r="J201" s="333">
        <f t="shared" si="51"/>
        <v>-1</v>
      </c>
      <c r="K201" s="757">
        <f t="shared" si="52"/>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49"/>
        <v>0</v>
      </c>
      <c r="I202" s="45">
        <f t="shared" si="50"/>
        <v>0</v>
      </c>
      <c r="J202" s="333" t="str">
        <f t="shared" si="51"/>
        <v/>
      </c>
      <c r="K202" s="757">
        <f t="shared" si="52"/>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3299666.3200000003</v>
      </c>
      <c r="G203" s="743">
        <v>20436328.429999996</v>
      </c>
      <c r="H203" s="751">
        <f t="shared" si="49"/>
        <v>0</v>
      </c>
      <c r="I203" s="45">
        <f t="shared" si="50"/>
        <v>20436328.429999996</v>
      </c>
      <c r="J203" s="333" t="e">
        <f t="shared" si="51"/>
        <v>#DIV/0!</v>
      </c>
      <c r="K203" s="757">
        <f t="shared" si="52"/>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49"/>
        <v>0</v>
      </c>
      <c r="I204" s="45">
        <f t="shared" si="50"/>
        <v>0</v>
      </c>
      <c r="J204" s="333" t="str">
        <f t="shared" si="51"/>
        <v/>
      </c>
      <c r="K204" s="757">
        <f t="shared" si="52"/>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49"/>
        <v>0</v>
      </c>
      <c r="I205" s="45">
        <f t="shared" si="50"/>
        <v>0</v>
      </c>
      <c r="J205" s="333" t="str">
        <f t="shared" si="51"/>
        <v/>
      </c>
      <c r="K205" s="757">
        <f t="shared" si="52"/>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49"/>
        <v>0</v>
      </c>
      <c r="I206" s="45">
        <f t="shared" si="50"/>
        <v>0</v>
      </c>
      <c r="J206" s="333" t="str">
        <f t="shared" si="51"/>
        <v/>
      </c>
      <c r="K206" s="757">
        <f t="shared" si="52"/>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3">SUM(C208:C217)</f>
        <v>797672125.25999963</v>
      </c>
      <c r="D207" s="447">
        <f t="shared" si="53"/>
        <v>961329108</v>
      </c>
      <c r="E207" s="444">
        <f t="shared" si="53"/>
        <v>961329708</v>
      </c>
      <c r="F207" s="446">
        <f t="shared" si="53"/>
        <v>61413861.780000001</v>
      </c>
      <c r="G207" s="444">
        <f t="shared" si="53"/>
        <v>473695365.33000004</v>
      </c>
      <c r="H207" s="444">
        <f t="shared" si="53"/>
        <v>480664554</v>
      </c>
      <c r="I207" s="45">
        <f t="shared" si="50"/>
        <v>-6969188.6699999571</v>
      </c>
      <c r="J207" s="333">
        <f t="shared" si="51"/>
        <v>-1.4499069282316909E-2</v>
      </c>
      <c r="K207" s="445">
        <f t="shared" si="53"/>
        <v>961329708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5228208</v>
      </c>
      <c r="F208" s="475">
        <v>2914110.63</v>
      </c>
      <c r="G208" s="387">
        <v>16314984.630000003</v>
      </c>
      <c r="H208" s="751">
        <f t="shared" ref="H208:H216" si="54">D208/12*6</f>
        <v>2613804</v>
      </c>
      <c r="I208" s="45">
        <f t="shared" si="50"/>
        <v>13701180.630000003</v>
      </c>
      <c r="J208" s="333">
        <f t="shared" si="51"/>
        <v>5.2418546417405443</v>
      </c>
      <c r="K208" s="398">
        <v>5228208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54671.1</v>
      </c>
      <c r="G209" s="387">
        <v>427868.3</v>
      </c>
      <c r="H209" s="751">
        <f t="shared" si="54"/>
        <v>14521296</v>
      </c>
      <c r="I209" s="45">
        <f t="shared" si="50"/>
        <v>-14093427.699999999</v>
      </c>
      <c r="J209" s="333">
        <f t="shared" si="51"/>
        <v>-0.97053511614941246</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34217.769999999997</v>
      </c>
      <c r="G210" s="387">
        <v>1265580.51</v>
      </c>
      <c r="H210" s="751">
        <f t="shared" si="54"/>
        <v>14634894</v>
      </c>
      <c r="I210" s="45">
        <f t="shared" si="50"/>
        <v>-13369313.49</v>
      </c>
      <c r="J210" s="333">
        <f t="shared" si="51"/>
        <v>-0.91352308325567644</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55589306.109999999</v>
      </c>
      <c r="G211" s="387">
        <v>438577263.47000003</v>
      </c>
      <c r="H211" s="751">
        <f t="shared" si="54"/>
        <v>442116768</v>
      </c>
      <c r="I211" s="45">
        <f t="shared" si="50"/>
        <v>-3539504.5299999714</v>
      </c>
      <c r="J211" s="333">
        <f t="shared" si="51"/>
        <v>-8.0058138170411384E-3</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2821556.17</v>
      </c>
      <c r="G212" s="387">
        <v>17109668.420000002</v>
      </c>
      <c r="H212" s="751">
        <f t="shared" si="54"/>
        <v>6777792</v>
      </c>
      <c r="I212" s="45">
        <f t="shared" si="50"/>
        <v>10331876.420000002</v>
      </c>
      <c r="J212" s="333">
        <f t="shared" si="51"/>
        <v>1.5243720108259449</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54"/>
        <v>0</v>
      </c>
      <c r="I213" s="45">
        <f t="shared" si="50"/>
        <v>0</v>
      </c>
      <c r="J213" s="333" t="str">
        <f t="shared" si="51"/>
        <v/>
      </c>
      <c r="K213" s="398">
        <f t="shared" ref="K213:K217" si="55">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54"/>
        <v>0</v>
      </c>
      <c r="I214" s="45">
        <f t="shared" si="50"/>
        <v>0</v>
      </c>
      <c r="J214" s="333" t="str">
        <f t="shared" si="51"/>
        <v/>
      </c>
      <c r="K214" s="398">
        <f t="shared" si="55"/>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54"/>
        <v>0</v>
      </c>
      <c r="I215" s="45">
        <f t="shared" si="50"/>
        <v>0</v>
      </c>
      <c r="J215" s="333" t="str">
        <f t="shared" si="51"/>
        <v/>
      </c>
      <c r="K215" s="398">
        <f t="shared" si="55"/>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54"/>
        <v>0</v>
      </c>
      <c r="I216" s="45">
        <f t="shared" si="50"/>
        <v>0</v>
      </c>
      <c r="J216" s="333" t="str">
        <f t="shared" si="51"/>
        <v/>
      </c>
      <c r="K216" s="398">
        <f t="shared" si="55"/>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ref="H208:H217" si="56">E217/12*5</f>
        <v>0</v>
      </c>
      <c r="I217" s="45">
        <f t="shared" si="50"/>
        <v>0</v>
      </c>
      <c r="J217" s="333" t="str">
        <f t="shared" si="51"/>
        <v/>
      </c>
      <c r="K217" s="398">
        <f t="shared" si="55"/>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7">SUM(C219:C228)</f>
        <v>273839589.5</v>
      </c>
      <c r="D218" s="447">
        <f t="shared" si="57"/>
        <v>338671680</v>
      </c>
      <c r="E218" s="444">
        <f t="shared" si="57"/>
        <v>340022380</v>
      </c>
      <c r="F218" s="446">
        <f t="shared" si="57"/>
        <v>19330947.359999996</v>
      </c>
      <c r="G218" s="444">
        <f t="shared" si="57"/>
        <v>114011138.52999997</v>
      </c>
      <c r="H218" s="444">
        <f t="shared" si="57"/>
        <v>169335840</v>
      </c>
      <c r="I218" s="45">
        <f t="shared" si="50"/>
        <v>-55324701.470000029</v>
      </c>
      <c r="J218" s="333">
        <f t="shared" si="51"/>
        <v>-0.32671584154895994</v>
      </c>
      <c r="K218" s="445">
        <f t="shared" si="57"/>
        <v>340022380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 t="shared" ref="H219:H228" si="58">D219/12*6</f>
        <v>0</v>
      </c>
      <c r="I219" s="45">
        <f t="shared" si="50"/>
        <v>0</v>
      </c>
      <c r="J219" s="333" t="str">
        <f t="shared" si="51"/>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4476773.41</v>
      </c>
      <c r="G220" s="387">
        <v>22977398.280000001</v>
      </c>
      <c r="H220" s="751">
        <f t="shared" si="58"/>
        <v>8265660</v>
      </c>
      <c r="I220" s="45">
        <f t="shared" si="50"/>
        <v>14711738.280000001</v>
      </c>
      <c r="J220" s="333">
        <f t="shared" si="51"/>
        <v>1.7798625009981055</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762950.4600000002</v>
      </c>
      <c r="G221" s="387">
        <v>6069862.9900000012</v>
      </c>
      <c r="H221" s="751">
        <f t="shared" si="58"/>
        <v>36766554</v>
      </c>
      <c r="I221" s="45">
        <f t="shared" si="50"/>
        <v>-30696691.009999998</v>
      </c>
      <c r="J221" s="333">
        <f t="shared" si="51"/>
        <v>-0.83490802564744027</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951370.1</v>
      </c>
      <c r="G222" s="387">
        <v>6007018.120000001</v>
      </c>
      <c r="H222" s="751">
        <f t="shared" si="58"/>
        <v>3641202</v>
      </c>
      <c r="I222" s="45">
        <f t="shared" si="50"/>
        <v>2365816.120000001</v>
      </c>
      <c r="J222" s="333">
        <f t="shared" si="51"/>
        <v>0.64973492819129541</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1">
        <f t="shared" si="58"/>
        <v>5783754</v>
      </c>
      <c r="I223" s="45">
        <f t="shared" si="50"/>
        <v>-5783754</v>
      </c>
      <c r="J223" s="333">
        <f t="shared" si="51"/>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262506.23</v>
      </c>
      <c r="G224" s="387">
        <v>1838658.2399999998</v>
      </c>
      <c r="H224" s="751">
        <f t="shared" si="58"/>
        <v>10646646</v>
      </c>
      <c r="I224" s="45">
        <f t="shared" si="50"/>
        <v>-8807987.7599999998</v>
      </c>
      <c r="J224" s="333">
        <f t="shared" si="51"/>
        <v>-0.82730164598315747</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628457.10000000009</v>
      </c>
      <c r="G225" s="387">
        <v>3876942.54</v>
      </c>
      <c r="H225" s="751">
        <f t="shared" si="58"/>
        <v>2530950</v>
      </c>
      <c r="I225" s="45">
        <f t="shared" si="50"/>
        <v>1345992.54</v>
      </c>
      <c r="J225" s="333">
        <f t="shared" si="51"/>
        <v>0.53181316896817399</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1584096.1399999997</v>
      </c>
      <c r="G226" s="387">
        <v>9288662.0999999996</v>
      </c>
      <c r="H226" s="751">
        <f t="shared" si="58"/>
        <v>3526008</v>
      </c>
      <c r="I226" s="45">
        <f t="shared" si="50"/>
        <v>5762654.0999999996</v>
      </c>
      <c r="J226" s="333">
        <f t="shared" si="51"/>
        <v>1.6343281410592374</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129236012</v>
      </c>
      <c r="F227" s="475">
        <v>36877.35</v>
      </c>
      <c r="G227" s="387">
        <v>170881.56</v>
      </c>
      <c r="H227" s="751">
        <f t="shared" si="58"/>
        <v>64681848</v>
      </c>
      <c r="I227" s="45">
        <f t="shared" si="50"/>
        <v>-64510966.439999998</v>
      </c>
      <c r="J227" s="333">
        <f t="shared" si="51"/>
        <v>-0.99735812186442163</v>
      </c>
      <c r="K227" s="398">
        <v>129236012</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10627916.569999998</v>
      </c>
      <c r="G228" s="387">
        <v>63781714.699999973</v>
      </c>
      <c r="H228" s="751">
        <f t="shared" si="58"/>
        <v>33493218</v>
      </c>
      <c r="I228" s="45">
        <f t="shared" si="50"/>
        <v>30288496.699999973</v>
      </c>
      <c r="J228" s="333">
        <f t="shared" si="51"/>
        <v>0.90431730686492928</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59">SUM(C230:C239)</f>
        <v>234959699.64000002</v>
      </c>
      <c r="D229" s="447">
        <f t="shared" si="59"/>
        <v>278091984</v>
      </c>
      <c r="E229" s="444">
        <f t="shared" si="59"/>
        <v>276618884</v>
      </c>
      <c r="F229" s="446">
        <f t="shared" si="59"/>
        <v>21718913.530000001</v>
      </c>
      <c r="G229" s="444">
        <f t="shared" si="59"/>
        <v>122440992.71000001</v>
      </c>
      <c r="H229" s="444">
        <f t="shared" si="59"/>
        <v>139045992</v>
      </c>
      <c r="I229" s="45">
        <f t="shared" si="50"/>
        <v>-16604999.289999992</v>
      </c>
      <c r="J229" s="333">
        <f t="shared" si="51"/>
        <v>-0.11942091283005117</v>
      </c>
      <c r="K229" s="445">
        <f t="shared" si="59"/>
        <v>276618884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35282</v>
      </c>
      <c r="G230" s="387">
        <v>69068.45</v>
      </c>
      <c r="H230" s="751">
        <f t="shared" ref="H230:H239" si="60">D230/12*6</f>
        <v>49130508</v>
      </c>
      <c r="I230" s="45">
        <f t="shared" si="50"/>
        <v>-49061439.549999997</v>
      </c>
      <c r="J230" s="333">
        <f t="shared" si="51"/>
        <v>-0.99859418408618927</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22274.13</v>
      </c>
      <c r="G231" s="387">
        <v>149893.19</v>
      </c>
      <c r="H231" s="751">
        <f t="shared" si="60"/>
        <v>0</v>
      </c>
      <c r="I231" s="45">
        <f t="shared" si="50"/>
        <v>149893.19</v>
      </c>
      <c r="J231" s="333" t="e">
        <f t="shared" si="51"/>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998507.98</v>
      </c>
      <c r="G232" s="387">
        <v>5326792.5600000005</v>
      </c>
      <c r="H232" s="751">
        <f t="shared" si="60"/>
        <v>4540206</v>
      </c>
      <c r="I232" s="45">
        <f t="shared" si="50"/>
        <v>786586.56000000052</v>
      </c>
      <c r="J232" s="333">
        <f t="shared" si="51"/>
        <v>0.17324909045977221</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8141815.839999998</v>
      </c>
      <c r="G233" s="387">
        <v>46171689.820000008</v>
      </c>
      <c r="H233" s="751">
        <f t="shared" si="60"/>
        <v>6610350</v>
      </c>
      <c r="I233" s="45">
        <f t="shared" si="50"/>
        <v>39561339.820000008</v>
      </c>
      <c r="J233" s="333">
        <f t="shared" si="51"/>
        <v>5.9847572095274844</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89422.579999999987</v>
      </c>
      <c r="G234" s="387">
        <v>418314</v>
      </c>
      <c r="H234" s="751">
        <f t="shared" si="60"/>
        <v>6296250</v>
      </c>
      <c r="I234" s="45">
        <f t="shared" si="50"/>
        <v>-5877936</v>
      </c>
      <c r="J234" s="333">
        <f t="shared" si="51"/>
        <v>-0.93356140559857059</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77383384</v>
      </c>
      <c r="F235" s="475">
        <v>3627912.68</v>
      </c>
      <c r="G235" s="387">
        <v>22465299.779999994</v>
      </c>
      <c r="H235" s="751">
        <f t="shared" si="60"/>
        <v>38430192</v>
      </c>
      <c r="I235" s="45">
        <f t="shared" si="50"/>
        <v>-15964892.220000006</v>
      </c>
      <c r="J235" s="333">
        <f t="shared" si="51"/>
        <v>-0.41542577304844081</v>
      </c>
      <c r="K235" s="398">
        <v>77383384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1">
        <f t="shared" si="60"/>
        <v>867306</v>
      </c>
      <c r="I236" s="45">
        <f t="shared" si="50"/>
        <v>-931816.93</v>
      </c>
      <c r="J236" s="333">
        <f t="shared" si="51"/>
        <v>-1.0743808183040358</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1523886.31</v>
      </c>
      <c r="G237" s="387">
        <v>9323194.0500000007</v>
      </c>
      <c r="H237" s="751">
        <f t="shared" si="60"/>
        <v>29850900</v>
      </c>
      <c r="I237" s="45">
        <f t="shared" si="50"/>
        <v>-20527705.949999999</v>
      </c>
      <c r="J237" s="333">
        <f t="shared" si="51"/>
        <v>-0.68767460780076983</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5872967.1800000006</v>
      </c>
      <c r="G238" s="387">
        <v>32884318.480000004</v>
      </c>
      <c r="H238" s="751">
        <f t="shared" si="60"/>
        <v>3320280</v>
      </c>
      <c r="I238" s="45">
        <f t="shared" si="50"/>
        <v>29564038.480000004</v>
      </c>
      <c r="J238" s="333">
        <f t="shared" si="51"/>
        <v>8.9040799209705224</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1406844.83</v>
      </c>
      <c r="G239" s="387">
        <v>5696933.3100000015</v>
      </c>
      <c r="H239" s="751">
        <f t="shared" si="60"/>
        <v>0</v>
      </c>
      <c r="I239" s="45">
        <f t="shared" si="50"/>
        <v>5696933.3100000015</v>
      </c>
      <c r="J239" s="333" t="e">
        <f t="shared" si="51"/>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1">SUM(C241:C250)</f>
        <v>260962451.56000003</v>
      </c>
      <c r="D240" s="447">
        <f t="shared" si="61"/>
        <v>206024904</v>
      </c>
      <c r="E240" s="444">
        <f>SUM(E241:E250)</f>
        <v>206025204</v>
      </c>
      <c r="F240" s="446">
        <f t="shared" si="61"/>
        <v>23609039.809999995</v>
      </c>
      <c r="G240" s="444">
        <f t="shared" si="61"/>
        <v>105744608.28999999</v>
      </c>
      <c r="H240" s="444">
        <f t="shared" si="61"/>
        <v>103012452</v>
      </c>
      <c r="I240" s="45">
        <f t="shared" si="50"/>
        <v>2732156.2899999917</v>
      </c>
      <c r="J240" s="333">
        <f t="shared" si="51"/>
        <v>2.6522582823288118E-2</v>
      </c>
      <c r="K240" s="445">
        <f t="shared" si="61"/>
        <v>206025204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196481.99999999997</v>
      </c>
      <c r="G241" s="387">
        <v>1364781.31</v>
      </c>
      <c r="H241" s="751">
        <f t="shared" ref="H241:H250" si="62">D241/12*6</f>
        <v>3393012</v>
      </c>
      <c r="I241" s="45">
        <f t="shared" si="50"/>
        <v>-2028230.69</v>
      </c>
      <c r="J241" s="333">
        <f t="shared" si="51"/>
        <v>-0.59776702528608794</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7632200.709999999</v>
      </c>
      <c r="G242" s="387">
        <v>29068537.440000005</v>
      </c>
      <c r="H242" s="751">
        <f t="shared" si="62"/>
        <v>35201820</v>
      </c>
      <c r="I242" s="45">
        <f t="shared" si="50"/>
        <v>-6133282.5599999949</v>
      </c>
      <c r="J242" s="333">
        <f t="shared" si="51"/>
        <v>-0.174231973233202</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1">
        <f t="shared" si="62"/>
        <v>2711646</v>
      </c>
      <c r="I243" s="45">
        <f t="shared" si="50"/>
        <v>-2684151.1</v>
      </c>
      <c r="J243" s="333">
        <f t="shared" si="51"/>
        <v>-0.98986043901010679</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76876836</v>
      </c>
      <c r="F244" s="475">
        <v>0</v>
      </c>
      <c r="G244" s="387">
        <v>0</v>
      </c>
      <c r="H244" s="751">
        <f t="shared" si="62"/>
        <v>38438418</v>
      </c>
      <c r="I244" s="45">
        <f t="shared" si="50"/>
        <v>-38438418</v>
      </c>
      <c r="J244" s="333">
        <f t="shared" si="51"/>
        <v>-1</v>
      </c>
      <c r="K244" s="398">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2632979.1599999997</v>
      </c>
      <c r="G245" s="387">
        <v>16089957.49</v>
      </c>
      <c r="H245" s="751">
        <f t="shared" si="62"/>
        <v>6131844</v>
      </c>
      <c r="I245" s="45">
        <f t="shared" si="50"/>
        <v>9958113.4900000002</v>
      </c>
      <c r="J245" s="333">
        <f t="shared" si="51"/>
        <v>1.6239998098451298</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34594.5</v>
      </c>
      <c r="G246" s="387">
        <v>113905.95</v>
      </c>
      <c r="H246" s="751">
        <f t="shared" si="62"/>
        <v>5768250</v>
      </c>
      <c r="I246" s="45">
        <f t="shared" si="50"/>
        <v>-5654344.0499999998</v>
      </c>
      <c r="J246" s="333">
        <f t="shared" si="51"/>
        <v>-0.98025294500065008</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1">
        <f t="shared" si="62"/>
        <v>11367462</v>
      </c>
      <c r="I247" s="45">
        <f t="shared" si="50"/>
        <v>-11367462</v>
      </c>
      <c r="J247" s="333">
        <f t="shared" si="51"/>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2"/>
        <v>0</v>
      </c>
      <c r="I248" s="45">
        <f t="shared" si="50"/>
        <v>0</v>
      </c>
      <c r="J248" s="333" t="str">
        <f t="shared" si="51"/>
        <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249439.25</v>
      </c>
      <c r="G249" s="387">
        <v>1458144.0799999998</v>
      </c>
      <c r="H249" s="751">
        <f t="shared" si="62"/>
        <v>0</v>
      </c>
      <c r="I249" s="45">
        <f t="shared" si="50"/>
        <v>1458144.0799999998</v>
      </c>
      <c r="J249" s="333" t="e">
        <f t="shared" si="51"/>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12863344.189999996</v>
      </c>
      <c r="G250" s="387">
        <v>57621787.119999997</v>
      </c>
      <c r="H250" s="751">
        <f t="shared" si="62"/>
        <v>0</v>
      </c>
      <c r="I250" s="45">
        <f t="shared" si="50"/>
        <v>57621787.119999997</v>
      </c>
      <c r="J250" s="333" t="e">
        <f t="shared" si="51"/>
        <v>#DIV/0!</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3">SUM(C252:C261)</f>
        <v>110740016.91999999</v>
      </c>
      <c r="D251" s="447">
        <f t="shared" si="63"/>
        <v>119534280</v>
      </c>
      <c r="E251" s="444">
        <f t="shared" si="63"/>
        <v>117595276</v>
      </c>
      <c r="F251" s="446">
        <f t="shared" si="63"/>
        <v>4528145.41</v>
      </c>
      <c r="G251" s="444">
        <f t="shared" si="63"/>
        <v>27442367.599999998</v>
      </c>
      <c r="H251" s="444">
        <f t="shared" si="63"/>
        <v>59767140</v>
      </c>
      <c r="I251" s="45">
        <f t="shared" si="50"/>
        <v>-32324772.400000002</v>
      </c>
      <c r="J251" s="333">
        <f t="shared" si="51"/>
        <v>-0.54084522699262505</v>
      </c>
      <c r="K251" s="445">
        <f t="shared" si="63"/>
        <v>117595276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1603885.34</v>
      </c>
      <c r="G252" s="387">
        <v>9734788.379999999</v>
      </c>
      <c r="H252" s="751">
        <f t="shared" ref="H252:H261" si="64">D252/12*6</f>
        <v>2561910</v>
      </c>
      <c r="I252" s="45">
        <f t="shared" si="50"/>
        <v>7172878.379999999</v>
      </c>
      <c r="J252" s="333">
        <f t="shared" si="51"/>
        <v>2.7998166914528611</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64793724</v>
      </c>
      <c r="F253" s="475">
        <v>0</v>
      </c>
      <c r="G253" s="387">
        <v>38041.42</v>
      </c>
      <c r="H253" s="751">
        <f t="shared" si="64"/>
        <v>32396862</v>
      </c>
      <c r="I253" s="45">
        <f t="shared" si="50"/>
        <v>-32358820.579999998</v>
      </c>
      <c r="J253" s="333">
        <f t="shared" si="51"/>
        <v>-0.99882576837225767</v>
      </c>
      <c r="K253" s="398">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85449.069999999992</v>
      </c>
      <c r="G254" s="387">
        <v>213711.69</v>
      </c>
      <c r="H254" s="751">
        <f t="shared" si="64"/>
        <v>8878758</v>
      </c>
      <c r="I254" s="45">
        <f t="shared" si="50"/>
        <v>-8665046.3100000005</v>
      </c>
      <c r="J254" s="333">
        <f t="shared" si="51"/>
        <v>-0.97593000169618327</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14690</v>
      </c>
      <c r="G255" s="387">
        <v>38602.1</v>
      </c>
      <c r="H255" s="751">
        <f t="shared" si="64"/>
        <v>2211954</v>
      </c>
      <c r="I255" s="45">
        <f t="shared" si="50"/>
        <v>-2173351.9</v>
      </c>
      <c r="J255" s="333">
        <f t="shared" si="51"/>
        <v>-0.98254841646797353</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2122759.8000000003</v>
      </c>
      <c r="G256" s="387">
        <v>12936548.849999998</v>
      </c>
      <c r="H256" s="751">
        <f t="shared" si="64"/>
        <v>5148300</v>
      </c>
      <c r="I256" s="45">
        <f t="shared" si="50"/>
        <v>7788248.8499999978</v>
      </c>
      <c r="J256" s="333">
        <f t="shared" si="51"/>
        <v>1.5127806945982165</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0</v>
      </c>
      <c r="G257" s="387">
        <v>0</v>
      </c>
      <c r="H257" s="751">
        <f t="shared" si="64"/>
        <v>911844</v>
      </c>
      <c r="I257" s="45">
        <f t="shared" si="50"/>
        <v>-911844</v>
      </c>
      <c r="J257" s="333">
        <f t="shared" si="51"/>
        <v>-1</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12357.85</v>
      </c>
      <c r="G258" s="387">
        <v>51442.18</v>
      </c>
      <c r="H258" s="751">
        <f t="shared" si="64"/>
        <v>3525858</v>
      </c>
      <c r="I258" s="45">
        <f t="shared" si="50"/>
        <v>-3474415.82</v>
      </c>
      <c r="J258" s="333">
        <f t="shared" si="51"/>
        <v>-0.98541002502086017</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164522.04999999996</v>
      </c>
      <c r="G259" s="387">
        <v>1412375.32</v>
      </c>
      <c r="H259" s="751">
        <f t="shared" si="64"/>
        <v>2790750</v>
      </c>
      <c r="I259" s="45">
        <f t="shared" si="50"/>
        <v>-1378374.68</v>
      </c>
      <c r="J259" s="333">
        <f t="shared" si="51"/>
        <v>-0.49390833288542502</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524481.29999999993</v>
      </c>
      <c r="G260" s="387">
        <v>3016857.6600000006</v>
      </c>
      <c r="H260" s="751">
        <f t="shared" si="64"/>
        <v>1340904</v>
      </c>
      <c r="I260" s="45">
        <f t="shared" si="50"/>
        <v>1675953.6600000006</v>
      </c>
      <c r="J260" s="333">
        <f t="shared" si="51"/>
        <v>1.2498684917041045</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751">
        <f t="shared" si="64"/>
        <v>0</v>
      </c>
      <c r="I261" s="45">
        <f t="shared" si="50"/>
        <v>0</v>
      </c>
      <c r="J261" s="333" t="str">
        <f t="shared" si="51"/>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5">SUM(C263:C272)</f>
        <v>1394226880.7300007</v>
      </c>
      <c r="D262" s="447">
        <f t="shared" si="65"/>
        <v>444516900</v>
      </c>
      <c r="E262" s="444">
        <f t="shared" si="65"/>
        <v>444014396</v>
      </c>
      <c r="F262" s="446">
        <f t="shared" si="65"/>
        <v>27413509.790000159</v>
      </c>
      <c r="G262" s="444">
        <f t="shared" si="65"/>
        <v>378472208.97000033</v>
      </c>
      <c r="H262" s="444">
        <f t="shared" si="65"/>
        <v>222258450</v>
      </c>
      <c r="I262" s="45">
        <f t="shared" ref="I262:I325" si="66">G262-H262</f>
        <v>156213758.97000033</v>
      </c>
      <c r="J262" s="333">
        <f t="shared" ref="J262:J325" si="67">IF(I262=0,"",I262/H262)</f>
        <v>0.70284733367842855</v>
      </c>
      <c r="K262" s="445">
        <f t="shared" si="65"/>
        <v>444014396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7767863.3900000006</v>
      </c>
      <c r="G263" s="387">
        <v>33930176.850000001</v>
      </c>
      <c r="H263" s="751">
        <f t="shared" ref="H263:H272" si="68">D263/12*6</f>
        <v>24045924</v>
      </c>
      <c r="I263" s="45">
        <f t="shared" si="66"/>
        <v>9884252.8500000015</v>
      </c>
      <c r="J263" s="333">
        <f t="shared" si="67"/>
        <v>0.41105731058619338</v>
      </c>
      <c r="K263" s="398">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7124247.8000000007</v>
      </c>
      <c r="G264" s="387">
        <v>54847658.719999999</v>
      </c>
      <c r="H264" s="751">
        <f t="shared" si="68"/>
        <v>0</v>
      </c>
      <c r="I264" s="45">
        <f t="shared" si="66"/>
        <v>54847658.719999999</v>
      </c>
      <c r="J264" s="333" t="e">
        <f t="shared" si="67"/>
        <v>#DIV/0!</v>
      </c>
      <c r="K264" s="398">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118065088</v>
      </c>
      <c r="F265" s="475">
        <v>4703167.7000000011</v>
      </c>
      <c r="G265" s="387">
        <v>41898520.970000006</v>
      </c>
      <c r="H265" s="751">
        <f t="shared" si="68"/>
        <v>59032146</v>
      </c>
      <c r="I265" s="45">
        <f t="shared" si="66"/>
        <v>-17133625.029999994</v>
      </c>
      <c r="J265" s="333">
        <f t="shared" si="67"/>
        <v>-0.29024228646541145</v>
      </c>
      <c r="K265" s="398">
        <v>118065088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1625957.28</v>
      </c>
      <c r="G266" s="387">
        <v>6079378.9200000027</v>
      </c>
      <c r="H266" s="751">
        <f t="shared" si="68"/>
        <v>10628502</v>
      </c>
      <c r="I266" s="45">
        <f t="shared" si="66"/>
        <v>-4549123.0799999973</v>
      </c>
      <c r="J266" s="333">
        <f t="shared" si="67"/>
        <v>-0.42801168781828308</v>
      </c>
      <c r="K266" s="398">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866626.33</v>
      </c>
      <c r="G267" s="387">
        <v>22735155.800000001</v>
      </c>
      <c r="H267" s="751">
        <f t="shared" si="68"/>
        <v>27956958</v>
      </c>
      <c r="I267" s="45">
        <f t="shared" si="66"/>
        <v>-5221802.1999999993</v>
      </c>
      <c r="J267" s="333">
        <f t="shared" si="67"/>
        <v>-0.18678005668570949</v>
      </c>
      <c r="K267" s="398">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2214150.7399999998</v>
      </c>
      <c r="G268" s="387">
        <v>31837642.279999994</v>
      </c>
      <c r="H268" s="751">
        <f t="shared" si="68"/>
        <v>99985710</v>
      </c>
      <c r="I268" s="45">
        <f t="shared" si="66"/>
        <v>-68148067.719999999</v>
      </c>
      <c r="J268" s="333">
        <f t="shared" si="67"/>
        <v>-0.68157807470687559</v>
      </c>
      <c r="K268" s="398">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3111496.5500001609</v>
      </c>
      <c r="G269" s="387">
        <v>187143675.43000031</v>
      </c>
      <c r="H269" s="751">
        <f t="shared" si="68"/>
        <v>609210</v>
      </c>
      <c r="I269" s="45">
        <f t="shared" si="66"/>
        <v>186534465.43000031</v>
      </c>
      <c r="J269" s="333">
        <f t="shared" si="67"/>
        <v>306.19074773887542</v>
      </c>
      <c r="K269" s="398">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751">
        <f t="shared" si="68"/>
        <v>0</v>
      </c>
      <c r="I270" s="45">
        <f t="shared" si="66"/>
        <v>0</v>
      </c>
      <c r="J270" s="333" t="str">
        <f t="shared" si="67"/>
        <v/>
      </c>
      <c r="K270" s="398">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751">
        <f t="shared" si="68"/>
        <v>0</v>
      </c>
      <c r="I271" s="45">
        <f t="shared" si="66"/>
        <v>0</v>
      </c>
      <c r="J271" s="333" t="str">
        <f t="shared" si="67"/>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751">
        <f t="shared" si="68"/>
        <v>0</v>
      </c>
      <c r="I272" s="45">
        <f t="shared" si="66"/>
        <v>0</v>
      </c>
      <c r="J272" s="333" t="str">
        <f t="shared" si="67"/>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69">SUM(C274:C283)</f>
        <v>154792020.97999996</v>
      </c>
      <c r="D273" s="447">
        <f t="shared" si="69"/>
        <v>228888216</v>
      </c>
      <c r="E273" s="444">
        <f t="shared" si="69"/>
        <v>228888316</v>
      </c>
      <c r="F273" s="446">
        <f t="shared" si="69"/>
        <v>17072816.379999999</v>
      </c>
      <c r="G273" s="444">
        <f t="shared" si="69"/>
        <v>57162870.909999996</v>
      </c>
      <c r="H273" s="444">
        <f t="shared" si="69"/>
        <v>114444108</v>
      </c>
      <c r="I273" s="45">
        <f t="shared" si="66"/>
        <v>-57281237.090000004</v>
      </c>
      <c r="J273" s="333">
        <f t="shared" si="67"/>
        <v>-0.50051713531639397</v>
      </c>
      <c r="K273" s="445">
        <f t="shared" si="69"/>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5360338.459999999</v>
      </c>
      <c r="G274" s="387">
        <v>19075416.029999997</v>
      </c>
      <c r="H274" s="751">
        <f t="shared" ref="H274:H283" si="70">D274/12*6</f>
        <v>26430048</v>
      </c>
      <c r="I274" s="45">
        <f t="shared" si="66"/>
        <v>-7354631.9700000025</v>
      </c>
      <c r="J274" s="333">
        <f t="shared" si="67"/>
        <v>-0.27826782493925106</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27957336</v>
      </c>
      <c r="F275" s="475">
        <v>0</v>
      </c>
      <c r="G275" s="387">
        <v>0</v>
      </c>
      <c r="H275" s="751">
        <f t="shared" si="70"/>
        <v>13978668</v>
      </c>
      <c r="I275" s="45">
        <f t="shared" si="66"/>
        <v>-13978668</v>
      </c>
      <c r="J275" s="333">
        <f t="shared" si="67"/>
        <v>-1</v>
      </c>
      <c r="K275" s="398">
        <f t="shared" ref="K275:K283" si="71">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1">
        <f t="shared" si="70"/>
        <v>792606</v>
      </c>
      <c r="I276" s="45">
        <f t="shared" si="66"/>
        <v>-792606</v>
      </c>
      <c r="J276" s="333">
        <f t="shared" si="67"/>
        <v>-1</v>
      </c>
      <c r="K276" s="398">
        <f t="shared" si="71"/>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0</v>
      </c>
      <c r="G277" s="387">
        <v>16811.12</v>
      </c>
      <c r="H277" s="751">
        <f t="shared" si="70"/>
        <v>428886</v>
      </c>
      <c r="I277" s="45">
        <f t="shared" si="66"/>
        <v>-412074.88</v>
      </c>
      <c r="J277" s="333">
        <f t="shared" si="67"/>
        <v>-0.9608028240604729</v>
      </c>
      <c r="K277" s="398">
        <f t="shared" si="71"/>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2332914.5299999998</v>
      </c>
      <c r="G278" s="387">
        <v>13203966.469999999</v>
      </c>
      <c r="H278" s="751">
        <f t="shared" si="70"/>
        <v>1253550</v>
      </c>
      <c r="I278" s="45">
        <f t="shared" si="66"/>
        <v>11950416.469999999</v>
      </c>
      <c r="J278" s="333">
        <f t="shared" si="67"/>
        <v>9.5332587212317002</v>
      </c>
      <c r="K278" s="398">
        <f t="shared" si="71"/>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1">
        <f t="shared" si="70"/>
        <v>1421898</v>
      </c>
      <c r="I279" s="45">
        <f t="shared" si="66"/>
        <v>-1421898</v>
      </c>
      <c r="J279" s="333">
        <f t="shared" si="67"/>
        <v>-1</v>
      </c>
      <c r="K279" s="398">
        <f t="shared" si="71"/>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8765708.2400000002</v>
      </c>
      <c r="G280" s="387">
        <v>21373083.189999998</v>
      </c>
      <c r="H280" s="751">
        <f t="shared" si="70"/>
        <v>99906</v>
      </c>
      <c r="I280" s="45">
        <f t="shared" si="66"/>
        <v>21273177.189999998</v>
      </c>
      <c r="J280" s="333">
        <f t="shared" si="67"/>
        <v>212.93192791223748</v>
      </c>
      <c r="K280" s="398">
        <f t="shared" si="71"/>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613855.15000000014</v>
      </c>
      <c r="G281" s="387">
        <v>3493594.1000000006</v>
      </c>
      <c r="H281" s="751">
        <f t="shared" si="70"/>
        <v>0</v>
      </c>
      <c r="I281" s="45">
        <f t="shared" si="66"/>
        <v>3493594.1000000006</v>
      </c>
      <c r="J281" s="333" t="e">
        <f t="shared" si="67"/>
        <v>#DIV/0!</v>
      </c>
      <c r="K281" s="398">
        <f t="shared" si="71"/>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1">
        <f t="shared" si="70"/>
        <v>70038546</v>
      </c>
      <c r="I282" s="45">
        <f t="shared" si="66"/>
        <v>-70038546</v>
      </c>
      <c r="J282" s="333">
        <f t="shared" si="67"/>
        <v>-1</v>
      </c>
      <c r="K282" s="398">
        <f t="shared" si="71"/>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f t="shared" si="70"/>
        <v>0</v>
      </c>
      <c r="I283" s="45">
        <f t="shared" si="66"/>
        <v>0</v>
      </c>
      <c r="J283" s="333" t="str">
        <f t="shared" si="67"/>
        <v/>
      </c>
      <c r="K283" s="398">
        <f t="shared" si="71"/>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72">SUM(C285:C294)</f>
        <v>589033.43000000005</v>
      </c>
      <c r="D284" s="447">
        <f t="shared" si="72"/>
        <v>12573336</v>
      </c>
      <c r="E284" s="444">
        <f t="shared" si="72"/>
        <v>12573736</v>
      </c>
      <c r="F284" s="446">
        <f t="shared" si="72"/>
        <v>730442.82</v>
      </c>
      <c r="G284" s="444">
        <f t="shared" si="72"/>
        <v>5121563.6900000004</v>
      </c>
      <c r="H284" s="444">
        <f t="shared" si="72"/>
        <v>6286668</v>
      </c>
      <c r="I284" s="45">
        <f t="shared" si="66"/>
        <v>-1165104.3099999996</v>
      </c>
      <c r="J284" s="333">
        <f t="shared" si="67"/>
        <v>-0.18532938434159393</v>
      </c>
      <c r="K284" s="445">
        <f t="shared" si="72"/>
        <v>12573736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3640572</v>
      </c>
      <c r="F285" s="475">
        <v>0</v>
      </c>
      <c r="G285" s="387">
        <v>20349.809999999998</v>
      </c>
      <c r="H285" s="751">
        <f t="shared" ref="H285:H293" si="73">D285/12*6</f>
        <v>1820286</v>
      </c>
      <c r="I285" s="45">
        <f t="shared" si="66"/>
        <v>-1799936.19</v>
      </c>
      <c r="J285" s="333">
        <f t="shared" si="67"/>
        <v>-0.98882054248618068</v>
      </c>
      <c r="K285" s="398">
        <v>3640572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20517.7</v>
      </c>
      <c r="G286" s="387">
        <v>469267.73000000004</v>
      </c>
      <c r="H286" s="751">
        <f t="shared" si="73"/>
        <v>2594874</v>
      </c>
      <c r="I286" s="45">
        <f t="shared" si="66"/>
        <v>-2125606.27</v>
      </c>
      <c r="J286" s="333">
        <f t="shared" si="67"/>
        <v>-0.81915587038137494</v>
      </c>
      <c r="K286" s="398">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709925.12</v>
      </c>
      <c r="G287" s="387">
        <v>4631946.1500000004</v>
      </c>
      <c r="H287" s="751">
        <f t="shared" si="73"/>
        <v>1871508</v>
      </c>
      <c r="I287" s="45">
        <f t="shared" si="66"/>
        <v>2760438.1500000004</v>
      </c>
      <c r="J287" s="333">
        <f t="shared" si="67"/>
        <v>1.4749806840259301</v>
      </c>
      <c r="K287" s="398">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73"/>
        <v>0</v>
      </c>
      <c r="I288" s="45">
        <f t="shared" si="66"/>
        <v>0</v>
      </c>
      <c r="J288" s="333" t="str">
        <f t="shared" si="67"/>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f t="shared" si="73"/>
        <v>0</v>
      </c>
      <c r="I289" s="45">
        <f t="shared" si="66"/>
        <v>0</v>
      </c>
      <c r="J289" s="333" t="str">
        <f t="shared" si="67"/>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f t="shared" si="73"/>
        <v>0</v>
      </c>
      <c r="I290" s="45">
        <f t="shared" si="66"/>
        <v>0</v>
      </c>
      <c r="J290" s="333" t="str">
        <f t="shared" si="67"/>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f t="shared" si="73"/>
        <v>0</v>
      </c>
      <c r="I291" s="45">
        <f t="shared" si="66"/>
        <v>0</v>
      </c>
      <c r="J291" s="333" t="str">
        <f t="shared" si="67"/>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f t="shared" si="73"/>
        <v>0</v>
      </c>
      <c r="I292" s="45">
        <f t="shared" si="66"/>
        <v>0</v>
      </c>
      <c r="J292" s="333" t="str">
        <f t="shared" si="67"/>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f t="shared" si="73"/>
        <v>0</v>
      </c>
      <c r="I293" s="45">
        <f t="shared" si="66"/>
        <v>0</v>
      </c>
      <c r="J293" s="333" t="str">
        <f t="shared" si="67"/>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f t="shared" ref="H285:H294" si="74">E294/12*5</f>
        <v>0</v>
      </c>
      <c r="I294" s="45">
        <f t="shared" si="66"/>
        <v>0</v>
      </c>
      <c r="J294" s="333" t="str">
        <f t="shared" si="67"/>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75">SUM(C296:C305)</f>
        <v>0</v>
      </c>
      <c r="D295" s="447">
        <f t="shared" si="75"/>
        <v>0</v>
      </c>
      <c r="E295" s="444">
        <f t="shared" si="75"/>
        <v>0</v>
      </c>
      <c r="F295" s="446">
        <f t="shared" si="75"/>
        <v>0</v>
      </c>
      <c r="G295" s="444">
        <f t="shared" si="75"/>
        <v>0</v>
      </c>
      <c r="H295" s="444">
        <f t="shared" si="75"/>
        <v>0</v>
      </c>
      <c r="I295" s="45">
        <f t="shared" si="66"/>
        <v>0</v>
      </c>
      <c r="J295" s="333" t="str">
        <f t="shared" si="67"/>
        <v/>
      </c>
      <c r="K295" s="445">
        <f t="shared" si="75"/>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 t="shared" ref="H296:H327" si="76">D296/12*7</f>
        <v>0</v>
      </c>
      <c r="I296" s="45">
        <f t="shared" si="66"/>
        <v>0</v>
      </c>
      <c r="J296" s="333" t="str">
        <f t="shared" si="67"/>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si="76"/>
        <v>0</v>
      </c>
      <c r="I297" s="45">
        <f t="shared" si="66"/>
        <v>0</v>
      </c>
      <c r="J297" s="333" t="str">
        <f t="shared" si="67"/>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76"/>
        <v>0</v>
      </c>
      <c r="I298" s="45">
        <f t="shared" si="66"/>
        <v>0</v>
      </c>
      <c r="J298" s="333" t="str">
        <f t="shared" si="67"/>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76"/>
        <v>0</v>
      </c>
      <c r="I299" s="45">
        <f t="shared" si="66"/>
        <v>0</v>
      </c>
      <c r="J299" s="333" t="str">
        <f t="shared" si="67"/>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76"/>
        <v>0</v>
      </c>
      <c r="I300" s="45">
        <f t="shared" si="66"/>
        <v>0</v>
      </c>
      <c r="J300" s="333" t="str">
        <f t="shared" si="67"/>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76"/>
        <v>0</v>
      </c>
      <c r="I301" s="45">
        <f t="shared" si="66"/>
        <v>0</v>
      </c>
      <c r="J301" s="333" t="str">
        <f t="shared" si="67"/>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76"/>
        <v>0</v>
      </c>
      <c r="I302" s="45">
        <f t="shared" si="66"/>
        <v>0</v>
      </c>
      <c r="J302" s="333" t="str">
        <f t="shared" si="67"/>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76"/>
        <v>0</v>
      </c>
      <c r="I303" s="45">
        <f t="shared" si="66"/>
        <v>0</v>
      </c>
      <c r="J303" s="333" t="str">
        <f t="shared" si="67"/>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76"/>
        <v>0</v>
      </c>
      <c r="I304" s="45">
        <f t="shared" si="66"/>
        <v>0</v>
      </c>
      <c r="J304" s="333" t="str">
        <f t="shared" si="67"/>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76"/>
        <v>0</v>
      </c>
      <c r="I305" s="45">
        <f t="shared" si="66"/>
        <v>0</v>
      </c>
      <c r="J305" s="333" t="str">
        <f t="shared" si="67"/>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77">SUM(C307:C316)</f>
        <v>0</v>
      </c>
      <c r="D306" s="447">
        <f t="shared" si="77"/>
        <v>0</v>
      </c>
      <c r="E306" s="444">
        <f t="shared" si="77"/>
        <v>0</v>
      </c>
      <c r="F306" s="446">
        <f t="shared" si="77"/>
        <v>0</v>
      </c>
      <c r="G306" s="444">
        <f t="shared" si="77"/>
        <v>0</v>
      </c>
      <c r="H306" s="444">
        <f t="shared" si="77"/>
        <v>0</v>
      </c>
      <c r="I306" s="45">
        <f t="shared" si="66"/>
        <v>0</v>
      </c>
      <c r="J306" s="333" t="str">
        <f t="shared" si="67"/>
        <v/>
      </c>
      <c r="K306" s="445">
        <f t="shared" si="77"/>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 t="shared" si="76"/>
        <v>0</v>
      </c>
      <c r="I307" s="45">
        <f t="shared" si="66"/>
        <v>0</v>
      </c>
      <c r="J307" s="333" t="str">
        <f t="shared" si="67"/>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si="76"/>
        <v>0</v>
      </c>
      <c r="I308" s="45">
        <f t="shared" si="66"/>
        <v>0</v>
      </c>
      <c r="J308" s="333" t="str">
        <f t="shared" si="67"/>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76"/>
        <v>0</v>
      </c>
      <c r="I309" s="45">
        <f t="shared" si="66"/>
        <v>0</v>
      </c>
      <c r="J309" s="333" t="str">
        <f t="shared" si="67"/>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76"/>
        <v>0</v>
      </c>
      <c r="I310" s="45">
        <f t="shared" si="66"/>
        <v>0</v>
      </c>
      <c r="J310" s="333" t="str">
        <f t="shared" si="67"/>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76"/>
        <v>0</v>
      </c>
      <c r="I311" s="45">
        <f t="shared" si="66"/>
        <v>0</v>
      </c>
      <c r="J311" s="333" t="str">
        <f t="shared" si="67"/>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76"/>
        <v>0</v>
      </c>
      <c r="I312" s="45">
        <f t="shared" si="66"/>
        <v>0</v>
      </c>
      <c r="J312" s="333" t="str">
        <f t="shared" si="67"/>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76"/>
        <v>0</v>
      </c>
      <c r="I313" s="45">
        <f t="shared" si="66"/>
        <v>0</v>
      </c>
      <c r="J313" s="333" t="str">
        <f t="shared" si="67"/>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76"/>
        <v>0</v>
      </c>
      <c r="I314" s="45">
        <f t="shared" si="66"/>
        <v>0</v>
      </c>
      <c r="J314" s="333" t="str">
        <f t="shared" si="67"/>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76"/>
        <v>0</v>
      </c>
      <c r="I315" s="45">
        <f t="shared" si="66"/>
        <v>0</v>
      </c>
      <c r="J315" s="333" t="str">
        <f t="shared" si="67"/>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76"/>
        <v>0</v>
      </c>
      <c r="I316" s="45">
        <f t="shared" si="66"/>
        <v>0</v>
      </c>
      <c r="J316" s="333" t="str">
        <f t="shared" si="67"/>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8">SUM(C318:C327)</f>
        <v>0</v>
      </c>
      <c r="D317" s="447">
        <f t="shared" si="78"/>
        <v>0</v>
      </c>
      <c r="E317" s="444">
        <f t="shared" si="78"/>
        <v>0</v>
      </c>
      <c r="F317" s="446">
        <f t="shared" si="78"/>
        <v>0</v>
      </c>
      <c r="G317" s="444">
        <f t="shared" si="78"/>
        <v>0</v>
      </c>
      <c r="H317" s="444">
        <f t="shared" si="78"/>
        <v>0</v>
      </c>
      <c r="I317" s="45">
        <f t="shared" si="66"/>
        <v>0</v>
      </c>
      <c r="J317" s="333" t="str">
        <f t="shared" si="67"/>
        <v/>
      </c>
      <c r="K317" s="445">
        <f t="shared" si="78"/>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 t="shared" si="76"/>
        <v>0</v>
      </c>
      <c r="I318" s="45">
        <f t="shared" si="66"/>
        <v>0</v>
      </c>
      <c r="J318" s="333" t="str">
        <f t="shared" si="67"/>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si="76"/>
        <v>0</v>
      </c>
      <c r="I319" s="45">
        <f t="shared" si="66"/>
        <v>0</v>
      </c>
      <c r="J319" s="333" t="str">
        <f t="shared" si="67"/>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76"/>
        <v>0</v>
      </c>
      <c r="I320" s="45">
        <f t="shared" si="66"/>
        <v>0</v>
      </c>
      <c r="J320" s="333" t="str">
        <f t="shared" si="67"/>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76"/>
        <v>0</v>
      </c>
      <c r="I321" s="45">
        <f t="shared" si="66"/>
        <v>0</v>
      </c>
      <c r="J321" s="333" t="str">
        <f t="shared" si="67"/>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76"/>
        <v>0</v>
      </c>
      <c r="I322" s="45">
        <f t="shared" si="66"/>
        <v>0</v>
      </c>
      <c r="J322" s="333" t="str">
        <f t="shared" si="67"/>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76"/>
        <v>0</v>
      </c>
      <c r="I323" s="45">
        <f t="shared" si="66"/>
        <v>0</v>
      </c>
      <c r="J323" s="333" t="str">
        <f t="shared" si="67"/>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76"/>
        <v>0</v>
      </c>
      <c r="I324" s="45">
        <f t="shared" si="66"/>
        <v>0</v>
      </c>
      <c r="J324" s="333" t="str">
        <f t="shared" si="67"/>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76"/>
        <v>0</v>
      </c>
      <c r="I325" s="45">
        <f t="shared" si="66"/>
        <v>0</v>
      </c>
      <c r="J325" s="333" t="str">
        <f t="shared" si="67"/>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76"/>
        <v>0</v>
      </c>
      <c r="I326" s="45">
        <f t="shared" ref="I326:I341" si="79">G326-H326</f>
        <v>0</v>
      </c>
      <c r="J326" s="333" t="str">
        <f t="shared" ref="J326:J341" si="80">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76"/>
        <v>0</v>
      </c>
      <c r="I327" s="45">
        <f t="shared" si="79"/>
        <v>0</v>
      </c>
      <c r="J327" s="333" t="str">
        <f t="shared" si="80"/>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1">SUM(C329:C338)</f>
        <v>0</v>
      </c>
      <c r="D328" s="447">
        <f t="shared" si="81"/>
        <v>0</v>
      </c>
      <c r="E328" s="444">
        <f t="shared" si="81"/>
        <v>0</v>
      </c>
      <c r="F328" s="446">
        <f t="shared" si="81"/>
        <v>0</v>
      </c>
      <c r="G328" s="444">
        <f t="shared" si="81"/>
        <v>0</v>
      </c>
      <c r="H328" s="444">
        <f t="shared" si="81"/>
        <v>0</v>
      </c>
      <c r="I328" s="45">
        <f t="shared" si="79"/>
        <v>0</v>
      </c>
      <c r="J328" s="333" t="str">
        <f t="shared" si="80"/>
        <v/>
      </c>
      <c r="K328" s="445">
        <f t="shared" si="81"/>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 t="shared" ref="H329:H338" si="82">D329/12*7</f>
        <v>0</v>
      </c>
      <c r="I329" s="45">
        <f t="shared" si="79"/>
        <v>0</v>
      </c>
      <c r="J329" s="333" t="str">
        <f t="shared" si="80"/>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si="82"/>
        <v>0</v>
      </c>
      <c r="I330" s="45">
        <f t="shared" si="79"/>
        <v>0</v>
      </c>
      <c r="J330" s="333" t="str">
        <f t="shared" si="80"/>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82"/>
        <v>0</v>
      </c>
      <c r="I331" s="45">
        <f t="shared" si="79"/>
        <v>0</v>
      </c>
      <c r="J331" s="333" t="str">
        <f t="shared" si="80"/>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82"/>
        <v>0</v>
      </c>
      <c r="I332" s="45">
        <f t="shared" si="79"/>
        <v>0</v>
      </c>
      <c r="J332" s="333" t="str">
        <f t="shared" si="80"/>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82"/>
        <v>0</v>
      </c>
      <c r="I333" s="45">
        <f t="shared" si="79"/>
        <v>0</v>
      </c>
      <c r="J333" s="333" t="str">
        <f t="shared" si="80"/>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82"/>
        <v>0</v>
      </c>
      <c r="I334" s="45">
        <f t="shared" si="79"/>
        <v>0</v>
      </c>
      <c r="J334" s="333" t="str">
        <f t="shared" si="80"/>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82"/>
        <v>0</v>
      </c>
      <c r="I335" s="45">
        <f t="shared" si="79"/>
        <v>0</v>
      </c>
      <c r="J335" s="333" t="str">
        <f t="shared" si="80"/>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82"/>
        <v>0</v>
      </c>
      <c r="I336" s="45">
        <f t="shared" si="79"/>
        <v>0</v>
      </c>
      <c r="J336" s="333" t="str">
        <f t="shared" si="80"/>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751">
        <f t="shared" si="82"/>
        <v>0</v>
      </c>
      <c r="I337" s="45">
        <f t="shared" si="79"/>
        <v>0</v>
      </c>
      <c r="J337" s="333" t="str">
        <f t="shared" si="80"/>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82"/>
        <v>0</v>
      </c>
      <c r="I338" s="45">
        <f t="shared" si="79"/>
        <v>0</v>
      </c>
      <c r="J338" s="333" t="str">
        <f t="shared" si="80"/>
        <v/>
      </c>
      <c r="K338" s="398"/>
      <c r="L338" s="455">
        <f t="shared" ref="L338:W338" si="83">SUM(L173:L249)</f>
        <v>0</v>
      </c>
      <c r="M338" s="456">
        <f t="shared" si="83"/>
        <v>0</v>
      </c>
      <c r="N338" s="456">
        <f t="shared" si="83"/>
        <v>0</v>
      </c>
      <c r="O338" s="456">
        <f t="shared" si="83"/>
        <v>0</v>
      </c>
      <c r="P338" s="456">
        <f t="shared" si="83"/>
        <v>0</v>
      </c>
      <c r="Q338" s="456">
        <f t="shared" si="83"/>
        <v>0</v>
      </c>
      <c r="R338" s="456">
        <f t="shared" si="83"/>
        <v>0</v>
      </c>
      <c r="S338" s="456">
        <f t="shared" si="83"/>
        <v>0</v>
      </c>
      <c r="T338" s="456">
        <f t="shared" si="83"/>
        <v>0</v>
      </c>
      <c r="U338" s="456">
        <f t="shared" si="83"/>
        <v>0</v>
      </c>
      <c r="V338" s="456">
        <f t="shared" si="83"/>
        <v>0</v>
      </c>
      <c r="W338" s="456">
        <f t="shared" si="83"/>
        <v>0</v>
      </c>
    </row>
    <row r="339" spans="1:24" ht="12.75" customHeight="1" x14ac:dyDescent="0.2">
      <c r="A339" s="450" t="s">
        <v>654</v>
      </c>
      <c r="B339" s="448">
        <v>2</v>
      </c>
      <c r="C339" s="511">
        <f t="shared" ref="C339:H339" si="84">C174+C185+C196+C207+C218+C229+C240+C251+C262++C273+C284+C295+C306+C317+C328</f>
        <v>3789289061.2799997</v>
      </c>
      <c r="D339" s="478">
        <f t="shared" si="84"/>
        <v>3549930516</v>
      </c>
      <c r="E339" s="478">
        <f t="shared" si="84"/>
        <v>3547704512</v>
      </c>
      <c r="F339" s="478">
        <f t="shared" si="84"/>
        <v>269894688.22000015</v>
      </c>
      <c r="G339" s="478">
        <f t="shared" si="84"/>
        <v>1647493485.6800003</v>
      </c>
      <c r="H339" s="477">
        <f t="shared" si="84"/>
        <v>1774965258</v>
      </c>
      <c r="I339" s="433">
        <f t="shared" si="79"/>
        <v>-127471772.31999969</v>
      </c>
      <c r="J339" s="433">
        <f t="shared" si="80"/>
        <v>-7.1816488658280941E-2</v>
      </c>
      <c r="K339" s="516">
        <f>K174+K185+K196+K207+K218+K229+K240+K251+K262++K273+K284+K295+K306+K317+K328</f>
        <v>3547704312</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9"/>
        <v>0</v>
      </c>
      <c r="J340" s="51" t="str">
        <f t="shared" si="80"/>
        <v/>
      </c>
      <c r="K340" s="195"/>
      <c r="L340" s="483">
        <f t="shared" ref="L340:W340" si="85">L170-L338</f>
        <v>0</v>
      </c>
      <c r="M340" s="484">
        <f t="shared" si="85"/>
        <v>0</v>
      </c>
      <c r="N340" s="484">
        <f t="shared" si="85"/>
        <v>0</v>
      </c>
      <c r="O340" s="484">
        <f t="shared" si="85"/>
        <v>0</v>
      </c>
      <c r="P340" s="484">
        <f t="shared" si="85"/>
        <v>0</v>
      </c>
      <c r="Q340" s="484">
        <f t="shared" si="85"/>
        <v>0</v>
      </c>
      <c r="R340" s="484">
        <f t="shared" si="85"/>
        <v>0</v>
      </c>
      <c r="S340" s="484">
        <f t="shared" si="85"/>
        <v>0</v>
      </c>
      <c r="T340" s="484">
        <f t="shared" si="85"/>
        <v>0</v>
      </c>
      <c r="U340" s="484">
        <f t="shared" si="85"/>
        <v>0</v>
      </c>
      <c r="V340" s="484">
        <f t="shared" si="85"/>
        <v>0</v>
      </c>
      <c r="W340" s="484">
        <f t="shared" si="85"/>
        <v>0</v>
      </c>
    </row>
    <row r="341" spans="1:24" s="489" customFormat="1" ht="11.25" customHeight="1" thickTop="1" x14ac:dyDescent="0.2">
      <c r="A341" s="893" t="str">
        <f>result</f>
        <v>Surplus/ (Deficit) for the year</v>
      </c>
      <c r="B341" s="480">
        <v>2</v>
      </c>
      <c r="C341" s="512">
        <f t="shared" ref="C341:H341" si="86">C171-C339</f>
        <v>256354269.74000025</v>
      </c>
      <c r="D341" s="515">
        <f t="shared" si="86"/>
        <v>1512993108</v>
      </c>
      <c r="E341" s="56">
        <f t="shared" si="86"/>
        <v>1515219112</v>
      </c>
      <c r="F341" s="482">
        <f t="shared" si="86"/>
        <v>309458002.97399986</v>
      </c>
      <c r="G341" s="56">
        <f t="shared" si="86"/>
        <v>668005276.4375</v>
      </c>
      <c r="H341" s="482">
        <f t="shared" si="86"/>
        <v>756496554</v>
      </c>
      <c r="I341" s="56">
        <f t="shared" si="79"/>
        <v>-88491277.5625</v>
      </c>
      <c r="J341" s="56">
        <f t="shared" si="80"/>
        <v>-0.11697512314444726</v>
      </c>
      <c r="K341" s="236">
        <f>K171-K339</f>
        <v>1515219312</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11" activePane="bottomRight" state="frozen"/>
      <selection pane="topRight"/>
      <selection pane="bottomLeft"/>
      <selection pane="bottomRight" activeCell="G19" sqref="G19"/>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"&amp;S71B&amp; " - "&amp;date</f>
        <v>LIM354 Polokwane - Table C4 Monthly Budget Statement - Financial Performance (revenue and expenditure) - M06 December</v>
      </c>
      <c r="B1" s="1042"/>
      <c r="C1" s="1042"/>
      <c r="D1" s="1042"/>
      <c r="E1" s="1042"/>
      <c r="F1" s="1042"/>
      <c r="G1" s="1042"/>
      <c r="H1" s="1042"/>
      <c r="I1" s="1042"/>
      <c r="J1" s="1042"/>
      <c r="K1" s="1042"/>
    </row>
    <row r="2" spans="1:11" x14ac:dyDescent="0.2">
      <c r="A2" s="1031" t="str">
        <f>desc</f>
        <v>Description</v>
      </c>
      <c r="B2" s="1040" t="str">
        <f>head27</f>
        <v>Ref</v>
      </c>
      <c r="C2" s="159" t="str">
        <f>Head1</f>
        <v>2018/19</v>
      </c>
      <c r="D2" s="1026" t="str">
        <f>Head2</f>
        <v>Budget Year 2019/20</v>
      </c>
      <c r="E2" s="1027"/>
      <c r="F2" s="1027"/>
      <c r="G2" s="1027"/>
      <c r="H2" s="1027"/>
      <c r="I2" s="1027"/>
      <c r="J2" s="1027"/>
      <c r="K2" s="1028"/>
    </row>
    <row r="3" spans="1:11" ht="20.399999999999999" x14ac:dyDescent="0.2">
      <c r="A3" s="1032"/>
      <c r="B3" s="1041"/>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480000000</v>
      </c>
      <c r="F6" s="743">
        <v>41616490.470000006</v>
      </c>
      <c r="G6" s="743">
        <v>253609710.94000003</v>
      </c>
      <c r="H6" s="743">
        <f>E6/12*6</f>
        <v>240000000</v>
      </c>
      <c r="I6" s="45">
        <f t="shared" ref="I6:I22" si="0">G6-H6</f>
        <v>13609710.940000027</v>
      </c>
      <c r="J6" s="333">
        <f t="shared" ref="J6:J22" si="1">IF(I6=0,"",I6/H6)</f>
        <v>5.670712891666678E-2</v>
      </c>
      <c r="K6" s="745">
        <v>480000000</v>
      </c>
    </row>
    <row r="7" spans="1:11" ht="11.25" customHeight="1" x14ac:dyDescent="0.2">
      <c r="A7" s="40" t="s">
        <v>856</v>
      </c>
      <c r="B7" s="422"/>
      <c r="C7" s="758">
        <v>987163114</v>
      </c>
      <c r="D7" s="755">
        <v>1192830012</v>
      </c>
      <c r="E7" s="743">
        <v>1192830012</v>
      </c>
      <c r="F7" s="743">
        <v>72612253.219999999</v>
      </c>
      <c r="G7" s="743">
        <v>500293231.68000001</v>
      </c>
      <c r="H7" s="743">
        <f t="shared" ref="H7:H21" si="2">E7/12*6</f>
        <v>596415006</v>
      </c>
      <c r="I7" s="45">
        <f t="shared" si="0"/>
        <v>-96121774.319999993</v>
      </c>
      <c r="J7" s="333">
        <f t="shared" si="1"/>
        <v>-0.1611659219721242</v>
      </c>
      <c r="K7" s="745">
        <v>1192830012</v>
      </c>
    </row>
    <row r="8" spans="1:11" ht="11.25" customHeight="1" x14ac:dyDescent="0.2">
      <c r="A8" s="87" t="s">
        <v>857</v>
      </c>
      <c r="B8" s="424"/>
      <c r="C8" s="758">
        <v>208599463</v>
      </c>
      <c r="D8" s="755">
        <v>310840992</v>
      </c>
      <c r="E8" s="743">
        <v>310840992</v>
      </c>
      <c r="F8" s="743">
        <v>91302855.270000011</v>
      </c>
      <c r="G8" s="743">
        <v>213186505.12999997</v>
      </c>
      <c r="H8" s="743">
        <f t="shared" si="2"/>
        <v>155420496</v>
      </c>
      <c r="I8" s="45">
        <f t="shared" si="0"/>
        <v>57766009.129999965</v>
      </c>
      <c r="J8" s="333">
        <f t="shared" si="1"/>
        <v>0.37167561947556754</v>
      </c>
      <c r="K8" s="745">
        <v>310840992</v>
      </c>
    </row>
    <row r="9" spans="1:11" ht="11.25" customHeight="1" x14ac:dyDescent="0.2">
      <c r="A9" s="87" t="s">
        <v>858</v>
      </c>
      <c r="B9" s="424"/>
      <c r="C9" s="758">
        <v>107293394</v>
      </c>
      <c r="D9" s="755">
        <v>133773012</v>
      </c>
      <c r="E9" s="743">
        <v>133773012</v>
      </c>
      <c r="F9" s="743">
        <v>5806303.2400000002</v>
      </c>
      <c r="G9" s="743">
        <v>48389680.879999995</v>
      </c>
      <c r="H9" s="743">
        <f t="shared" si="2"/>
        <v>66886506</v>
      </c>
      <c r="I9" s="45">
        <f t="shared" si="0"/>
        <v>-18496825.120000005</v>
      </c>
      <c r="J9" s="333">
        <f t="shared" si="1"/>
        <v>-0.27654045974534841</v>
      </c>
      <c r="K9" s="745">
        <v>133773012</v>
      </c>
    </row>
    <row r="10" spans="1:11" ht="11.25" customHeight="1" x14ac:dyDescent="0.2">
      <c r="A10" s="520" t="s">
        <v>74</v>
      </c>
      <c r="B10" s="424"/>
      <c r="C10" s="758">
        <v>102693559</v>
      </c>
      <c r="D10" s="755">
        <v>128626992</v>
      </c>
      <c r="E10" s="743">
        <v>128626992</v>
      </c>
      <c r="F10" s="743">
        <v>7893108.5499999998</v>
      </c>
      <c r="G10" s="743">
        <v>55146270.619999997</v>
      </c>
      <c r="H10" s="743">
        <f t="shared" si="2"/>
        <v>64313496</v>
      </c>
      <c r="I10" s="45">
        <f t="shared" si="0"/>
        <v>-9167225.3800000027</v>
      </c>
      <c r="J10" s="333">
        <f t="shared" si="1"/>
        <v>-0.1425396837391642</v>
      </c>
      <c r="K10" s="745">
        <v>128626992</v>
      </c>
    </row>
    <row r="11" spans="1:11" ht="11.25" customHeight="1" x14ac:dyDescent="0.2">
      <c r="A11" s="87" t="s">
        <v>859</v>
      </c>
      <c r="B11" s="424"/>
      <c r="C11" s="758"/>
      <c r="D11" s="755"/>
      <c r="E11" s="743"/>
      <c r="F11" s="743"/>
      <c r="G11" s="743"/>
      <c r="H11" s="743">
        <f t="shared" si="2"/>
        <v>0</v>
      </c>
      <c r="I11" s="45">
        <f t="shared" si="0"/>
        <v>0</v>
      </c>
      <c r="J11" s="333" t="str">
        <f t="shared" si="1"/>
        <v/>
      </c>
      <c r="K11" s="745"/>
    </row>
    <row r="12" spans="1:11" ht="11.25" customHeight="1" x14ac:dyDescent="0.2">
      <c r="A12" s="87" t="s">
        <v>993</v>
      </c>
      <c r="B12" s="424"/>
      <c r="C12" s="758">
        <v>14721734</v>
      </c>
      <c r="D12" s="755">
        <v>39538944</v>
      </c>
      <c r="E12" s="743">
        <v>39538944</v>
      </c>
      <c r="F12" s="743">
        <v>587341.81000000006</v>
      </c>
      <c r="G12" s="743">
        <v>5648752.2700000005</v>
      </c>
      <c r="H12" s="743">
        <f t="shared" si="2"/>
        <v>19769472</v>
      </c>
      <c r="I12" s="45">
        <f t="shared" si="0"/>
        <v>-14120719.73</v>
      </c>
      <c r="J12" s="333">
        <f t="shared" si="1"/>
        <v>-0.71426893596348962</v>
      </c>
      <c r="K12" s="745">
        <v>39538944</v>
      </c>
    </row>
    <row r="13" spans="1:11" ht="11.25" customHeight="1" x14ac:dyDescent="0.2">
      <c r="A13" s="87" t="s">
        <v>862</v>
      </c>
      <c r="B13" s="424"/>
      <c r="C13" s="758">
        <v>13123882</v>
      </c>
      <c r="D13" s="755">
        <v>28917996</v>
      </c>
      <c r="E13" s="743">
        <v>28917996</v>
      </c>
      <c r="F13" s="743">
        <v>1285991.19</v>
      </c>
      <c r="G13" s="743">
        <v>7800767.25</v>
      </c>
      <c r="H13" s="743">
        <f t="shared" si="2"/>
        <v>14458998</v>
      </c>
      <c r="I13" s="45">
        <f t="shared" si="0"/>
        <v>-6658230.75</v>
      </c>
      <c r="J13" s="333">
        <f t="shared" si="1"/>
        <v>-0.4604904675967173</v>
      </c>
      <c r="K13" s="745">
        <v>28917996</v>
      </c>
    </row>
    <row r="14" spans="1:11" ht="11.25" customHeight="1" x14ac:dyDescent="0.2">
      <c r="A14" s="87" t="s">
        <v>863</v>
      </c>
      <c r="B14" s="424"/>
      <c r="C14" s="758">
        <v>64961794</v>
      </c>
      <c r="D14" s="755">
        <v>84800004</v>
      </c>
      <c r="E14" s="743">
        <v>84800004</v>
      </c>
      <c r="F14" s="743">
        <v>8973100.5099999998</v>
      </c>
      <c r="G14" s="743">
        <v>51162655.600000001</v>
      </c>
      <c r="H14" s="743">
        <f t="shared" si="2"/>
        <v>42400002</v>
      </c>
      <c r="I14" s="45">
        <f t="shared" si="0"/>
        <v>8762653.6000000015</v>
      </c>
      <c r="J14" s="333">
        <f t="shared" si="1"/>
        <v>0.20666634874215339</v>
      </c>
      <c r="K14" s="745">
        <v>84800004</v>
      </c>
    </row>
    <row r="15" spans="1:11" ht="11.25" customHeight="1" x14ac:dyDescent="0.2">
      <c r="A15" s="87" t="s">
        <v>951</v>
      </c>
      <c r="B15" s="424"/>
      <c r="C15" s="758">
        <v>0</v>
      </c>
      <c r="D15" s="755">
        <v>0</v>
      </c>
      <c r="E15" s="743">
        <v>0</v>
      </c>
      <c r="F15" s="743">
        <v>0</v>
      </c>
      <c r="G15" s="743">
        <v>0</v>
      </c>
      <c r="H15" s="743">
        <f t="shared" si="2"/>
        <v>0</v>
      </c>
      <c r="I15" s="45">
        <f t="shared" si="0"/>
        <v>0</v>
      </c>
      <c r="J15" s="333" t="str">
        <f t="shared" si="1"/>
        <v/>
      </c>
      <c r="K15" s="745">
        <v>0</v>
      </c>
    </row>
    <row r="16" spans="1:11" ht="11.25" customHeight="1" x14ac:dyDescent="0.2">
      <c r="A16" s="87" t="s">
        <v>1153</v>
      </c>
      <c r="B16" s="424"/>
      <c r="C16" s="758">
        <v>35764257</v>
      </c>
      <c r="D16" s="755">
        <v>16959996</v>
      </c>
      <c r="E16" s="743">
        <v>16959996</v>
      </c>
      <c r="F16" s="743">
        <v>3789152.69</v>
      </c>
      <c r="G16" s="743">
        <v>11295819.93</v>
      </c>
      <c r="H16" s="743">
        <f t="shared" si="2"/>
        <v>8479998</v>
      </c>
      <c r="I16" s="45">
        <f t="shared" si="0"/>
        <v>2815821.9299999997</v>
      </c>
      <c r="J16" s="333">
        <f t="shared" si="1"/>
        <v>0.33205455119211108</v>
      </c>
      <c r="K16" s="745">
        <v>16959996</v>
      </c>
    </row>
    <row r="17" spans="1:11" ht="11.25" customHeight="1" x14ac:dyDescent="0.2">
      <c r="A17" s="87" t="s">
        <v>864</v>
      </c>
      <c r="B17" s="424"/>
      <c r="C17" s="758">
        <v>11241520</v>
      </c>
      <c r="D17" s="755">
        <v>15784020</v>
      </c>
      <c r="E17" s="743">
        <v>15784020</v>
      </c>
      <c r="F17" s="743">
        <v>758624.83000000007</v>
      </c>
      <c r="G17" s="743">
        <v>5273325.2</v>
      </c>
      <c r="H17" s="743">
        <f t="shared" si="2"/>
        <v>7892010</v>
      </c>
      <c r="I17" s="45">
        <f t="shared" si="0"/>
        <v>-2618684.7999999998</v>
      </c>
      <c r="J17" s="333">
        <f t="shared" si="1"/>
        <v>-0.33181468345833315</v>
      </c>
      <c r="K17" s="745">
        <v>15784020</v>
      </c>
    </row>
    <row r="18" spans="1:11" ht="11.25" customHeight="1" x14ac:dyDescent="0.2">
      <c r="A18" s="87" t="s">
        <v>600</v>
      </c>
      <c r="B18" s="424"/>
      <c r="C18" s="758">
        <v>23520165</v>
      </c>
      <c r="D18" s="755">
        <v>26499996</v>
      </c>
      <c r="E18" s="743">
        <v>26499996</v>
      </c>
      <c r="F18" s="743">
        <v>6084031.4000000004</v>
      </c>
      <c r="G18" s="743">
        <v>49514870.200000003</v>
      </c>
      <c r="H18" s="743">
        <f t="shared" si="2"/>
        <v>13249998</v>
      </c>
      <c r="I18" s="45">
        <f t="shared" si="0"/>
        <v>36264872.200000003</v>
      </c>
      <c r="J18" s="333">
        <f t="shared" si="1"/>
        <v>2.7369718999202872</v>
      </c>
      <c r="K18" s="745">
        <v>26499996</v>
      </c>
    </row>
    <row r="19" spans="1:11" ht="11.25" customHeight="1" x14ac:dyDescent="0.2">
      <c r="A19" s="521" t="s">
        <v>1154</v>
      </c>
      <c r="B19" s="424"/>
      <c r="C19" s="758">
        <v>951365113</v>
      </c>
      <c r="D19" s="755">
        <v>1039367004</v>
      </c>
      <c r="E19" s="743">
        <v>1039367004</v>
      </c>
      <c r="F19" s="983">
        <f>'SC7(1)'!F8</f>
        <v>202650112.21000001</v>
      </c>
      <c r="G19" s="983">
        <f>'SC7(1)'!G8</f>
        <v>621017191.66850007</v>
      </c>
      <c r="H19" s="743">
        <f t="shared" si="2"/>
        <v>519683502</v>
      </c>
      <c r="I19" s="45">
        <f t="shared" si="0"/>
        <v>101333689.66850007</v>
      </c>
      <c r="J19" s="333">
        <f t="shared" si="1"/>
        <v>0.19499116150217918</v>
      </c>
      <c r="K19" s="745">
        <v>1039367004</v>
      </c>
    </row>
    <row r="20" spans="1:11" ht="11.25" customHeight="1" x14ac:dyDescent="0.2">
      <c r="A20" s="87" t="s">
        <v>463</v>
      </c>
      <c r="B20" s="424"/>
      <c r="C20" s="758">
        <v>15221515</v>
      </c>
      <c r="D20" s="755">
        <v>297848664</v>
      </c>
      <c r="E20" s="743">
        <v>297848664</v>
      </c>
      <c r="F20" s="743">
        <v>779741.81</v>
      </c>
      <c r="G20" s="743">
        <v>13599985.34</v>
      </c>
      <c r="H20" s="743">
        <f t="shared" si="2"/>
        <v>148924332</v>
      </c>
      <c r="I20" s="45">
        <f t="shared" si="0"/>
        <v>-135324346.66</v>
      </c>
      <c r="J20" s="333">
        <f t="shared" si="1"/>
        <v>-0.90867855401896314</v>
      </c>
      <c r="K20" s="745">
        <v>297848664</v>
      </c>
    </row>
    <row r="21" spans="1:11" ht="11.25" customHeight="1" x14ac:dyDescent="0.2">
      <c r="A21" s="40" t="s">
        <v>865</v>
      </c>
      <c r="B21" s="422"/>
      <c r="C21" s="758">
        <v>5546307</v>
      </c>
      <c r="D21" s="755">
        <v>0</v>
      </c>
      <c r="E21" s="743">
        <v>0</v>
      </c>
      <c r="F21" s="743">
        <v>0</v>
      </c>
      <c r="G21" s="743">
        <v>0</v>
      </c>
      <c r="H21" s="743">
        <f t="shared" si="2"/>
        <v>0</v>
      </c>
      <c r="I21" s="45">
        <f t="shared" si="0"/>
        <v>0</v>
      </c>
      <c r="J21" s="333" t="str">
        <f t="shared" si="1"/>
        <v/>
      </c>
      <c r="K21" s="745">
        <v>0</v>
      </c>
    </row>
    <row r="22" spans="1:11" ht="24.75" customHeight="1" x14ac:dyDescent="0.2">
      <c r="A22" s="595" t="s">
        <v>140</v>
      </c>
      <c r="B22" s="596"/>
      <c r="C22" s="525">
        <f t="shared" ref="C22:H22" si="3">SUM(C6:C21)</f>
        <v>2959220618.02</v>
      </c>
      <c r="D22" s="526">
        <f t="shared" si="3"/>
        <v>3795787632</v>
      </c>
      <c r="E22" s="527">
        <f t="shared" si="3"/>
        <v>3795787632</v>
      </c>
      <c r="F22" s="527">
        <f t="shared" si="3"/>
        <v>444139107.20000005</v>
      </c>
      <c r="G22" s="527">
        <f t="shared" si="3"/>
        <v>1835938766.7085001</v>
      </c>
      <c r="H22" s="527">
        <f t="shared" si="3"/>
        <v>1897893816</v>
      </c>
      <c r="I22" s="527">
        <f t="shared" si="0"/>
        <v>-61955049.291499853</v>
      </c>
      <c r="J22" s="528">
        <f t="shared" si="1"/>
        <v>-3.2644107256788624E-2</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854297099</v>
      </c>
      <c r="D25" s="755">
        <v>921191480</v>
      </c>
      <c r="E25" s="743">
        <v>921762604</v>
      </c>
      <c r="F25" s="743">
        <v>72309450.720000058</v>
      </c>
      <c r="G25" s="985">
        <v>430450549.7699998</v>
      </c>
      <c r="H25" s="743">
        <f>E25/12*6</f>
        <v>460881302</v>
      </c>
      <c r="I25" s="45">
        <f t="shared" ref="I25:I36" si="4">G25-H25</f>
        <v>-30430752.230000198</v>
      </c>
      <c r="J25" s="333">
        <f t="shared" ref="J25:J41" si="5">IF(I25=0,"",I25/H25)</f>
        <v>-6.6027309196414738E-2</v>
      </c>
      <c r="K25" s="745">
        <v>921762604</v>
      </c>
    </row>
    <row r="26" spans="1:11" ht="12.75" customHeight="1" x14ac:dyDescent="0.2">
      <c r="A26" s="40" t="s">
        <v>489</v>
      </c>
      <c r="B26" s="422"/>
      <c r="C26" s="758">
        <v>37953706.430000007</v>
      </c>
      <c r="D26" s="755">
        <v>40099968</v>
      </c>
      <c r="E26" s="743">
        <v>40099968</v>
      </c>
      <c r="F26" s="743">
        <v>3124241.19</v>
      </c>
      <c r="G26" s="986">
        <v>18976071.939999998</v>
      </c>
      <c r="H26" s="743">
        <f t="shared" ref="H26:H34" si="6">E26/12*6</f>
        <v>20049984</v>
      </c>
      <c r="I26" s="45">
        <f t="shared" si="4"/>
        <v>-1073912.0600000024</v>
      </c>
      <c r="J26" s="333">
        <f t="shared" si="5"/>
        <v>-5.356174149565418E-2</v>
      </c>
      <c r="K26" s="745">
        <v>40099968</v>
      </c>
    </row>
    <row r="27" spans="1:11" ht="12.75" customHeight="1" x14ac:dyDescent="0.2">
      <c r="A27" s="87" t="s">
        <v>631</v>
      </c>
      <c r="B27" s="424"/>
      <c r="C27" s="758">
        <v>152106772.26999998</v>
      </c>
      <c r="D27" s="755">
        <v>200000004</v>
      </c>
      <c r="E27" s="743">
        <v>200000004</v>
      </c>
      <c r="F27" s="743">
        <f>E27/12</f>
        <v>16666667</v>
      </c>
      <c r="G27" s="743">
        <v>100000002</v>
      </c>
      <c r="H27" s="743">
        <f t="shared" si="6"/>
        <v>100000002</v>
      </c>
      <c r="I27" s="45">
        <f t="shared" si="4"/>
        <v>0</v>
      </c>
      <c r="J27" s="333" t="str">
        <f t="shared" si="5"/>
        <v/>
      </c>
      <c r="K27" s="745">
        <v>200000004</v>
      </c>
    </row>
    <row r="28" spans="1:11" ht="12.75" customHeight="1" x14ac:dyDescent="0.2">
      <c r="A28" s="87" t="s">
        <v>684</v>
      </c>
      <c r="B28" s="424"/>
      <c r="C28" s="758">
        <v>729667597.54999995</v>
      </c>
      <c r="D28" s="755">
        <v>236999988</v>
      </c>
      <c r="E28" s="743">
        <v>237000000</v>
      </c>
      <c r="F28" s="743">
        <f>E28/12</f>
        <v>19750000</v>
      </c>
      <c r="G28" s="743">
        <v>118500000</v>
      </c>
      <c r="H28" s="743">
        <f t="shared" si="6"/>
        <v>118500000</v>
      </c>
      <c r="I28" s="45">
        <f t="shared" si="4"/>
        <v>0</v>
      </c>
      <c r="J28" s="333" t="str">
        <f t="shared" si="5"/>
        <v/>
      </c>
      <c r="K28" s="745">
        <v>237000000</v>
      </c>
    </row>
    <row r="29" spans="1:11" ht="12.75" customHeight="1" x14ac:dyDescent="0.2">
      <c r="A29" s="87" t="s">
        <v>462</v>
      </c>
      <c r="B29" s="424"/>
      <c r="C29" s="758">
        <v>62780466.380000003</v>
      </c>
      <c r="D29" s="755">
        <v>85122000</v>
      </c>
      <c r="E29" s="743">
        <v>85122000</v>
      </c>
      <c r="F29" s="743">
        <v>0</v>
      </c>
      <c r="G29" s="743">
        <v>32464062.57</v>
      </c>
      <c r="H29" s="743">
        <f t="shared" si="6"/>
        <v>42561000</v>
      </c>
      <c r="I29" s="45">
        <f t="shared" si="4"/>
        <v>-10096937.43</v>
      </c>
      <c r="J29" s="333">
        <f t="shared" si="5"/>
        <v>-0.23723449707478678</v>
      </c>
      <c r="K29" s="745">
        <v>85122000</v>
      </c>
    </row>
    <row r="30" spans="1:11" ht="12.75" customHeight="1" x14ac:dyDescent="0.2">
      <c r="A30" s="87" t="s">
        <v>869</v>
      </c>
      <c r="B30" s="424"/>
      <c r="C30" s="758">
        <v>820979261.64999998</v>
      </c>
      <c r="D30" s="755">
        <v>968547000</v>
      </c>
      <c r="E30" s="743">
        <v>933547000</v>
      </c>
      <c r="F30" s="743">
        <v>69164356.75</v>
      </c>
      <c r="G30" s="743">
        <v>498089747.44000006</v>
      </c>
      <c r="H30" s="743">
        <f t="shared" si="6"/>
        <v>466773500</v>
      </c>
      <c r="I30" s="45">
        <f t="shared" si="4"/>
        <v>31316247.440000057</v>
      </c>
      <c r="J30" s="333">
        <f t="shared" si="5"/>
        <v>6.7090885493713878E-2</v>
      </c>
      <c r="K30" s="745">
        <v>933547000</v>
      </c>
    </row>
    <row r="31" spans="1:11" ht="12.75" customHeight="1" x14ac:dyDescent="0.2">
      <c r="A31" s="87" t="s">
        <v>950</v>
      </c>
      <c r="B31" s="424"/>
      <c r="C31" s="758">
        <v>69330468</v>
      </c>
      <c r="D31" s="755">
        <v>85588932</v>
      </c>
      <c r="E31" s="743">
        <v>86311932</v>
      </c>
      <c r="F31" s="743">
        <v>3134801.5</v>
      </c>
      <c r="G31" s="743">
        <v>22031784.699999996</v>
      </c>
      <c r="H31" s="743">
        <f t="shared" si="6"/>
        <v>43155966</v>
      </c>
      <c r="I31" s="45">
        <f t="shared" si="4"/>
        <v>-21124181.300000004</v>
      </c>
      <c r="J31" s="333">
        <f t="shared" si="5"/>
        <v>-0.48948461262574922</v>
      </c>
      <c r="K31" s="745">
        <v>86311932</v>
      </c>
    </row>
    <row r="32" spans="1:11" ht="12.75" customHeight="1" x14ac:dyDescent="0.2">
      <c r="A32" s="87" t="s">
        <v>870</v>
      </c>
      <c r="B32" s="424"/>
      <c r="C32" s="758">
        <v>814603087</v>
      </c>
      <c r="D32" s="755">
        <v>757055992</v>
      </c>
      <c r="E32" s="743">
        <v>787166996</v>
      </c>
      <c r="F32" s="743">
        <v>66374649.670000009</v>
      </c>
      <c r="G32" s="743">
        <v>321913286.33999997</v>
      </c>
      <c r="H32" s="743">
        <f t="shared" si="6"/>
        <v>393583498</v>
      </c>
      <c r="I32" s="45">
        <f t="shared" si="4"/>
        <v>-71670211.660000026</v>
      </c>
      <c r="J32" s="333">
        <f t="shared" si="5"/>
        <v>-0.18209658693566474</v>
      </c>
      <c r="K32" s="745">
        <v>787166996</v>
      </c>
    </row>
    <row r="33" spans="1:12" ht="12.75" customHeight="1" x14ac:dyDescent="0.2">
      <c r="A33" s="520" t="s">
        <v>1154</v>
      </c>
      <c r="B33" s="424"/>
      <c r="C33" s="758">
        <v>8420000</v>
      </c>
      <c r="D33" s="755">
        <v>11500008</v>
      </c>
      <c r="E33" s="743">
        <v>11500008</v>
      </c>
      <c r="F33" s="743">
        <v>0</v>
      </c>
      <c r="G33" s="743">
        <v>2940000</v>
      </c>
      <c r="H33" s="743">
        <f t="shared" si="6"/>
        <v>5750004</v>
      </c>
      <c r="I33" s="45">
        <f t="shared" si="4"/>
        <v>-2810004</v>
      </c>
      <c r="J33" s="333">
        <f t="shared" si="5"/>
        <v>-0.4886960078636467</v>
      </c>
      <c r="K33" s="745">
        <v>11500008</v>
      </c>
    </row>
    <row r="34" spans="1:12" ht="12.75" customHeight="1" x14ac:dyDescent="0.2">
      <c r="A34" s="87" t="s">
        <v>443</v>
      </c>
      <c r="B34" s="424"/>
      <c r="C34" s="758">
        <v>239150603</v>
      </c>
      <c r="D34" s="755">
        <v>243825144</v>
      </c>
      <c r="E34" s="743">
        <v>245194000</v>
      </c>
      <c r="F34" s="743">
        <v>19370521.389999997</v>
      </c>
      <c r="G34" s="743">
        <v>102127980.92000002</v>
      </c>
      <c r="H34" s="743">
        <f t="shared" si="6"/>
        <v>122597000</v>
      </c>
      <c r="I34" s="45">
        <f t="shared" si="4"/>
        <v>-20469019.079999983</v>
      </c>
      <c r="J34" s="333">
        <f t="shared" si="5"/>
        <v>-0.16696182679837177</v>
      </c>
      <c r="K34" s="745">
        <v>245194000</v>
      </c>
    </row>
    <row r="35" spans="1:12" ht="12.75" customHeight="1" x14ac:dyDescent="0.2">
      <c r="A35" s="40" t="s">
        <v>598</v>
      </c>
      <c r="B35" s="422"/>
      <c r="C35" s="758">
        <v>0</v>
      </c>
      <c r="D35" s="755"/>
      <c r="E35" s="743">
        <v>0</v>
      </c>
      <c r="F35" s="743">
        <v>0</v>
      </c>
      <c r="G35" s="743">
        <v>0</v>
      </c>
      <c r="H35" s="743">
        <f t="shared" ref="H25:H35" si="7">E35/12*5</f>
        <v>0</v>
      </c>
      <c r="I35" s="45">
        <f t="shared" si="4"/>
        <v>0</v>
      </c>
      <c r="J35" s="333" t="str">
        <f t="shared" si="5"/>
        <v/>
      </c>
      <c r="K35" s="745">
        <v>0</v>
      </c>
    </row>
    <row r="36" spans="1:12" ht="12.75" customHeight="1" x14ac:dyDescent="0.2">
      <c r="A36" s="93" t="s">
        <v>501</v>
      </c>
      <c r="B36" s="425"/>
      <c r="C36" s="244">
        <f t="shared" ref="C36:K36" si="8">SUM(C25:C35)</f>
        <v>3789289061.2800002</v>
      </c>
      <c r="D36" s="75">
        <f>SUM(D25:D35)</f>
        <v>3549930516</v>
      </c>
      <c r="E36" s="74">
        <f>SUM(E25:E35)</f>
        <v>3547704512</v>
      </c>
      <c r="F36" s="74">
        <f t="shared" si="8"/>
        <v>269894688.22000009</v>
      </c>
      <c r="G36" s="74">
        <f t="shared" si="8"/>
        <v>1647493485.6799998</v>
      </c>
      <c r="H36" s="74">
        <f t="shared" si="8"/>
        <v>1773852256</v>
      </c>
      <c r="I36" s="74">
        <f t="shared" si="4"/>
        <v>-126358770.32000017</v>
      </c>
      <c r="J36" s="334">
        <f t="shared" si="5"/>
        <v>-7.1234100750271381E-2</v>
      </c>
      <c r="K36" s="146">
        <f t="shared" si="8"/>
        <v>3547704512</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9">C22-C36</f>
        <v>-830068443.26000023</v>
      </c>
      <c r="D38" s="52">
        <f t="shared" si="9"/>
        <v>245857116</v>
      </c>
      <c r="E38" s="51">
        <f t="shared" si="9"/>
        <v>248083120</v>
      </c>
      <c r="F38" s="51">
        <f t="shared" si="9"/>
        <v>174244418.97999996</v>
      </c>
      <c r="G38" s="51">
        <f t="shared" si="9"/>
        <v>188445281.02850032</v>
      </c>
      <c r="H38" s="51">
        <f t="shared" si="9"/>
        <v>124041560</v>
      </c>
      <c r="I38" s="103">
        <f>I22-I36</f>
        <v>64403721.028500319</v>
      </c>
      <c r="J38" s="103">
        <f t="shared" si="5"/>
        <v>0.51921082763309589</v>
      </c>
      <c r="K38" s="195">
        <f>K22-K36</f>
        <v>248083120</v>
      </c>
    </row>
    <row r="39" spans="1:12" ht="19.95" customHeight="1" x14ac:dyDescent="0.2">
      <c r="A39" s="949" t="s">
        <v>1155</v>
      </c>
      <c r="B39" s="422"/>
      <c r="C39" s="758">
        <v>1086422713</v>
      </c>
      <c r="D39" s="755">
        <v>1267135992</v>
      </c>
      <c r="E39" s="743">
        <v>1267135992</v>
      </c>
      <c r="F39" s="984">
        <f>'SC7(1)'!F35</f>
        <v>135213583.99400002</v>
      </c>
      <c r="G39" s="984">
        <f>'SC7(1)'!G35</f>
        <v>479559995.40900004</v>
      </c>
      <c r="H39" s="743">
        <f>E39/12*6</f>
        <v>633567996</v>
      </c>
      <c r="I39" s="48">
        <f>G39-H39</f>
        <v>-154008000.59099996</v>
      </c>
      <c r="J39" s="103">
        <f t="shared" si="5"/>
        <v>-0.24308046107650924</v>
      </c>
      <c r="K39" s="745">
        <v>1267135992</v>
      </c>
    </row>
    <row r="40" spans="1:12" ht="39.6" customHeight="1" x14ac:dyDescent="0.2">
      <c r="A40" s="949" t="s">
        <v>1156</v>
      </c>
      <c r="B40" s="422"/>
      <c r="C40" s="758">
        <v>0</v>
      </c>
      <c r="D40" s="755">
        <v>0</v>
      </c>
      <c r="E40" s="743">
        <v>0</v>
      </c>
      <c r="F40" s="743">
        <v>0</v>
      </c>
      <c r="G40" s="743">
        <v>0</v>
      </c>
      <c r="H40" s="743">
        <f t="shared" ref="H40:H41" si="10">E40/12*5</f>
        <v>0</v>
      </c>
      <c r="I40" s="48">
        <f>G40-H40</f>
        <v>0</v>
      </c>
      <c r="J40" s="103" t="str">
        <f t="shared" si="5"/>
        <v/>
      </c>
      <c r="K40" s="745">
        <v>0</v>
      </c>
    </row>
    <row r="41" spans="1:12" ht="12.75" customHeight="1" x14ac:dyDescent="0.2">
      <c r="A41" s="521" t="s">
        <v>1157</v>
      </c>
      <c r="B41" s="422"/>
      <c r="C41" s="759">
        <v>0</v>
      </c>
      <c r="D41" s="760">
        <v>0</v>
      </c>
      <c r="E41" s="761">
        <v>0</v>
      </c>
      <c r="F41" s="761">
        <v>0</v>
      </c>
      <c r="G41" s="761">
        <v>0</v>
      </c>
      <c r="H41" s="743">
        <f t="shared" si="10"/>
        <v>0</v>
      </c>
      <c r="I41" s="48">
        <f>G41-H41</f>
        <v>0</v>
      </c>
      <c r="J41" s="103" t="str">
        <f t="shared" si="5"/>
        <v/>
      </c>
      <c r="K41" s="745">
        <v>0</v>
      </c>
    </row>
    <row r="42" spans="1:12" x14ac:dyDescent="0.2">
      <c r="A42" s="251" t="s">
        <v>774</v>
      </c>
      <c r="B42" s="524"/>
      <c r="C42" s="253">
        <f t="shared" ref="C42:H42" si="11">C38+SUM(C39:C41)</f>
        <v>256354269.73999977</v>
      </c>
      <c r="D42" s="254">
        <f t="shared" si="11"/>
        <v>1512993108</v>
      </c>
      <c r="E42" s="255">
        <f t="shared" si="11"/>
        <v>1515219112</v>
      </c>
      <c r="F42" s="255">
        <f t="shared" si="11"/>
        <v>309458002.97399998</v>
      </c>
      <c r="G42" s="255">
        <f t="shared" si="11"/>
        <v>668005276.43750036</v>
      </c>
      <c r="H42" s="255">
        <f t="shared" si="11"/>
        <v>757609556</v>
      </c>
      <c r="I42" s="332"/>
      <c r="J42" s="332"/>
      <c r="K42" s="256">
        <f>K38+SUM(K39:K41)</f>
        <v>1515219112</v>
      </c>
    </row>
    <row r="43" spans="1:12" ht="12.75" customHeight="1" x14ac:dyDescent="0.2">
      <c r="A43" s="40" t="s">
        <v>478</v>
      </c>
      <c r="B43" s="422"/>
      <c r="C43" s="759"/>
      <c r="D43" s="760">
        <v>0</v>
      </c>
      <c r="E43" s="761">
        <v>0</v>
      </c>
      <c r="F43" s="761">
        <v>0</v>
      </c>
      <c r="G43" s="761">
        <v>0</v>
      </c>
      <c r="H43" s="761">
        <v>0</v>
      </c>
      <c r="I43" s="100">
        <f>G43-H43</f>
        <v>0</v>
      </c>
      <c r="J43" s="100" t="str">
        <f>IF(I43=0,"",I43/H43)</f>
        <v/>
      </c>
      <c r="K43" s="762">
        <v>0</v>
      </c>
    </row>
    <row r="44" spans="1:12" ht="12.75" customHeight="1" x14ac:dyDescent="0.2">
      <c r="A44" s="88" t="s">
        <v>479</v>
      </c>
      <c r="B44" s="422"/>
      <c r="C44" s="110">
        <f t="shared" ref="C44:H44" si="12">C42-C43</f>
        <v>256354269.73999977</v>
      </c>
      <c r="D44" s="52">
        <f t="shared" si="12"/>
        <v>1512993108</v>
      </c>
      <c r="E44" s="51">
        <f t="shared" si="12"/>
        <v>1515219112</v>
      </c>
      <c r="F44" s="51">
        <f t="shared" si="12"/>
        <v>309458002.97399998</v>
      </c>
      <c r="G44" s="51">
        <f t="shared" si="12"/>
        <v>668005276.43750036</v>
      </c>
      <c r="H44" s="51">
        <f t="shared" si="12"/>
        <v>757609556</v>
      </c>
      <c r="I44" s="330"/>
      <c r="J44" s="330"/>
      <c r="K44" s="195">
        <f>K42-K43</f>
        <v>1515219112</v>
      </c>
    </row>
    <row r="45" spans="1:12" ht="12.75" customHeight="1" x14ac:dyDescent="0.2">
      <c r="A45" s="40" t="s">
        <v>480</v>
      </c>
      <c r="B45" s="422"/>
      <c r="C45" s="758"/>
      <c r="D45" s="755">
        <v>0</v>
      </c>
      <c r="E45" s="743">
        <v>0</v>
      </c>
      <c r="F45" s="743">
        <v>0</v>
      </c>
      <c r="G45" s="743">
        <v>0</v>
      </c>
      <c r="H45" s="743">
        <v>0</v>
      </c>
      <c r="I45" s="274"/>
      <c r="J45" s="274"/>
      <c r="K45" s="745">
        <v>0</v>
      </c>
    </row>
    <row r="46" spans="1:12" ht="12.75" customHeight="1" x14ac:dyDescent="0.2">
      <c r="A46" s="530" t="s">
        <v>147</v>
      </c>
      <c r="B46" s="429"/>
      <c r="C46" s="532">
        <f t="shared" ref="C46:H46" si="13">SUM(C44:C45)</f>
        <v>256354269.73999977</v>
      </c>
      <c r="D46" s="533">
        <f t="shared" si="13"/>
        <v>1512993108</v>
      </c>
      <c r="E46" s="531">
        <f t="shared" si="13"/>
        <v>1515219112</v>
      </c>
      <c r="F46" s="531">
        <f t="shared" si="13"/>
        <v>309458002.97399998</v>
      </c>
      <c r="G46" s="531">
        <f t="shared" si="13"/>
        <v>668005276.43750036</v>
      </c>
      <c r="H46" s="531">
        <f t="shared" si="13"/>
        <v>757609556</v>
      </c>
      <c r="I46" s="274"/>
      <c r="J46" s="274"/>
      <c r="K46" s="532">
        <f>SUM(K44:K45)</f>
        <v>1515219112</v>
      </c>
      <c r="L46" s="101"/>
    </row>
    <row r="47" spans="1:12" ht="12.75" customHeight="1" x14ac:dyDescent="0.2">
      <c r="A47" s="257" t="s">
        <v>491</v>
      </c>
      <c r="B47" s="523"/>
      <c r="C47" s="759">
        <v>0</v>
      </c>
      <c r="D47" s="760">
        <v>0</v>
      </c>
      <c r="E47" s="761">
        <v>0</v>
      </c>
      <c r="F47" s="761">
        <v>0</v>
      </c>
      <c r="G47" s="761">
        <v>0</v>
      </c>
      <c r="H47" s="761">
        <v>0</v>
      </c>
      <c r="I47" s="331"/>
      <c r="J47" s="331"/>
      <c r="K47" s="762">
        <v>0</v>
      </c>
    </row>
    <row r="48" spans="1:12" ht="12.75" customHeight="1" x14ac:dyDescent="0.2">
      <c r="A48" s="95" t="s">
        <v>922</v>
      </c>
      <c r="B48" s="421"/>
      <c r="C48" s="245">
        <f t="shared" ref="C48:H48" si="14">C46+C47</f>
        <v>256354269.73999977</v>
      </c>
      <c r="D48" s="78">
        <f t="shared" si="14"/>
        <v>1512993108</v>
      </c>
      <c r="E48" s="77">
        <f t="shared" si="14"/>
        <v>1515219112</v>
      </c>
      <c r="F48" s="77">
        <f t="shared" si="14"/>
        <v>309458002.97399998</v>
      </c>
      <c r="G48" s="77">
        <f t="shared" si="14"/>
        <v>668005276.43750036</v>
      </c>
      <c r="H48" s="77">
        <f t="shared" si="14"/>
        <v>757609556</v>
      </c>
      <c r="I48" s="337"/>
      <c r="J48" s="337"/>
      <c r="K48" s="235">
        <f>K46+K47</f>
        <v>1515219112</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5">C22+SUM(C39:C41)</f>
        <v>4045643331.02</v>
      </c>
      <c r="D53" s="63">
        <f t="shared" si="15"/>
        <v>5062923624</v>
      </c>
      <c r="E53" s="63">
        <f t="shared" si="15"/>
        <v>5062923624</v>
      </c>
      <c r="F53" s="63">
        <f t="shared" si="15"/>
        <v>579352691.19400001</v>
      </c>
      <c r="G53" s="63">
        <f t="shared" si="15"/>
        <v>2315498762.1175003</v>
      </c>
      <c r="H53" s="63">
        <f t="shared" si="15"/>
        <v>2531461812</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D20" activePane="bottomRight" state="frozen"/>
      <selection pane="topRight"/>
      <selection pane="bottomLeft"/>
      <selection pane="bottomRight" activeCell="H34" sqref="H34"/>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3" t="str">
        <f>muni&amp; " - "&amp;S71D&amp; " - "&amp;date</f>
        <v>LIM354 Polokwane - Table C5 Monthly Budget Statement - Capital Expenditure (municipal vote, functional classification and funding) - M06 December</v>
      </c>
      <c r="B1" s="1033"/>
      <c r="C1" s="1033"/>
      <c r="D1" s="1033"/>
      <c r="E1" s="1033"/>
      <c r="F1" s="1033"/>
      <c r="G1" s="1033"/>
      <c r="H1" s="1033"/>
      <c r="I1" s="1033"/>
      <c r="J1" s="1033"/>
      <c r="K1" s="1033"/>
    </row>
    <row r="2" spans="1:12" x14ac:dyDescent="0.2">
      <c r="A2" s="1031" t="str">
        <f>Vdesc</f>
        <v>Vote Description</v>
      </c>
      <c r="B2" s="1040" t="str">
        <f>head27</f>
        <v>Ref</v>
      </c>
      <c r="C2" s="140" t="str">
        <f>Head1</f>
        <v>2018/19</v>
      </c>
      <c r="D2" s="246" t="str">
        <f>Head2</f>
        <v>Budget Year 2019/20</v>
      </c>
      <c r="E2" s="230"/>
      <c r="F2" s="230"/>
      <c r="G2" s="230"/>
      <c r="H2" s="230"/>
      <c r="I2" s="230"/>
      <c r="J2" s="230"/>
      <c r="K2" s="231"/>
    </row>
    <row r="3" spans="1:12" ht="20.399999999999999" x14ac:dyDescent="0.2">
      <c r="A3" s="1032"/>
      <c r="B3" s="1041"/>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2840004</v>
      </c>
      <c r="F24" s="45">
        <f>'C5C'!F176</f>
        <v>0</v>
      </c>
      <c r="G24" s="45">
        <f>'C5C'!G176</f>
        <v>500000.00150000001</v>
      </c>
      <c r="H24" s="45">
        <f>'C5C'!H176</f>
        <v>1183335</v>
      </c>
      <c r="I24" s="45">
        <f>'C5C'!I176</f>
        <v>-683334.99849999999</v>
      </c>
      <c r="J24" s="333">
        <f>IF(I24=0,"",I24/H24)</f>
        <v>-0.57746538258396818</v>
      </c>
      <c r="K24" s="145">
        <f>'C5C'!K176</f>
        <v>2840004</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906285636</v>
      </c>
      <c r="F26" s="45">
        <f>'C5C'!F198</f>
        <v>117151684.85650003</v>
      </c>
      <c r="G26" s="45">
        <f>'C5C'!G198</f>
        <v>394336348.06449997</v>
      </c>
      <c r="H26" s="45">
        <f>'C5C'!H198</f>
        <v>453142818</v>
      </c>
      <c r="I26" s="45">
        <f>'C5C'!I198</f>
        <v>-58806469.935500026</v>
      </c>
      <c r="J26" s="333">
        <f t="shared" si="3"/>
        <v>-0.12977469265660971</v>
      </c>
      <c r="K26" s="145">
        <f>'C5C'!K198</f>
        <v>906285628</v>
      </c>
      <c r="L26" s="706"/>
    </row>
    <row r="27" spans="1:12" ht="12.75" customHeight="1" x14ac:dyDescent="0.2">
      <c r="A27" s="410" t="str">
        <f>'Org structure'!A5</f>
        <v>Vote 4 - Energy Services</v>
      </c>
      <c r="B27" s="422"/>
      <c r="C27" s="135">
        <f>'C5C'!C209</f>
        <v>37743513.567000002</v>
      </c>
      <c r="D27" s="259">
        <f>'C5C'!D209</f>
        <v>62247496</v>
      </c>
      <c r="E27" s="45">
        <f>'C5C'!E209</f>
        <v>62247496</v>
      </c>
      <c r="F27" s="45">
        <f>'C5C'!F209</f>
        <v>352977.69949999987</v>
      </c>
      <c r="G27" s="45">
        <f>'C5C'!G209</f>
        <v>9314713.0865000002</v>
      </c>
      <c r="H27" s="45">
        <f>'C5C'!H209</f>
        <v>31123748</v>
      </c>
      <c r="I27" s="45">
        <f>'C5C'!I209</f>
        <v>-21809034.9135</v>
      </c>
      <c r="J27" s="333">
        <f t="shared" si="3"/>
        <v>-0.70072007116559354</v>
      </c>
      <c r="K27" s="145">
        <f>'C5C'!K209</f>
        <v>62247496</v>
      </c>
      <c r="L27" s="706"/>
    </row>
    <row r="28" spans="1:12" ht="12.75" customHeight="1" x14ac:dyDescent="0.2">
      <c r="A28" s="410" t="str">
        <f>'Org structure'!A6</f>
        <v>Vote 5 - Community Services</v>
      </c>
      <c r="B28" s="422"/>
      <c r="C28" s="135">
        <f>'C5C'!C220</f>
        <v>36671076.902499996</v>
      </c>
      <c r="D28" s="259">
        <f>'C5C'!D220</f>
        <v>91500792</v>
      </c>
      <c r="E28" s="45">
        <f>'C5C'!E220</f>
        <v>85000796</v>
      </c>
      <c r="F28" s="45">
        <f>'C5C'!F220</f>
        <v>6664020.8855000008</v>
      </c>
      <c r="G28" s="45">
        <f>'C5C'!G220</f>
        <v>14743900.921500001</v>
      </c>
      <c r="H28" s="45">
        <f>'C5C'!H220</f>
        <v>42500398</v>
      </c>
      <c r="I28" s="45">
        <f>'C5C'!I220</f>
        <v>-27756497.078499999</v>
      </c>
      <c r="J28" s="333">
        <f t="shared" si="3"/>
        <v>-0.65308793292947509</v>
      </c>
      <c r="K28" s="145">
        <f>'C5C'!K220</f>
        <v>85000796</v>
      </c>
      <c r="L28" s="706"/>
    </row>
    <row r="29" spans="1:12" ht="12.75" customHeight="1" x14ac:dyDescent="0.2">
      <c r="A29" s="410" t="str">
        <f>'Org structure'!A7</f>
        <v>Vote 6 - Public Safety</v>
      </c>
      <c r="B29" s="422"/>
      <c r="C29" s="135">
        <f>'C5C'!C231</f>
        <v>7522609.7239999995</v>
      </c>
      <c r="D29" s="259">
        <f>'C5C'!D231</f>
        <v>8639076</v>
      </c>
      <c r="E29" s="45">
        <f>'C5C'!E231</f>
        <v>8639076</v>
      </c>
      <c r="F29" s="45">
        <f>'C5C'!F231</f>
        <v>0</v>
      </c>
      <c r="G29" s="45">
        <f>'C5C'!G231</f>
        <v>180737.16250000001</v>
      </c>
      <c r="H29" s="45">
        <f>'C5C'!H231</f>
        <v>4319538</v>
      </c>
      <c r="I29" s="45">
        <f>'C5C'!I231</f>
        <v>-4138800.8374999999</v>
      </c>
      <c r="J29" s="333">
        <f t="shared" si="3"/>
        <v>-0.95815821911972987</v>
      </c>
      <c r="K29" s="145">
        <f>'C5C'!K231</f>
        <v>8639076</v>
      </c>
      <c r="L29" s="706"/>
    </row>
    <row r="30" spans="1:12" ht="12.75" customHeight="1" x14ac:dyDescent="0.2">
      <c r="A30" s="410" t="str">
        <f>'Org structure'!A8</f>
        <v>Vote 7 - Corporate  and Shared Services</v>
      </c>
      <c r="B30" s="422"/>
      <c r="C30" s="135">
        <f>'C5C'!C242</f>
        <v>56161480.259999841</v>
      </c>
      <c r="D30" s="259">
        <f>'C5C'!D242</f>
        <v>64268004</v>
      </c>
      <c r="E30" s="45">
        <f>'C5C'!E242</f>
        <v>55000008</v>
      </c>
      <c r="F30" s="45">
        <f>'C5C'!F242</f>
        <v>2075304.5245000001</v>
      </c>
      <c r="G30" s="45">
        <f>'C5C'!G242</f>
        <v>14119024.467</v>
      </c>
      <c r="H30" s="45">
        <f>'C5C'!H242</f>
        <v>27500004</v>
      </c>
      <c r="I30" s="45">
        <f>'C5C'!I242</f>
        <v>-13380979.533</v>
      </c>
      <c r="J30" s="333">
        <f t="shared" si="3"/>
        <v>-0.4865810031518541</v>
      </c>
      <c r="K30" s="145">
        <f>'C5C'!K242</f>
        <v>55000008</v>
      </c>
      <c r="L30" s="706"/>
    </row>
    <row r="31" spans="1:12" ht="12.75" customHeight="1" x14ac:dyDescent="0.2">
      <c r="A31" s="410" t="str">
        <f>'Org structure'!A9</f>
        <v>Vote 8 - Planning and Economic Development</v>
      </c>
      <c r="B31" s="422"/>
      <c r="C31" s="135">
        <f>'C5C'!C253</f>
        <v>19426325.331500001</v>
      </c>
      <c r="D31" s="259">
        <f>'C5C'!D253</f>
        <v>44884000</v>
      </c>
      <c r="E31" s="45">
        <f>'C5C'!E253</f>
        <v>40808008</v>
      </c>
      <c r="F31" s="45">
        <f>'C5C'!F253</f>
        <v>0</v>
      </c>
      <c r="G31" s="45">
        <f>'C5C'!G253</f>
        <v>419946.38549999997</v>
      </c>
      <c r="H31" s="45">
        <f>'C5C'!H253</f>
        <v>20404004</v>
      </c>
      <c r="I31" s="45">
        <f>'C5C'!I253</f>
        <v>-19984057.614500001</v>
      </c>
      <c r="J31" s="333">
        <f t="shared" si="3"/>
        <v>-0.97941843250471827</v>
      </c>
      <c r="K31" s="145">
        <f>'C5C'!K253</f>
        <v>40807992</v>
      </c>
      <c r="L31" s="706"/>
    </row>
    <row r="32" spans="1:12" ht="12.75" customHeight="1" x14ac:dyDescent="0.2">
      <c r="A32" s="410" t="str">
        <f>'Org structure'!A10</f>
        <v>Vote 9 - Budget and Treasury</v>
      </c>
      <c r="B32" s="422"/>
      <c r="C32" s="135">
        <f>'C5C'!C264</f>
        <v>51981524.6765</v>
      </c>
      <c r="D32" s="259">
        <f>'C5C'!D264</f>
        <v>6500000</v>
      </c>
      <c r="E32" s="45">
        <f>'C5C'!E264</f>
        <v>6500000</v>
      </c>
      <c r="F32" s="45">
        <f>'C5C'!F264</f>
        <v>1137990.1244999999</v>
      </c>
      <c r="G32" s="45">
        <f>'C5C'!G264</f>
        <v>1515661.1184999999</v>
      </c>
      <c r="H32" s="45">
        <f>'C5C'!H264</f>
        <v>3250000</v>
      </c>
      <c r="I32" s="45">
        <f>'C5C'!I264</f>
        <v>-1734338.8815000001</v>
      </c>
      <c r="J32" s="333">
        <f t="shared" si="3"/>
        <v>-0.5336427327692308</v>
      </c>
      <c r="K32" s="145">
        <f>'C5C'!K264</f>
        <v>6500000</v>
      </c>
      <c r="L32" s="706"/>
    </row>
    <row r="33" spans="1:12" ht="12.75" customHeight="1" x14ac:dyDescent="0.2">
      <c r="A33" s="410" t="str">
        <f>'Org structure'!A11</f>
        <v>Vote 10 - Transport Services</v>
      </c>
      <c r="B33" s="422"/>
      <c r="C33" s="135">
        <f>'C5C'!C275</f>
        <v>522612346.71286905</v>
      </c>
      <c r="D33" s="259">
        <f>'C5C'!D275</f>
        <v>681486000</v>
      </c>
      <c r="E33" s="45">
        <f>'C5C'!E275</f>
        <v>663311080</v>
      </c>
      <c r="F33" s="45">
        <f>'C5C'!F275</f>
        <v>24756206.699000001</v>
      </c>
      <c r="G33" s="45">
        <f>'C5C'!G275</f>
        <v>98193048.218000025</v>
      </c>
      <c r="H33" s="45">
        <f>'C5C'!H275</f>
        <v>331655540</v>
      </c>
      <c r="I33" s="45">
        <f>'C5C'!I275</f>
        <v>-233462491.78199998</v>
      </c>
      <c r="J33" s="333">
        <f t="shared" si="3"/>
        <v>-0.70393062567867848</v>
      </c>
      <c r="K33" s="145">
        <f>'C5C'!K275</f>
        <v>663311080</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1369152210.2073689</v>
      </c>
      <c r="D39" s="263">
        <f t="shared" si="4"/>
        <v>1889186000</v>
      </c>
      <c r="E39" s="162">
        <f t="shared" si="4"/>
        <v>1830632104</v>
      </c>
      <c r="F39" s="162">
        <f t="shared" si="4"/>
        <v>152138184.78950003</v>
      </c>
      <c r="G39" s="162">
        <f t="shared" si="4"/>
        <v>533323379.42550004</v>
      </c>
      <c r="H39" s="162">
        <f t="shared" si="4"/>
        <v>915079385</v>
      </c>
      <c r="I39" s="74">
        <f t="shared" si="4"/>
        <v>-381756005.57449996</v>
      </c>
      <c r="J39" s="334">
        <f t="shared" si="3"/>
        <v>-0.41718348356683826</v>
      </c>
      <c r="K39" s="264">
        <f>SUM(K24:K38)</f>
        <v>1830632080</v>
      </c>
      <c r="L39" s="101"/>
    </row>
    <row r="40" spans="1:12" ht="12.75" customHeight="1" x14ac:dyDescent="0.2">
      <c r="A40" s="93" t="s">
        <v>783</v>
      </c>
      <c r="B40" s="425"/>
      <c r="C40" s="244">
        <f t="shared" ref="C40:I40" si="5">C39+C21</f>
        <v>1369152210.2073689</v>
      </c>
      <c r="D40" s="261">
        <f t="shared" si="5"/>
        <v>1889186000</v>
      </c>
      <c r="E40" s="74">
        <f t="shared" si="5"/>
        <v>1830632104</v>
      </c>
      <c r="F40" s="74">
        <f t="shared" si="5"/>
        <v>152138184.78950003</v>
      </c>
      <c r="G40" s="74">
        <f t="shared" si="5"/>
        <v>533323379.42550004</v>
      </c>
      <c r="H40" s="74">
        <f t="shared" si="5"/>
        <v>915079385</v>
      </c>
      <c r="I40" s="74">
        <f t="shared" si="5"/>
        <v>-381756005.57449996</v>
      </c>
      <c r="J40" s="334">
        <f>IF(I40=0,"",I40/H40)</f>
        <v>-0.41718348356683826</v>
      </c>
      <c r="K40" s="146">
        <f>K39+K21</f>
        <v>1830632080</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116232197.4755</v>
      </c>
      <c r="D43" s="678">
        <f t="shared" si="6"/>
        <v>104275100</v>
      </c>
      <c r="E43" s="646">
        <f t="shared" si="6"/>
        <v>95007108</v>
      </c>
      <c r="F43" s="646">
        <f t="shared" si="6"/>
        <v>3213294.6490000002</v>
      </c>
      <c r="G43" s="646">
        <f t="shared" si="6"/>
        <v>16018796.821000027</v>
      </c>
      <c r="H43" s="646">
        <f t="shared" si="6"/>
        <v>47503554</v>
      </c>
      <c r="I43" s="45">
        <f t="shared" ref="I43:I62" si="7">G43-H43</f>
        <v>-31484757.178999975</v>
      </c>
      <c r="J43" s="333">
        <f>IF(I43=0,"",I43/H43)</f>
        <v>-0.66278740279095694</v>
      </c>
      <c r="K43" s="650">
        <f>SUM(K44:K46)</f>
        <v>95007108</v>
      </c>
      <c r="L43" s="101"/>
    </row>
    <row r="44" spans="1:12" ht="12.75" customHeight="1" x14ac:dyDescent="0.2">
      <c r="A44" s="419" t="s">
        <v>112</v>
      </c>
      <c r="B44" s="422"/>
      <c r="C44" s="745">
        <v>0</v>
      </c>
      <c r="D44" s="763">
        <v>0</v>
      </c>
      <c r="E44" s="743">
        <v>0</v>
      </c>
      <c r="F44" s="743">
        <v>0</v>
      </c>
      <c r="G44" s="743">
        <v>0</v>
      </c>
      <c r="H44" s="743">
        <v>0</v>
      </c>
      <c r="I44" s="45">
        <f t="shared" si="7"/>
        <v>0</v>
      </c>
      <c r="J44" s="333" t="str">
        <f t="shared" ref="J44:J63" si="8">IF(I44=0,"",I44/H44)</f>
        <v/>
      </c>
      <c r="K44" s="745">
        <f t="shared" ref="K44:K46" si="9">D44</f>
        <v>0</v>
      </c>
      <c r="L44" s="101"/>
    </row>
    <row r="45" spans="1:12" ht="12.75" customHeight="1" x14ac:dyDescent="0.2">
      <c r="A45" s="419" t="s">
        <v>1159</v>
      </c>
      <c r="B45" s="422"/>
      <c r="C45" s="764">
        <v>116232197.4755</v>
      </c>
      <c r="D45" s="765">
        <v>104275100</v>
      </c>
      <c r="E45" s="766">
        <v>95007108</v>
      </c>
      <c r="F45" s="743">
        <v>3213294.6490000002</v>
      </c>
      <c r="G45" s="743">
        <v>16018796.821000027</v>
      </c>
      <c r="H45" s="743">
        <f t="shared" ref="H45" si="10">E45/2</f>
        <v>47503554</v>
      </c>
      <c r="I45" s="45">
        <f t="shared" si="7"/>
        <v>-31484757.178999975</v>
      </c>
      <c r="J45" s="333">
        <f t="shared" si="8"/>
        <v>-0.66278740279095694</v>
      </c>
      <c r="K45" s="745">
        <v>95007108</v>
      </c>
      <c r="L45" s="101"/>
    </row>
    <row r="46" spans="1:12" ht="12.75" customHeight="1" x14ac:dyDescent="0.2">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1">SUM(C48:C52)</f>
        <v>24815286.626499999</v>
      </c>
      <c r="D47" s="678">
        <f t="shared" si="11"/>
        <v>79859150</v>
      </c>
      <c r="E47" s="646">
        <f t="shared" si="11"/>
        <v>77689128</v>
      </c>
      <c r="F47" s="646">
        <f t="shared" si="11"/>
        <v>6497270.8855000008</v>
      </c>
      <c r="G47" s="646">
        <f t="shared" si="11"/>
        <v>12962761.762499999</v>
      </c>
      <c r="H47" s="646">
        <f t="shared" si="11"/>
        <v>38844564</v>
      </c>
      <c r="I47" s="45">
        <f t="shared" si="7"/>
        <v>-25881802.237500001</v>
      </c>
      <c r="J47" s="333">
        <f t="shared" si="8"/>
        <v>-0.66629148514834668</v>
      </c>
      <c r="K47" s="650">
        <f>SUM(K48:K52)</f>
        <v>77689128</v>
      </c>
      <c r="L47" s="101"/>
    </row>
    <row r="48" spans="1:12" ht="12.75" customHeight="1" x14ac:dyDescent="0.2">
      <c r="A48" s="419" t="s">
        <v>114</v>
      </c>
      <c r="B48" s="422"/>
      <c r="C48" s="745">
        <v>12122593.796500001</v>
      </c>
      <c r="D48" s="763">
        <v>10379150</v>
      </c>
      <c r="E48" s="743">
        <v>8209140</v>
      </c>
      <c r="F48" s="967">
        <v>834565.74100000004</v>
      </c>
      <c r="G48" s="743">
        <v>2821054.3854999999</v>
      </c>
      <c r="H48" s="743">
        <f t="shared" ref="H48:H49" si="12">E48/2</f>
        <v>4104570</v>
      </c>
      <c r="I48" s="45">
        <f t="shared" si="7"/>
        <v>-1283515.6145000001</v>
      </c>
      <c r="J48" s="333">
        <f t="shared" si="8"/>
        <v>-0.31270403830364696</v>
      </c>
      <c r="K48" s="745">
        <v>8209140</v>
      </c>
      <c r="L48" s="101"/>
    </row>
    <row r="49" spans="1:12" ht="12.75" customHeight="1" x14ac:dyDescent="0.2">
      <c r="A49" s="419" t="s">
        <v>115</v>
      </c>
      <c r="B49" s="422"/>
      <c r="C49" s="745">
        <v>12692692.829999998</v>
      </c>
      <c r="D49" s="763">
        <v>69480000</v>
      </c>
      <c r="E49" s="743">
        <v>69479988</v>
      </c>
      <c r="F49" s="967">
        <v>5662705.1445000004</v>
      </c>
      <c r="G49" s="743">
        <v>10141707.377</v>
      </c>
      <c r="H49" s="966">
        <f t="shared" si="12"/>
        <v>34739994</v>
      </c>
      <c r="I49" s="45">
        <f t="shared" si="7"/>
        <v>-24598286.623</v>
      </c>
      <c r="J49" s="333">
        <f t="shared" si="8"/>
        <v>-0.70806824615456176</v>
      </c>
      <c r="K49" s="745">
        <v>69479988</v>
      </c>
      <c r="L49" s="101"/>
    </row>
    <row r="50" spans="1:12" ht="12.75" customHeight="1" x14ac:dyDescent="0.2">
      <c r="A50" s="419" t="s">
        <v>116</v>
      </c>
      <c r="B50" s="422"/>
      <c r="C50" s="745">
        <v>0</v>
      </c>
      <c r="D50" s="763">
        <v>0</v>
      </c>
      <c r="E50" s="743">
        <v>0</v>
      </c>
      <c r="F50" s="967">
        <v>0</v>
      </c>
      <c r="G50" s="743">
        <v>0</v>
      </c>
      <c r="H50" s="743">
        <v>0</v>
      </c>
      <c r="I50" s="45">
        <f t="shared" si="7"/>
        <v>0</v>
      </c>
      <c r="J50" s="333" t="str">
        <f t="shared" si="8"/>
        <v/>
      </c>
      <c r="K50" s="745">
        <v>0</v>
      </c>
      <c r="L50" s="101"/>
    </row>
    <row r="51" spans="1:12" ht="12.75" customHeight="1" x14ac:dyDescent="0.2">
      <c r="A51" s="419" t="s">
        <v>733</v>
      </c>
      <c r="B51" s="422"/>
      <c r="C51" s="745">
        <v>0</v>
      </c>
      <c r="D51" s="763">
        <v>0</v>
      </c>
      <c r="E51" s="743">
        <v>0</v>
      </c>
      <c r="F51" s="967">
        <v>0</v>
      </c>
      <c r="G51" s="743">
        <v>0</v>
      </c>
      <c r="H51" s="743">
        <v>0</v>
      </c>
      <c r="I51" s="45">
        <f t="shared" si="7"/>
        <v>0</v>
      </c>
      <c r="J51" s="333" t="str">
        <f t="shared" si="8"/>
        <v/>
      </c>
      <c r="K51" s="745">
        <f t="shared" ref="K51:K52" si="13">D51</f>
        <v>0</v>
      </c>
      <c r="L51" s="101"/>
    </row>
    <row r="52" spans="1:12" ht="12.75" customHeight="1" x14ac:dyDescent="0.2">
      <c r="A52" s="419" t="s">
        <v>630</v>
      </c>
      <c r="B52" s="422"/>
      <c r="C52" s="764">
        <v>0</v>
      </c>
      <c r="D52" s="765">
        <v>0</v>
      </c>
      <c r="E52" s="766">
        <v>0</v>
      </c>
      <c r="F52" s="967">
        <v>0</v>
      </c>
      <c r="G52" s="966">
        <v>0</v>
      </c>
      <c r="H52" s="743">
        <v>0</v>
      </c>
      <c r="I52" s="45">
        <f t="shared" si="7"/>
        <v>0</v>
      </c>
      <c r="J52" s="333" t="str">
        <f t="shared" si="8"/>
        <v/>
      </c>
      <c r="K52" s="745">
        <f t="shared" si="13"/>
        <v>0</v>
      </c>
      <c r="L52" s="101"/>
    </row>
    <row r="53" spans="1:12" ht="12.75" customHeight="1" x14ac:dyDescent="0.2">
      <c r="A53" s="417" t="s">
        <v>117</v>
      </c>
      <c r="B53" s="422"/>
      <c r="C53" s="650">
        <f t="shared" ref="C53:H53" si="14">SUM(C54:C56)</f>
        <v>542038672.0443691</v>
      </c>
      <c r="D53" s="678">
        <f t="shared" si="14"/>
        <v>698775250</v>
      </c>
      <c r="E53" s="646">
        <f t="shared" si="14"/>
        <v>676524332</v>
      </c>
      <c r="F53" s="646">
        <f t="shared" si="14"/>
        <v>24756206.699000001</v>
      </c>
      <c r="G53" s="646">
        <f t="shared" si="14"/>
        <v>98460781.546500027</v>
      </c>
      <c r="H53" s="646">
        <f t="shared" si="14"/>
        <v>338262166</v>
      </c>
      <c r="I53" s="45">
        <f t="shared" si="7"/>
        <v>-239801384.45349997</v>
      </c>
      <c r="J53" s="333">
        <f t="shared" si="8"/>
        <v>-0.70892168429353686</v>
      </c>
      <c r="K53" s="650">
        <f>SUM(K54:K56)</f>
        <v>676524332</v>
      </c>
      <c r="L53" s="101"/>
    </row>
    <row r="54" spans="1:12" ht="12.75" customHeight="1" x14ac:dyDescent="0.2">
      <c r="A54" s="419" t="s">
        <v>118</v>
      </c>
      <c r="B54" s="422"/>
      <c r="C54" s="745">
        <v>19426325.331500001</v>
      </c>
      <c r="D54" s="763">
        <v>14838500</v>
      </c>
      <c r="E54" s="743">
        <v>10762504</v>
      </c>
      <c r="F54" s="743"/>
      <c r="G54" s="743">
        <v>267733.3285</v>
      </c>
      <c r="H54" s="743">
        <f t="shared" ref="H54:H55" si="15">E54/2</f>
        <v>5381252</v>
      </c>
      <c r="I54" s="45">
        <f t="shared" si="7"/>
        <v>-5113518.6715000002</v>
      </c>
      <c r="J54" s="333">
        <f t="shared" si="8"/>
        <v>-0.95024701900226938</v>
      </c>
      <c r="K54" s="745">
        <v>10762504</v>
      </c>
      <c r="L54" s="101"/>
    </row>
    <row r="55" spans="1:12" ht="12.75" customHeight="1" x14ac:dyDescent="0.2">
      <c r="A55" s="419" t="s">
        <v>119</v>
      </c>
      <c r="B55" s="422"/>
      <c r="C55" s="745">
        <v>522612346.71286905</v>
      </c>
      <c r="D55" s="763">
        <v>683936750</v>
      </c>
      <c r="E55" s="743">
        <v>665761828</v>
      </c>
      <c r="F55" s="743">
        <v>24756206.699000001</v>
      </c>
      <c r="G55" s="743">
        <v>98193048.218000025</v>
      </c>
      <c r="H55" s="966">
        <f t="shared" si="15"/>
        <v>332880914</v>
      </c>
      <c r="I55" s="45">
        <f t="shared" si="7"/>
        <v>-234687865.78199998</v>
      </c>
      <c r="J55" s="333">
        <f t="shared" si="8"/>
        <v>-0.70502049204899742</v>
      </c>
      <c r="K55" s="745">
        <v>665761828</v>
      </c>
      <c r="L55" s="101"/>
    </row>
    <row r="56" spans="1:12" ht="12.75" customHeight="1" x14ac:dyDescent="0.2">
      <c r="A56" s="419" t="s">
        <v>120</v>
      </c>
      <c r="B56" s="422"/>
      <c r="C56" s="745"/>
      <c r="D56" s="763">
        <v>0</v>
      </c>
      <c r="E56" s="743">
        <v>0</v>
      </c>
      <c r="F56" s="743">
        <v>0</v>
      </c>
      <c r="G56" s="743">
        <v>0</v>
      </c>
      <c r="H56" s="743">
        <v>0</v>
      </c>
      <c r="I56" s="45">
        <f t="shared" si="7"/>
        <v>0</v>
      </c>
      <c r="J56" s="333" t="str">
        <f t="shared" si="8"/>
        <v/>
      </c>
      <c r="K56" s="745">
        <f t="shared" ref="K56" si="16">D56</f>
        <v>0</v>
      </c>
      <c r="L56" s="101"/>
    </row>
    <row r="57" spans="1:12" ht="12.75" customHeight="1" x14ac:dyDescent="0.2">
      <c r="A57" s="417" t="s">
        <v>121</v>
      </c>
      <c r="B57" s="422"/>
      <c r="C57" s="650">
        <f t="shared" ref="C57:H57" si="17">SUM(C58:C61)</f>
        <v>686066054.06099987</v>
      </c>
      <c r="D57" s="678">
        <f t="shared" si="17"/>
        <v>1006276500</v>
      </c>
      <c r="E57" s="646">
        <f t="shared" si="17"/>
        <v>981411544</v>
      </c>
      <c r="F57" s="646">
        <f t="shared" si="17"/>
        <v>117671412.55600002</v>
      </c>
      <c r="G57" s="646">
        <f t="shared" si="17"/>
        <v>405849319.13299996</v>
      </c>
      <c r="H57" s="646">
        <f t="shared" si="17"/>
        <v>490705772</v>
      </c>
      <c r="I57" s="45">
        <f t="shared" si="7"/>
        <v>-84856452.867000043</v>
      </c>
      <c r="J57" s="333">
        <f t="shared" si="8"/>
        <v>-0.17292735832542855</v>
      </c>
      <c r="K57" s="650">
        <f>SUM(K58:K61)</f>
        <v>981411544</v>
      </c>
      <c r="L57" s="101"/>
    </row>
    <row r="58" spans="1:12" ht="12.75" customHeight="1" x14ac:dyDescent="0.2">
      <c r="A58" s="419" t="s">
        <v>1228</v>
      </c>
      <c r="B58" s="422"/>
      <c r="C58" s="745">
        <v>37743513.567000002</v>
      </c>
      <c r="D58" s="763">
        <v>62247500</v>
      </c>
      <c r="E58" s="743">
        <v>62247496</v>
      </c>
      <c r="F58" s="743">
        <v>352977.69949999987</v>
      </c>
      <c r="G58" s="743">
        <v>9314713.0865000002</v>
      </c>
      <c r="H58" s="966">
        <f t="shared" ref="H58:H61" si="18">E58/2</f>
        <v>31123748</v>
      </c>
      <c r="I58" s="45">
        <f t="shared" si="7"/>
        <v>-21809034.9135</v>
      </c>
      <c r="J58" s="333">
        <f t="shared" si="8"/>
        <v>-0.70072007116559354</v>
      </c>
      <c r="K58" s="745">
        <v>62247496</v>
      </c>
      <c r="L58" s="101"/>
    </row>
    <row r="59" spans="1:12" ht="12.75" customHeight="1" x14ac:dyDescent="0.2">
      <c r="A59" s="419" t="s">
        <v>1232</v>
      </c>
      <c r="B59" s="422"/>
      <c r="C59" s="745">
        <v>398996163.2755</v>
      </c>
      <c r="D59" s="763">
        <v>416702973</v>
      </c>
      <c r="E59" s="743">
        <v>-109609664</v>
      </c>
      <c r="F59" s="743">
        <v>50103086.840000011</v>
      </c>
      <c r="G59" s="743">
        <v>131544321.40599999</v>
      </c>
      <c r="H59" s="966">
        <f t="shared" si="18"/>
        <v>-54804832</v>
      </c>
      <c r="I59" s="45">
        <f t="shared" si="7"/>
        <v>186349153.40599999</v>
      </c>
      <c r="J59" s="333">
        <f t="shared" si="8"/>
        <v>-3.4002321803668698</v>
      </c>
      <c r="K59" s="745">
        <v>-109609664</v>
      </c>
      <c r="L59" s="101"/>
    </row>
    <row r="60" spans="1:12" ht="12.75" customHeight="1" x14ac:dyDescent="0.2">
      <c r="A60" s="419" t="s">
        <v>122</v>
      </c>
      <c r="B60" s="422"/>
      <c r="C60" s="764">
        <v>238037169.75749999</v>
      </c>
      <c r="D60" s="765">
        <v>507947627</v>
      </c>
      <c r="E60" s="766">
        <v>1015895304</v>
      </c>
      <c r="F60" s="743">
        <v>67048598.016500011</v>
      </c>
      <c r="G60" s="766">
        <v>262792026.65849999</v>
      </c>
      <c r="H60" s="966">
        <f t="shared" si="18"/>
        <v>507947652</v>
      </c>
      <c r="I60" s="45">
        <f t="shared" si="7"/>
        <v>-245155625.34150001</v>
      </c>
      <c r="J60" s="333">
        <f t="shared" si="8"/>
        <v>-0.48263954833971751</v>
      </c>
      <c r="K60" s="745">
        <v>1015895304</v>
      </c>
      <c r="L60" s="101"/>
    </row>
    <row r="61" spans="1:12" ht="12.75" customHeight="1" x14ac:dyDescent="0.2">
      <c r="A61" s="419" t="s">
        <v>123</v>
      </c>
      <c r="B61" s="422"/>
      <c r="C61" s="745">
        <v>11289207.461000001</v>
      </c>
      <c r="D61" s="763">
        <v>19378400</v>
      </c>
      <c r="E61" s="743">
        <v>12878408</v>
      </c>
      <c r="F61" s="743">
        <v>166750</v>
      </c>
      <c r="G61" s="743">
        <v>2198257.9819999998</v>
      </c>
      <c r="H61" s="966">
        <f t="shared" si="18"/>
        <v>6439204</v>
      </c>
      <c r="I61" s="45">
        <f t="shared" si="7"/>
        <v>-4240946.0180000002</v>
      </c>
      <c r="J61" s="333">
        <f t="shared" si="8"/>
        <v>-0.65861339662480023</v>
      </c>
      <c r="K61" s="745">
        <v>12878408</v>
      </c>
      <c r="L61" s="101"/>
    </row>
    <row r="62" spans="1:12" ht="12.75" customHeight="1" x14ac:dyDescent="0.2">
      <c r="A62" s="417" t="s">
        <v>740</v>
      </c>
      <c r="B62" s="422"/>
      <c r="C62" s="745">
        <v>0</v>
      </c>
      <c r="D62" s="763">
        <v>0</v>
      </c>
      <c r="E62" s="743">
        <v>0</v>
      </c>
      <c r="F62" s="743">
        <v>0</v>
      </c>
      <c r="G62" s="743">
        <v>0</v>
      </c>
      <c r="H62" s="743">
        <v>0</v>
      </c>
      <c r="I62" s="45">
        <f t="shared" si="7"/>
        <v>0</v>
      </c>
      <c r="J62" s="333" t="str">
        <f t="shared" si="8"/>
        <v/>
      </c>
      <c r="K62" s="745">
        <f t="shared" ref="K62" si="19">D62</f>
        <v>0</v>
      </c>
      <c r="L62" s="101"/>
    </row>
    <row r="63" spans="1:12" ht="12.75" customHeight="1" x14ac:dyDescent="0.2">
      <c r="A63" s="540" t="s">
        <v>1250</v>
      </c>
      <c r="B63" s="543">
        <v>3</v>
      </c>
      <c r="C63" s="544">
        <f>C43+C47+C53+C57+C62</f>
        <v>1369152210.2073689</v>
      </c>
      <c r="D63" s="545">
        <f t="shared" ref="D63:I63" si="20">D43+D47+D53+D57+D62</f>
        <v>1889186000</v>
      </c>
      <c r="E63" s="481">
        <f t="shared" si="20"/>
        <v>1830632112</v>
      </c>
      <c r="F63" s="481">
        <f t="shared" si="20"/>
        <v>152138184.78950003</v>
      </c>
      <c r="G63" s="481">
        <f t="shared" si="20"/>
        <v>533291659.26300001</v>
      </c>
      <c r="H63" s="481">
        <f t="shared" si="20"/>
        <v>915316056</v>
      </c>
      <c r="I63" s="481">
        <f t="shared" si="20"/>
        <v>-382024396.73699999</v>
      </c>
      <c r="J63" s="546">
        <f t="shared" si="8"/>
        <v>-0.4173688358603424</v>
      </c>
      <c r="K63" s="547">
        <f>K43+K47+K53+K57+K62</f>
        <v>1830632112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1070478839.6583691</v>
      </c>
      <c r="D66" s="763">
        <v>1267136000</v>
      </c>
      <c r="E66" s="743">
        <v>1267136000</v>
      </c>
      <c r="F66" s="743">
        <v>135213583.99400002</v>
      </c>
      <c r="G66" s="743">
        <v>479559995.40900004</v>
      </c>
      <c r="H66" s="743">
        <f t="shared" ref="H66:H69" si="21">E66/2</f>
        <v>633568000</v>
      </c>
      <c r="I66" s="45">
        <f t="shared" ref="I66:I74" si="22">G66-H66</f>
        <v>-154008004.59099996</v>
      </c>
      <c r="J66" s="333">
        <f t="shared" ref="J66:J74" si="23">IF(I66=0,"",I66/H66)</f>
        <v>-0.24308046585528303</v>
      </c>
      <c r="K66" s="745">
        <f t="shared" ref="K66:K69" si="24">D66</f>
        <v>1267136000</v>
      </c>
      <c r="L66" s="101"/>
    </row>
    <row r="67" spans="1:12" ht="12.75" customHeight="1" x14ac:dyDescent="0.2">
      <c r="A67" s="108" t="s">
        <v>623</v>
      </c>
      <c r="B67" s="170"/>
      <c r="C67" s="758">
        <v>0</v>
      </c>
      <c r="D67" s="763">
        <v>0</v>
      </c>
      <c r="E67" s="743">
        <v>0</v>
      </c>
      <c r="F67" s="743">
        <v>0</v>
      </c>
      <c r="G67" s="743">
        <v>0</v>
      </c>
      <c r="H67" s="743">
        <f t="shared" si="21"/>
        <v>0</v>
      </c>
      <c r="I67" s="45">
        <f t="shared" si="22"/>
        <v>0</v>
      </c>
      <c r="J67" s="333" t="str">
        <f t="shared" si="23"/>
        <v/>
      </c>
      <c r="K67" s="745">
        <f t="shared" si="24"/>
        <v>0</v>
      </c>
      <c r="L67" s="101"/>
    </row>
    <row r="68" spans="1:12" ht="12.75" customHeight="1" x14ac:dyDescent="0.2">
      <c r="A68" s="108" t="s">
        <v>624</v>
      </c>
      <c r="B68" s="170"/>
      <c r="C68" s="758">
        <v>0</v>
      </c>
      <c r="D68" s="763">
        <v>0</v>
      </c>
      <c r="E68" s="743">
        <v>0</v>
      </c>
      <c r="F68" s="743">
        <v>0</v>
      </c>
      <c r="G68" s="743">
        <v>0</v>
      </c>
      <c r="H68" s="743">
        <f t="shared" si="21"/>
        <v>0</v>
      </c>
      <c r="I68" s="45">
        <f t="shared" si="22"/>
        <v>0</v>
      </c>
      <c r="J68" s="333" t="str">
        <f t="shared" si="23"/>
        <v/>
      </c>
      <c r="K68" s="745">
        <f t="shared" si="24"/>
        <v>0</v>
      </c>
      <c r="L68" s="101"/>
    </row>
    <row r="69" spans="1:12" ht="12.75" customHeight="1" x14ac:dyDescent="0.2">
      <c r="A69" s="541" t="s">
        <v>72</v>
      </c>
      <c r="B69" s="249"/>
      <c r="C69" s="759">
        <v>0</v>
      </c>
      <c r="D69" s="763">
        <v>14000000</v>
      </c>
      <c r="E69" s="761">
        <v>14000000</v>
      </c>
      <c r="F69" s="761"/>
      <c r="G69" s="761">
        <v>386956.255</v>
      </c>
      <c r="H69" s="761">
        <f t="shared" si="21"/>
        <v>7000000</v>
      </c>
      <c r="I69" s="100">
        <f t="shared" si="22"/>
        <v>-6613043.7450000001</v>
      </c>
      <c r="J69" s="338">
        <f t="shared" si="23"/>
        <v>-0.94472053499999997</v>
      </c>
      <c r="K69" s="745">
        <f t="shared" si="24"/>
        <v>14000000</v>
      </c>
      <c r="L69" s="101"/>
    </row>
    <row r="70" spans="1:12" ht="12.75" customHeight="1" x14ac:dyDescent="0.2">
      <c r="A70" s="701" t="s">
        <v>989</v>
      </c>
      <c r="B70" s="170"/>
      <c r="C70" s="110">
        <f t="shared" ref="C70:H70" si="25">SUM(C66:C69)</f>
        <v>1070478839.6583691</v>
      </c>
      <c r="D70" s="260">
        <f t="shared" si="25"/>
        <v>1281136000</v>
      </c>
      <c r="E70" s="51">
        <f t="shared" si="25"/>
        <v>1281136000</v>
      </c>
      <c r="F70" s="51">
        <f t="shared" si="25"/>
        <v>135213583.99400002</v>
      </c>
      <c r="G70" s="51">
        <f t="shared" si="25"/>
        <v>479946951.66400003</v>
      </c>
      <c r="H70" s="51">
        <f t="shared" si="25"/>
        <v>640568000</v>
      </c>
      <c r="I70" s="51">
        <f t="shared" si="22"/>
        <v>-160621048.33599997</v>
      </c>
      <c r="J70" s="147">
        <f t="shared" si="23"/>
        <v>-0.25074784930873845</v>
      </c>
      <c r="K70" s="51">
        <f>SUM(K66:K69)</f>
        <v>1281136000</v>
      </c>
      <c r="L70" s="707"/>
    </row>
    <row r="71" spans="1:12" ht="12.75" customHeight="1" x14ac:dyDescent="0.2">
      <c r="A71" s="107" t="s">
        <v>490</v>
      </c>
      <c r="B71" s="170">
        <v>5</v>
      </c>
      <c r="C71" s="758">
        <v>0</v>
      </c>
      <c r="D71" s="763">
        <v>0</v>
      </c>
      <c r="E71" s="743">
        <v>0</v>
      </c>
      <c r="F71" s="743">
        <v>0</v>
      </c>
      <c r="G71" s="743">
        <v>0</v>
      </c>
      <c r="H71" s="743">
        <f t="shared" ref="H71:H73" si="26">E71/2</f>
        <v>0</v>
      </c>
      <c r="I71" s="45">
        <f t="shared" si="22"/>
        <v>0</v>
      </c>
      <c r="J71" s="333" t="str">
        <f t="shared" si="23"/>
        <v/>
      </c>
      <c r="K71" s="745">
        <f t="shared" ref="K71:K72" si="27">D71</f>
        <v>0</v>
      </c>
      <c r="L71" s="101"/>
    </row>
    <row r="72" spans="1:12" ht="12.75" customHeight="1" x14ac:dyDescent="0.2">
      <c r="A72" s="107" t="s">
        <v>801</v>
      </c>
      <c r="B72" s="170">
        <v>6</v>
      </c>
      <c r="C72" s="758">
        <v>6767425.7460000003</v>
      </c>
      <c r="D72" s="763">
        <v>380000000</v>
      </c>
      <c r="E72" s="743">
        <v>380000000</v>
      </c>
      <c r="F72" s="743">
        <v>8379882.5369999995</v>
      </c>
      <c r="G72" s="743">
        <v>15293141.2205</v>
      </c>
      <c r="H72" s="743">
        <f t="shared" si="26"/>
        <v>190000000</v>
      </c>
      <c r="I72" s="45">
        <f t="shared" si="22"/>
        <v>-174706858.77950001</v>
      </c>
      <c r="J72" s="333">
        <f t="shared" si="23"/>
        <v>-0.91950978305000008</v>
      </c>
      <c r="K72" s="745">
        <f t="shared" si="27"/>
        <v>380000000</v>
      </c>
      <c r="L72" s="101"/>
    </row>
    <row r="73" spans="1:12" ht="12.75" customHeight="1" x14ac:dyDescent="0.2">
      <c r="A73" s="107" t="s">
        <v>484</v>
      </c>
      <c r="B73" s="249"/>
      <c r="C73" s="759">
        <v>291905944.80299997</v>
      </c>
      <c r="D73" s="767">
        <v>228050000</v>
      </c>
      <c r="E73" s="761">
        <v>169496004</v>
      </c>
      <c r="F73" s="761">
        <v>8544718.2584999986</v>
      </c>
      <c r="G73" s="761">
        <v>38051566.3785</v>
      </c>
      <c r="H73" s="761">
        <f t="shared" si="26"/>
        <v>84748002</v>
      </c>
      <c r="I73" s="100">
        <f t="shared" si="22"/>
        <v>-46696435.6215</v>
      </c>
      <c r="J73" s="338">
        <f t="shared" si="23"/>
        <v>-0.55100338084076605</v>
      </c>
      <c r="K73" s="745">
        <v>169496004</v>
      </c>
      <c r="L73" s="101"/>
    </row>
    <row r="74" spans="1:12" ht="12.75" customHeight="1" x14ac:dyDescent="0.2">
      <c r="A74" s="542" t="s">
        <v>921</v>
      </c>
      <c r="B74" s="120"/>
      <c r="C74" s="245">
        <f t="shared" ref="C74:K74" si="28">SUM(C70:C73)</f>
        <v>1369152210.2073691</v>
      </c>
      <c r="D74" s="266">
        <f t="shared" si="28"/>
        <v>1889186000</v>
      </c>
      <c r="E74" s="77">
        <f t="shared" si="28"/>
        <v>1830632004</v>
      </c>
      <c r="F74" s="77">
        <f>SUM(F70:F73)</f>
        <v>152138184.78950003</v>
      </c>
      <c r="G74" s="77">
        <f>SUM(G70:G73)</f>
        <v>533291659.26300001</v>
      </c>
      <c r="H74" s="77">
        <f>SUM(H70:H73)</f>
        <v>915316002</v>
      </c>
      <c r="I74" s="77">
        <f t="shared" si="22"/>
        <v>-382024342.73699999</v>
      </c>
      <c r="J74" s="336">
        <f t="shared" si="23"/>
        <v>-0.41736880148742334</v>
      </c>
      <c r="K74" s="235">
        <f t="shared" si="28"/>
        <v>1830632004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3" t="s">
        <v>149</v>
      </c>
      <c r="B77" s="1043"/>
      <c r="C77" s="1043"/>
      <c r="D77" s="1043"/>
      <c r="E77" s="1043"/>
      <c r="F77" s="1043"/>
      <c r="G77" s="1043"/>
      <c r="H77" s="1043"/>
      <c r="I77" s="1043"/>
      <c r="J77" s="1043"/>
      <c r="K77" s="1043"/>
    </row>
    <row r="78" spans="1:12" ht="12" customHeight="1" x14ac:dyDescent="0.2">
      <c r="A78" s="1043" t="s">
        <v>1252</v>
      </c>
      <c r="B78" s="1043"/>
      <c r="C78" s="1043"/>
      <c r="D78" s="1043"/>
      <c r="E78" s="1043"/>
      <c r="F78" s="1043"/>
      <c r="G78" s="1043"/>
      <c r="H78" s="1043"/>
      <c r="I78" s="1043"/>
      <c r="J78" s="1043"/>
      <c r="K78" s="1043"/>
    </row>
    <row r="79" spans="1:12" ht="12" customHeight="1" x14ac:dyDescent="0.2">
      <c r="A79" s="1044" t="s">
        <v>538</v>
      </c>
      <c r="B79" s="1043"/>
      <c r="C79" s="1043"/>
      <c r="D79" s="1043"/>
      <c r="E79" s="1043"/>
      <c r="F79" s="1043"/>
      <c r="G79" s="1043"/>
      <c r="H79" s="1043"/>
      <c r="I79" s="1043"/>
      <c r="J79" s="1043"/>
      <c r="K79" s="1043"/>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9">D40-D74</f>
        <v>0</v>
      </c>
      <c r="E86" s="702">
        <f t="shared" si="29"/>
        <v>100</v>
      </c>
      <c r="F86" s="702">
        <f t="shared" si="29"/>
        <v>0</v>
      </c>
      <c r="G86" s="702">
        <f t="shared" si="29"/>
        <v>31720.162500023842</v>
      </c>
      <c r="H86" s="702">
        <f t="shared" si="29"/>
        <v>-236617</v>
      </c>
      <c r="I86" s="702"/>
      <c r="J86" s="702"/>
      <c r="K86" s="702">
        <f t="shared" si="29"/>
        <v>76</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6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30" activePane="bottomRight" state="frozen"/>
      <selection pane="topRight"/>
      <selection pane="bottomLeft"/>
      <selection pane="bottomRight" activeCell="F268" sqref="F268"/>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3" t="str">
        <f>muni&amp; " - "&amp;S71D&amp; " - "&amp;"A"&amp; " - "&amp;date</f>
        <v>LIM354 Polokwane - Table C5 Monthly Budget Statement - Capital Expenditure (municipal vote, functional classification and funding) - A - M06 December</v>
      </c>
      <c r="B1" s="1033"/>
      <c r="C1" s="1033"/>
      <c r="D1" s="1033"/>
      <c r="E1" s="1033"/>
      <c r="F1" s="1033"/>
      <c r="G1" s="1033"/>
      <c r="H1" s="1033"/>
      <c r="I1" s="1033"/>
      <c r="J1" s="1033"/>
      <c r="K1" s="1033"/>
    </row>
    <row r="2" spans="1:23" ht="28.5" customHeight="1" x14ac:dyDescent="0.25">
      <c r="A2" s="438" t="str">
        <f>Vdesc</f>
        <v>Vote Description</v>
      </c>
      <c r="B2" s="439" t="str">
        <f>head27</f>
        <v>Ref</v>
      </c>
      <c r="C2" s="143" t="str">
        <f>Head1</f>
        <v>2018/19</v>
      </c>
      <c r="D2" s="1026" t="str">
        <f>Head2</f>
        <v>Budget Year 2019/20</v>
      </c>
      <c r="E2" s="1027"/>
      <c r="F2" s="1027"/>
      <c r="G2" s="1027"/>
      <c r="H2" s="1027"/>
      <c r="I2" s="1027"/>
      <c r="J2" s="1027"/>
      <c r="K2" s="1028"/>
      <c r="L2" s="1037" t="e">
        <f>Head4</f>
        <v>#REF!</v>
      </c>
      <c r="M2" s="1038"/>
      <c r="N2" s="1038"/>
      <c r="O2" s="1038"/>
      <c r="P2" s="1038"/>
      <c r="Q2" s="1038"/>
      <c r="R2" s="1038"/>
      <c r="S2" s="1038"/>
      <c r="T2" s="1038"/>
      <c r="U2" s="1038"/>
      <c r="V2" s="1038"/>
      <c r="W2" s="1039"/>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30">SUM(C177:C186)</f>
        <v>0</v>
      </c>
      <c r="D176" s="474">
        <f t="shared" si="30"/>
        <v>5010000</v>
      </c>
      <c r="E176" s="471">
        <f t="shared" si="30"/>
        <v>2840004</v>
      </c>
      <c r="F176" s="473">
        <f t="shared" si="30"/>
        <v>0</v>
      </c>
      <c r="G176" s="471">
        <f t="shared" si="30"/>
        <v>500000.00150000001</v>
      </c>
      <c r="H176" s="473">
        <f t="shared" si="30"/>
        <v>1183335</v>
      </c>
      <c r="I176" s="45">
        <f t="shared" si="23"/>
        <v>-683334.99849999999</v>
      </c>
      <c r="J176" s="333">
        <f t="shared" si="24"/>
        <v>-0.57746538258396818</v>
      </c>
      <c r="K176" s="472">
        <f t="shared" si="30"/>
        <v>2840004</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0</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2840004</v>
      </c>
      <c r="F184" s="756">
        <v>0</v>
      </c>
      <c r="G184" s="743">
        <v>500000.00150000001</v>
      </c>
      <c r="H184" s="756">
        <f>E184/12*5</f>
        <v>1183335</v>
      </c>
      <c r="I184" s="45">
        <f t="shared" si="23"/>
        <v>-683334.99849999999</v>
      </c>
      <c r="J184" s="333">
        <f t="shared" si="24"/>
        <v>-0.57746538258396818</v>
      </c>
      <c r="K184" s="757">
        <f>E184</f>
        <v>2840004</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32">SUM(E188:E197)</f>
        <v>0</v>
      </c>
      <c r="F187" s="446">
        <f t="shared" si="32"/>
        <v>0</v>
      </c>
      <c r="G187" s="444">
        <f t="shared" si="32"/>
        <v>0</v>
      </c>
      <c r="H187" s="446">
        <f t="shared" si="32"/>
        <v>0</v>
      </c>
      <c r="I187" s="45">
        <f t="shared" si="23"/>
        <v>0</v>
      </c>
      <c r="J187" s="333" t="str">
        <f t="shared" si="24"/>
        <v/>
      </c>
      <c r="K187" s="445">
        <f t="shared" si="32"/>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3">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3"/>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3"/>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3"/>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v>0</v>
      </c>
      <c r="I192" s="45">
        <f t="shared" si="23"/>
        <v>0</v>
      </c>
      <c r="J192" s="333" t="str">
        <f t="shared" si="24"/>
        <v/>
      </c>
      <c r="K192" s="757">
        <f t="shared" si="33"/>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v>0</v>
      </c>
      <c r="I193" s="45">
        <f t="shared" si="23"/>
        <v>0</v>
      </c>
      <c r="J193" s="333" t="str">
        <f t="shared" si="24"/>
        <v/>
      </c>
      <c r="K193" s="757">
        <f t="shared" si="33"/>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v>0</v>
      </c>
      <c r="I194" s="45">
        <f t="shared" si="23"/>
        <v>0</v>
      </c>
      <c r="J194" s="333" t="str">
        <f t="shared" si="24"/>
        <v/>
      </c>
      <c r="K194" s="757">
        <f t="shared" si="33"/>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v>0</v>
      </c>
      <c r="I195" s="45">
        <f t="shared" si="23"/>
        <v>0</v>
      </c>
      <c r="J195" s="333" t="str">
        <f t="shared" si="24"/>
        <v/>
      </c>
      <c r="K195" s="757">
        <f t="shared" si="33"/>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v>0</v>
      </c>
      <c r="I196" s="45">
        <f t="shared" si="23"/>
        <v>0</v>
      </c>
      <c r="J196" s="333" t="str">
        <f t="shared" si="24"/>
        <v/>
      </c>
      <c r="K196" s="757">
        <f t="shared" si="33"/>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v>0</v>
      </c>
      <c r="I197" s="45">
        <f t="shared" si="23"/>
        <v>0</v>
      </c>
      <c r="J197" s="333" t="str">
        <f t="shared" si="24"/>
        <v/>
      </c>
      <c r="K197" s="757">
        <f t="shared" si="33"/>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34">SUM(C199:C208)</f>
        <v>637033333.03299999</v>
      </c>
      <c r="D198" s="447">
        <f t="shared" si="34"/>
        <v>924650632</v>
      </c>
      <c r="E198" s="444">
        <f>SUM(E199:E208)</f>
        <v>906285636</v>
      </c>
      <c r="F198" s="446">
        <f t="shared" si="34"/>
        <v>117151684.85650003</v>
      </c>
      <c r="G198" s="444">
        <f t="shared" si="34"/>
        <v>394336348.06449997</v>
      </c>
      <c r="H198" s="446">
        <f t="shared" si="34"/>
        <v>453142818</v>
      </c>
      <c r="I198" s="45">
        <f t="shared" si="23"/>
        <v>-58806469.935500026</v>
      </c>
      <c r="J198" s="333">
        <f t="shared" si="24"/>
        <v>-0.12977469265660971</v>
      </c>
      <c r="K198" s="445">
        <f t="shared" si="34"/>
        <v>906285628</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f t="shared" ref="H199:H205" si="35">E199/12*6</f>
        <v>0</v>
      </c>
      <c r="I199" s="45">
        <f t="shared" si="23"/>
        <v>0</v>
      </c>
      <c r="J199" s="333" t="str">
        <f t="shared" si="24"/>
        <v/>
      </c>
      <c r="K199" s="757">
        <f t="shared" ref="K199:K208" si="36">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0</v>
      </c>
      <c r="D200" s="755">
        <v>0</v>
      </c>
      <c r="E200" s="743">
        <v>0</v>
      </c>
      <c r="F200" s="756">
        <v>0</v>
      </c>
      <c r="G200" s="743">
        <v>0</v>
      </c>
      <c r="H200" s="756">
        <f t="shared" si="35"/>
        <v>0</v>
      </c>
      <c r="I200" s="45">
        <f t="shared" ref="I200:I263" si="37">G200-H200</f>
        <v>0</v>
      </c>
      <c r="J200" s="333" t="str">
        <f t="shared" ref="J200:J263" si="38">IF(I200=0,"",I200/H200)</f>
        <v/>
      </c>
      <c r="K200" s="757">
        <f t="shared" si="36"/>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f>E201/12*6</f>
        <v>0</v>
      </c>
      <c r="I201" s="45">
        <f t="shared" si="37"/>
        <v>0</v>
      </c>
      <c r="J201" s="333" t="str">
        <f t="shared" si="38"/>
        <v/>
      </c>
      <c r="K201" s="398">
        <f t="shared" si="36"/>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5">
        <v>507947652</v>
      </c>
      <c r="E202" s="743">
        <v>489582648</v>
      </c>
      <c r="F202" s="756">
        <v>50103086.840000011</v>
      </c>
      <c r="G202" s="743">
        <v>131544321.40599999</v>
      </c>
      <c r="H202" s="756">
        <f t="shared" ref="H202:H205" si="39">E202/12*6</f>
        <v>244791324</v>
      </c>
      <c r="I202" s="45">
        <f t="shared" si="37"/>
        <v>-113247002.59400001</v>
      </c>
      <c r="J202" s="333">
        <f t="shared" si="38"/>
        <v>-0.46262670074859358</v>
      </c>
      <c r="K202" s="398">
        <f>E202</f>
        <v>489582648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5">
        <f>416702988-8</f>
        <v>416702980</v>
      </c>
      <c r="E203" s="743">
        <v>416702988</v>
      </c>
      <c r="F203" s="756">
        <v>67048598.016500011</v>
      </c>
      <c r="G203" s="743">
        <v>262792026.65849999</v>
      </c>
      <c r="H203" s="756">
        <f t="shared" si="39"/>
        <v>208351494</v>
      </c>
      <c r="I203" s="45">
        <f t="shared" si="37"/>
        <v>54440532.658499986</v>
      </c>
      <c r="J203" s="333">
        <f t="shared" si="38"/>
        <v>0.26129177964281836</v>
      </c>
      <c r="K203" s="398">
        <f t="shared" si="36"/>
        <v>416702980</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f t="shared" si="39"/>
        <v>0</v>
      </c>
      <c r="I204" s="45">
        <f t="shared" si="37"/>
        <v>0</v>
      </c>
      <c r="J204" s="333" t="str">
        <f t="shared" si="38"/>
        <v/>
      </c>
      <c r="K204" s="398">
        <f t="shared" si="36"/>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f t="shared" si="39"/>
        <v>0</v>
      </c>
      <c r="I205" s="45">
        <f t="shared" si="37"/>
        <v>0</v>
      </c>
      <c r="J205" s="333" t="str">
        <f t="shared" si="38"/>
        <v/>
      </c>
      <c r="K205" s="398">
        <f t="shared" si="36"/>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f t="shared" ref="H199:H208" si="40">E206/12*5</f>
        <v>0</v>
      </c>
      <c r="I206" s="45">
        <f t="shared" si="37"/>
        <v>0</v>
      </c>
      <c r="J206" s="333" t="str">
        <f t="shared" si="38"/>
        <v/>
      </c>
      <c r="K206" s="398">
        <f t="shared" si="36"/>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f t="shared" si="40"/>
        <v>0</v>
      </c>
      <c r="I207" s="45">
        <f t="shared" si="37"/>
        <v>0</v>
      </c>
      <c r="J207" s="333" t="str">
        <f t="shared" si="38"/>
        <v/>
      </c>
      <c r="K207" s="398">
        <f t="shared" si="36"/>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f t="shared" si="40"/>
        <v>0</v>
      </c>
      <c r="I208" s="45">
        <f t="shared" si="37"/>
        <v>0</v>
      </c>
      <c r="J208" s="333" t="str">
        <f t="shared" si="38"/>
        <v/>
      </c>
      <c r="K208" s="398">
        <f t="shared" si="36"/>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41">SUM(C210:C219)</f>
        <v>37743513.567000002</v>
      </c>
      <c r="D209" s="447">
        <f t="shared" si="41"/>
        <v>62247496</v>
      </c>
      <c r="E209" s="444">
        <f>SUM(E210:E219)</f>
        <v>62247496</v>
      </c>
      <c r="F209" s="446">
        <f t="shared" si="41"/>
        <v>352977.69949999987</v>
      </c>
      <c r="G209" s="444">
        <f t="shared" si="41"/>
        <v>9314713.0865000002</v>
      </c>
      <c r="H209" s="446">
        <f t="shared" si="41"/>
        <v>31123748</v>
      </c>
      <c r="I209" s="45">
        <f t="shared" si="37"/>
        <v>-21809034.9135</v>
      </c>
      <c r="J209" s="333">
        <f t="shared" si="38"/>
        <v>-0.70072007116559354</v>
      </c>
      <c r="K209" s="445">
        <f t="shared" si="41"/>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42">E210/12*6</f>
        <v>0</v>
      </c>
      <c r="I210" s="45">
        <f t="shared" si="37"/>
        <v>0</v>
      </c>
      <c r="J210" s="333" t="str">
        <f t="shared" si="38"/>
        <v/>
      </c>
      <c r="K210" s="398">
        <f t="shared" ref="K210:K219" si="43">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42"/>
        <v>0</v>
      </c>
      <c r="I211" s="45">
        <f t="shared" si="37"/>
        <v>0</v>
      </c>
      <c r="J211" s="333" t="str">
        <f t="shared" si="38"/>
        <v/>
      </c>
      <c r="K211" s="398">
        <f t="shared" si="43"/>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42"/>
        <v>0</v>
      </c>
      <c r="I212" s="45">
        <f t="shared" si="37"/>
        <v>0</v>
      </c>
      <c r="J212" s="333" t="str">
        <f t="shared" si="38"/>
        <v/>
      </c>
      <c r="K212" s="398">
        <f t="shared" si="43"/>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42"/>
        <v>0</v>
      </c>
      <c r="I213" s="45">
        <f t="shared" si="37"/>
        <v>0</v>
      </c>
      <c r="J213" s="333" t="str">
        <f t="shared" si="38"/>
        <v/>
      </c>
      <c r="K213" s="398">
        <f t="shared" si="43"/>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62247496</v>
      </c>
      <c r="F214" s="475">
        <v>352977.69949999987</v>
      </c>
      <c r="G214" s="387">
        <v>9314713.0865000002</v>
      </c>
      <c r="H214" s="387">
        <f t="shared" si="42"/>
        <v>31123748</v>
      </c>
      <c r="I214" s="45">
        <f t="shared" si="37"/>
        <v>-21809034.9135</v>
      </c>
      <c r="J214" s="333">
        <f t="shared" si="38"/>
        <v>-0.70072007116559354</v>
      </c>
      <c r="K214" s="398">
        <f t="shared" si="43"/>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42"/>
        <v>0</v>
      </c>
      <c r="I215" s="45">
        <f t="shared" si="37"/>
        <v>0</v>
      </c>
      <c r="J215" s="333" t="str">
        <f t="shared" si="38"/>
        <v/>
      </c>
      <c r="K215" s="398">
        <f t="shared" si="43"/>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42"/>
        <v>0</v>
      </c>
      <c r="I216" s="45">
        <f t="shared" si="37"/>
        <v>0</v>
      </c>
      <c r="J216" s="333" t="str">
        <f t="shared" si="38"/>
        <v/>
      </c>
      <c r="K216" s="398">
        <f t="shared" si="43"/>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42"/>
        <v>0</v>
      </c>
      <c r="I217" s="45">
        <f t="shared" si="37"/>
        <v>0</v>
      </c>
      <c r="J217" s="333" t="str">
        <f t="shared" si="38"/>
        <v/>
      </c>
      <c r="K217" s="398">
        <f t="shared" si="43"/>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42"/>
        <v>0</v>
      </c>
      <c r="I218" s="45">
        <f t="shared" si="37"/>
        <v>0</v>
      </c>
      <c r="J218" s="333" t="str">
        <f t="shared" si="38"/>
        <v/>
      </c>
      <c r="K218" s="398">
        <f t="shared" si="43"/>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42"/>
        <v>0</v>
      </c>
      <c r="I219" s="45">
        <f t="shared" si="37"/>
        <v>0</v>
      </c>
      <c r="J219" s="333" t="str">
        <f t="shared" si="38"/>
        <v/>
      </c>
      <c r="K219" s="398">
        <f t="shared" si="43"/>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44">SUM(C221:C230)</f>
        <v>36671076.902499996</v>
      </c>
      <c r="D220" s="447">
        <f t="shared" si="44"/>
        <v>91500792</v>
      </c>
      <c r="E220" s="444">
        <f t="shared" si="44"/>
        <v>85000796</v>
      </c>
      <c r="F220" s="446">
        <f t="shared" si="44"/>
        <v>6664020.8855000008</v>
      </c>
      <c r="G220" s="444">
        <f t="shared" si="44"/>
        <v>14743900.921500001</v>
      </c>
      <c r="H220" s="446">
        <f t="shared" si="44"/>
        <v>42500398</v>
      </c>
      <c r="I220" s="45">
        <f t="shared" si="37"/>
        <v>-27756497.078499999</v>
      </c>
      <c r="J220" s="333">
        <f t="shared" si="38"/>
        <v>-0.65308793292947509</v>
      </c>
      <c r="K220" s="445">
        <f t="shared" si="44"/>
        <v>85000796</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45">E221/12*6</f>
        <v>0</v>
      </c>
      <c r="I221" s="45">
        <f t="shared" si="37"/>
        <v>0</v>
      </c>
      <c r="J221" s="333" t="str">
        <f t="shared" si="38"/>
        <v/>
      </c>
      <c r="K221" s="398">
        <f t="shared" ref="K221:K230" si="46">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61184496</v>
      </c>
      <c r="F222" s="387">
        <v>5662705.1445000004</v>
      </c>
      <c r="G222" s="387">
        <v>10141707.377</v>
      </c>
      <c r="H222" s="387">
        <f t="shared" si="45"/>
        <v>30592248</v>
      </c>
      <c r="I222" s="45">
        <f t="shared" si="37"/>
        <v>-20450540.623</v>
      </c>
      <c r="J222" s="333">
        <f t="shared" si="38"/>
        <v>-0.66848767122311503</v>
      </c>
      <c r="K222" s="398">
        <f t="shared" si="46"/>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387">
        <f t="shared" si="45"/>
        <v>0</v>
      </c>
      <c r="I223" s="45">
        <f t="shared" si="37"/>
        <v>0</v>
      </c>
      <c r="J223" s="333" t="str">
        <f t="shared" si="38"/>
        <v/>
      </c>
      <c r="K223" s="398">
        <f t="shared" si="46"/>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4">
        <v>0</v>
      </c>
      <c r="D224" s="386">
        <v>0</v>
      </c>
      <c r="E224" s="387">
        <v>0</v>
      </c>
      <c r="F224" s="387">
        <v>0</v>
      </c>
      <c r="G224" s="387">
        <v>0</v>
      </c>
      <c r="H224" s="387">
        <f t="shared" si="45"/>
        <v>0</v>
      </c>
      <c r="I224" s="45">
        <f t="shared" si="37"/>
        <v>0</v>
      </c>
      <c r="J224" s="333" t="str">
        <f t="shared" si="38"/>
        <v/>
      </c>
      <c r="K224" s="398">
        <f t="shared" si="46"/>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2642400</v>
      </c>
      <c r="F225" s="387">
        <v>0</v>
      </c>
      <c r="G225" s="387">
        <v>0</v>
      </c>
      <c r="H225" s="387">
        <f t="shared" si="45"/>
        <v>1321200</v>
      </c>
      <c r="I225" s="45">
        <f t="shared" si="37"/>
        <v>-1321200</v>
      </c>
      <c r="J225" s="333">
        <f t="shared" si="38"/>
        <v>-1</v>
      </c>
      <c r="K225" s="398">
        <f t="shared" si="46"/>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387">
        <f t="shared" si="45"/>
        <v>0</v>
      </c>
      <c r="I226" s="45">
        <f t="shared" si="37"/>
        <v>0</v>
      </c>
      <c r="J226" s="333" t="str">
        <f t="shared" si="38"/>
        <v/>
      </c>
      <c r="K226" s="398">
        <f t="shared" si="46"/>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387">
        <f t="shared" si="45"/>
        <v>0</v>
      </c>
      <c r="I227" s="45">
        <f t="shared" si="37"/>
        <v>0</v>
      </c>
      <c r="J227" s="333" t="str">
        <f t="shared" si="38"/>
        <v/>
      </c>
      <c r="K227" s="398">
        <f t="shared" si="46"/>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387">
        <f t="shared" si="45"/>
        <v>0</v>
      </c>
      <c r="I228" s="45">
        <f t="shared" si="37"/>
        <v>0</v>
      </c>
      <c r="J228" s="333" t="str">
        <f t="shared" si="38"/>
        <v/>
      </c>
      <c r="K228" s="398">
        <f t="shared" si="46"/>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3">
        <v>19378400</v>
      </c>
      <c r="D229" s="386">
        <v>19378404</v>
      </c>
      <c r="E229" s="387">
        <v>12878408</v>
      </c>
      <c r="F229" s="387">
        <v>166750</v>
      </c>
      <c r="G229" s="387">
        <v>2198257.9819999998</v>
      </c>
      <c r="H229" s="387">
        <f t="shared" si="45"/>
        <v>6439204</v>
      </c>
      <c r="I229" s="45">
        <f t="shared" si="37"/>
        <v>-4240946.0180000002</v>
      </c>
      <c r="J229" s="333">
        <f t="shared" si="38"/>
        <v>-0.65861339662480023</v>
      </c>
      <c r="K229" s="398">
        <f>E229</f>
        <v>12878408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8295492</v>
      </c>
      <c r="F230" s="387">
        <v>834565.74100000004</v>
      </c>
      <c r="G230" s="387">
        <v>2403935.5625</v>
      </c>
      <c r="H230" s="387">
        <f t="shared" si="45"/>
        <v>4147746</v>
      </c>
      <c r="I230" s="45">
        <f t="shared" si="37"/>
        <v>-1743810.4375</v>
      </c>
      <c r="J230" s="333">
        <f t="shared" si="38"/>
        <v>-0.42042363189549214</v>
      </c>
      <c r="K230" s="398">
        <f t="shared" si="46"/>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47">SUM(C232:C241)</f>
        <v>7522609.7239999995</v>
      </c>
      <c r="D231" s="447">
        <f t="shared" si="47"/>
        <v>8639076</v>
      </c>
      <c r="E231" s="444">
        <f t="shared" si="47"/>
        <v>8639076</v>
      </c>
      <c r="F231" s="446">
        <f t="shared" si="47"/>
        <v>0</v>
      </c>
      <c r="G231" s="444">
        <f t="shared" si="47"/>
        <v>180737.16250000001</v>
      </c>
      <c r="H231" s="446">
        <f t="shared" si="47"/>
        <v>4319538</v>
      </c>
      <c r="I231" s="45">
        <f t="shared" si="37"/>
        <v>-4138800.8374999999</v>
      </c>
      <c r="J231" s="333">
        <f t="shared" si="38"/>
        <v>-0.95815821911972987</v>
      </c>
      <c r="K231" s="445">
        <f t="shared" si="47"/>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3461592</v>
      </c>
      <c r="F232" s="387"/>
      <c r="G232" s="387">
        <v>149017</v>
      </c>
      <c r="H232" s="475">
        <f t="shared" ref="H232:H241" si="48">E232/12*6</f>
        <v>1730796</v>
      </c>
      <c r="I232" s="45">
        <f t="shared" si="37"/>
        <v>-1581779</v>
      </c>
      <c r="J232" s="333">
        <f t="shared" si="38"/>
        <v>-0.91390262052835802</v>
      </c>
      <c r="K232" s="398">
        <f t="shared" ref="K232:K241" si="49">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48"/>
        <v>0</v>
      </c>
      <c r="I233" s="45">
        <f t="shared" si="37"/>
        <v>0</v>
      </c>
      <c r="J233" s="333" t="str">
        <f t="shared" si="38"/>
        <v/>
      </c>
      <c r="K233" s="398">
        <f t="shared" si="49"/>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48"/>
        <v>0</v>
      </c>
      <c r="I234" s="45">
        <f t="shared" si="37"/>
        <v>0</v>
      </c>
      <c r="J234" s="333" t="str">
        <f t="shared" si="38"/>
        <v/>
      </c>
      <c r="K234" s="398">
        <f t="shared" si="49"/>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48"/>
        <v>0</v>
      </c>
      <c r="I235" s="45">
        <f t="shared" si="37"/>
        <v>0</v>
      </c>
      <c r="J235" s="333" t="str">
        <f t="shared" si="38"/>
        <v/>
      </c>
      <c r="K235" s="398">
        <f t="shared" si="49"/>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0</v>
      </c>
      <c r="H236" s="475">
        <f t="shared" si="48"/>
        <v>0</v>
      </c>
      <c r="I236" s="45">
        <f t="shared" si="37"/>
        <v>0</v>
      </c>
      <c r="J236" s="333" t="str">
        <f t="shared" si="38"/>
        <v/>
      </c>
      <c r="K236" s="398">
        <f t="shared" si="49"/>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2">
        <v>0</v>
      </c>
      <c r="D237" s="386">
        <v>2450748</v>
      </c>
      <c r="E237" s="387">
        <v>2450748</v>
      </c>
      <c r="F237" s="387">
        <v>0</v>
      </c>
      <c r="G237" s="387">
        <v>0</v>
      </c>
      <c r="H237" s="475">
        <f t="shared" si="48"/>
        <v>1225374</v>
      </c>
      <c r="I237" s="45">
        <f t="shared" si="37"/>
        <v>-1225374</v>
      </c>
      <c r="J237" s="333">
        <f t="shared" si="38"/>
        <v>-1</v>
      </c>
      <c r="K237" s="398">
        <f t="shared" si="49"/>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48"/>
        <v>0</v>
      </c>
      <c r="I238" s="45">
        <f t="shared" si="37"/>
        <v>0</v>
      </c>
      <c r="J238" s="333" t="str">
        <f t="shared" si="38"/>
        <v/>
      </c>
      <c r="K238" s="398">
        <f t="shared" si="49"/>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2726736</v>
      </c>
      <c r="F239" s="387"/>
      <c r="G239" s="387">
        <v>31720.162499999999</v>
      </c>
      <c r="H239" s="475">
        <f t="shared" si="48"/>
        <v>1363368</v>
      </c>
      <c r="I239" s="45">
        <f t="shared" si="37"/>
        <v>-1331647.8374999999</v>
      </c>
      <c r="J239" s="333">
        <f t="shared" si="38"/>
        <v>-0.97673396874504892</v>
      </c>
      <c r="K239" s="398">
        <f t="shared" si="49"/>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48"/>
        <v>0</v>
      </c>
      <c r="I240" s="45">
        <f t="shared" si="37"/>
        <v>0</v>
      </c>
      <c r="J240" s="333" t="str">
        <f t="shared" si="38"/>
        <v/>
      </c>
      <c r="K240" s="398">
        <f t="shared" si="49"/>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48"/>
        <v>0</v>
      </c>
      <c r="I241" s="45">
        <f t="shared" si="37"/>
        <v>0</v>
      </c>
      <c r="J241" s="333" t="str">
        <f t="shared" si="38"/>
        <v/>
      </c>
      <c r="K241" s="398">
        <f t="shared" si="49"/>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50">SUM(C243:C252)</f>
        <v>56161480.259999841</v>
      </c>
      <c r="D242" s="447">
        <f t="shared" si="50"/>
        <v>64268004</v>
      </c>
      <c r="E242" s="444">
        <f t="shared" si="50"/>
        <v>55000008</v>
      </c>
      <c r="F242" s="446">
        <f t="shared" si="50"/>
        <v>2075304.5245000001</v>
      </c>
      <c r="G242" s="444">
        <f t="shared" si="50"/>
        <v>14119024.467</v>
      </c>
      <c r="H242" s="446">
        <f t="shared" si="50"/>
        <v>27500004</v>
      </c>
      <c r="I242" s="45">
        <f t="shared" si="37"/>
        <v>-13380979.533</v>
      </c>
      <c r="J242" s="333">
        <f t="shared" si="38"/>
        <v>-0.4865810031518541</v>
      </c>
      <c r="K242" s="445">
        <f t="shared" si="50"/>
        <v>55000008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51">E243/12*6</f>
        <v>0</v>
      </c>
      <c r="I243" s="45">
        <f t="shared" si="37"/>
        <v>0</v>
      </c>
      <c r="J243" s="333" t="str">
        <f t="shared" si="38"/>
        <v/>
      </c>
      <c r="K243" s="398">
        <f t="shared" ref="K243:K251" si="52">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14000004</v>
      </c>
      <c r="F244" s="387">
        <v>0</v>
      </c>
      <c r="G244" s="387">
        <v>10228265.2205</v>
      </c>
      <c r="H244" s="387">
        <f t="shared" si="51"/>
        <v>7000002</v>
      </c>
      <c r="I244" s="45">
        <f t="shared" si="37"/>
        <v>3228263.2204999998</v>
      </c>
      <c r="J244" s="333">
        <f t="shared" si="38"/>
        <v>0.46118032830562045</v>
      </c>
      <c r="K244" s="398">
        <v>14000004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51"/>
        <v>0</v>
      </c>
      <c r="I245" s="45">
        <f t="shared" si="37"/>
        <v>0</v>
      </c>
      <c r="J245" s="333" t="str">
        <f t="shared" si="38"/>
        <v/>
      </c>
      <c r="K245" s="398">
        <f t="shared" si="52"/>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v>2075304.5245000001</v>
      </c>
      <c r="G246" s="387">
        <v>3890759.2464999994</v>
      </c>
      <c r="H246" s="387">
        <f t="shared" si="51"/>
        <v>25000002</v>
      </c>
      <c r="I246" s="45">
        <f t="shared" si="37"/>
        <v>-21109242.7535</v>
      </c>
      <c r="J246" s="333">
        <f t="shared" si="38"/>
        <v>-0.84436964259042857</v>
      </c>
      <c r="K246" s="398">
        <f t="shared" si="52"/>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f t="shared" si="51"/>
        <v>0</v>
      </c>
      <c r="I247" s="45">
        <f t="shared" si="37"/>
        <v>0</v>
      </c>
      <c r="J247" s="333" t="str">
        <f t="shared" si="38"/>
        <v/>
      </c>
      <c r="K247" s="398">
        <f t="shared" si="52"/>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51"/>
        <v>0</v>
      </c>
      <c r="I248" s="45">
        <f t="shared" si="37"/>
        <v>0</v>
      </c>
      <c r="J248" s="333" t="str">
        <f t="shared" si="38"/>
        <v/>
      </c>
      <c r="K248" s="398">
        <f t="shared" si="52"/>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51"/>
        <v>0</v>
      </c>
      <c r="I249" s="45">
        <f t="shared" si="37"/>
        <v>0</v>
      </c>
      <c r="J249" s="333" t="str">
        <f t="shared" si="38"/>
        <v/>
      </c>
      <c r="K249" s="398">
        <f t="shared" si="52"/>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51"/>
        <v>0</v>
      </c>
      <c r="I250" s="45">
        <f t="shared" si="37"/>
        <v>0</v>
      </c>
      <c r="J250" s="333" t="str">
        <f t="shared" si="38"/>
        <v/>
      </c>
      <c r="K250" s="398">
        <f t="shared" si="52"/>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51"/>
        <v>0</v>
      </c>
      <c r="I251" s="45">
        <f t="shared" si="37"/>
        <v>0</v>
      </c>
      <c r="J251" s="333" t="str">
        <f t="shared" si="38"/>
        <v/>
      </c>
      <c r="K251" s="398">
        <f t="shared" si="52"/>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 t="shared" si="51"/>
        <v>-4500000</v>
      </c>
      <c r="I252" s="45">
        <f t="shared" si="37"/>
        <v>4500000</v>
      </c>
      <c r="J252" s="333">
        <f t="shared" si="38"/>
        <v>-1</v>
      </c>
      <c r="K252" s="398">
        <f>E252</f>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53">SUM(C254:C263)</f>
        <v>19426325.331500001</v>
      </c>
      <c r="D253" s="447">
        <f t="shared" si="53"/>
        <v>44884000</v>
      </c>
      <c r="E253" s="444">
        <f t="shared" si="53"/>
        <v>40808008</v>
      </c>
      <c r="F253" s="446">
        <f t="shared" si="53"/>
        <v>0</v>
      </c>
      <c r="G253" s="444">
        <f t="shared" si="53"/>
        <v>419946.38549999997</v>
      </c>
      <c r="H253" s="446">
        <f t="shared" si="53"/>
        <v>20404004</v>
      </c>
      <c r="I253" s="45">
        <f t="shared" si="37"/>
        <v>-19984057.614500001</v>
      </c>
      <c r="J253" s="333">
        <f t="shared" si="38"/>
        <v>-0.97941843250471827</v>
      </c>
      <c r="K253" s="445">
        <f t="shared" si="53"/>
        <v>40807992</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 t="shared" ref="H254:H263" si="54">E254/12*6</f>
        <v>0</v>
      </c>
      <c r="I254" s="45">
        <f t="shared" si="37"/>
        <v>0</v>
      </c>
      <c r="J254" s="333" t="str">
        <f t="shared" si="38"/>
        <v/>
      </c>
      <c r="K254" s="398">
        <f t="shared" ref="K254:K263" si="55">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25969492</v>
      </c>
      <c r="F255" s="387"/>
      <c r="G255" s="387">
        <v>0</v>
      </c>
      <c r="H255" s="387">
        <f t="shared" si="54"/>
        <v>12984746</v>
      </c>
      <c r="I255" s="45">
        <f t="shared" si="37"/>
        <v>-12984746</v>
      </c>
      <c r="J255" s="333">
        <f t="shared" si="38"/>
        <v>-1</v>
      </c>
      <c r="K255" s="398">
        <f>E255</f>
        <v>25969492</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12238512</v>
      </c>
      <c r="F256" s="387"/>
      <c r="G256" s="387">
        <v>419946.38549999997</v>
      </c>
      <c r="H256" s="387">
        <f t="shared" si="54"/>
        <v>6119256</v>
      </c>
      <c r="I256" s="45">
        <f t="shared" si="37"/>
        <v>-5699309.6145000001</v>
      </c>
      <c r="J256" s="333">
        <f t="shared" si="38"/>
        <v>-0.93137296666457492</v>
      </c>
      <c r="K256" s="398">
        <f t="shared" si="55"/>
        <v>12238500</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2600004</v>
      </c>
      <c r="F257" s="387">
        <v>0</v>
      </c>
      <c r="G257" s="387">
        <v>0</v>
      </c>
      <c r="H257" s="387">
        <f t="shared" si="54"/>
        <v>1300002</v>
      </c>
      <c r="I257" s="45">
        <f t="shared" si="37"/>
        <v>-1300002</v>
      </c>
      <c r="J257" s="333">
        <f t="shared" si="38"/>
        <v>-1</v>
      </c>
      <c r="K257" s="398">
        <f t="shared" si="55"/>
        <v>2600000</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54"/>
        <v>0</v>
      </c>
      <c r="I258" s="45">
        <f t="shared" si="37"/>
        <v>0</v>
      </c>
      <c r="J258" s="333" t="str">
        <f t="shared" si="38"/>
        <v/>
      </c>
      <c r="K258" s="398">
        <f t="shared" si="55"/>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 t="shared" si="54"/>
        <v>0</v>
      </c>
      <c r="I259" s="45">
        <f t="shared" si="37"/>
        <v>0</v>
      </c>
      <c r="J259" s="333" t="str">
        <f t="shared" si="38"/>
        <v/>
      </c>
      <c r="K259" s="398">
        <f t="shared" si="55"/>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 t="shared" si="54"/>
        <v>0</v>
      </c>
      <c r="I260" s="45">
        <f t="shared" si="37"/>
        <v>0</v>
      </c>
      <c r="J260" s="333" t="str">
        <f t="shared" si="38"/>
        <v/>
      </c>
      <c r="K260" s="398">
        <f t="shared" si="55"/>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 t="shared" si="54"/>
        <v>0</v>
      </c>
      <c r="I261" s="45">
        <f t="shared" si="37"/>
        <v>0</v>
      </c>
      <c r="J261" s="333" t="str">
        <f t="shared" si="38"/>
        <v/>
      </c>
      <c r="K261" s="398">
        <f t="shared" si="55"/>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 t="shared" si="54"/>
        <v>0</v>
      </c>
      <c r="I262" s="45">
        <f t="shared" si="37"/>
        <v>0</v>
      </c>
      <c r="J262" s="333" t="str">
        <f t="shared" si="38"/>
        <v/>
      </c>
      <c r="K262" s="398">
        <f t="shared" si="55"/>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 t="shared" si="54"/>
        <v>0</v>
      </c>
      <c r="I263" s="45">
        <f t="shared" si="37"/>
        <v>0</v>
      </c>
      <c r="J263" s="333" t="str">
        <f t="shared" si="38"/>
        <v/>
      </c>
      <c r="K263" s="398">
        <f t="shared" si="55"/>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56">SUM(C265:C274)</f>
        <v>51981524.6765</v>
      </c>
      <c r="D264" s="447">
        <f t="shared" si="56"/>
        <v>6500000</v>
      </c>
      <c r="E264" s="444">
        <f t="shared" si="56"/>
        <v>6500000</v>
      </c>
      <c r="F264" s="446">
        <f t="shared" si="56"/>
        <v>1137990.1244999999</v>
      </c>
      <c r="G264" s="444">
        <f t="shared" si="56"/>
        <v>1515661.1184999999</v>
      </c>
      <c r="H264" s="446">
        <f t="shared" si="56"/>
        <v>3250000</v>
      </c>
      <c r="I264" s="45">
        <f t="shared" ref="I264:I327" si="57">G264-H264</f>
        <v>-1734338.8815000001</v>
      </c>
      <c r="J264" s="333">
        <f t="shared" ref="J264:J327" si="58">IF(I264=0,"",I264/H264)</f>
        <v>-0.5336427327692308</v>
      </c>
      <c r="K264" s="445">
        <f t="shared" si="56"/>
        <v>6500000</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59">E265/12*6</f>
        <v>0</v>
      </c>
      <c r="I265" s="45">
        <f t="shared" si="57"/>
        <v>0</v>
      </c>
      <c r="J265" s="333" t="str">
        <f t="shared" si="58"/>
        <v/>
      </c>
      <c r="K265" s="398">
        <f t="shared" ref="K265:K274" si="60">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59"/>
        <v>0</v>
      </c>
      <c r="I266" s="45">
        <f t="shared" si="57"/>
        <v>0</v>
      </c>
      <c r="J266" s="333" t="str">
        <f t="shared" si="58"/>
        <v/>
      </c>
      <c r="K266" s="398">
        <f t="shared" si="60"/>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1">
        <v>0</v>
      </c>
      <c r="D267" s="386">
        <v>0</v>
      </c>
      <c r="E267" s="387">
        <v>0</v>
      </c>
      <c r="F267" s="387">
        <v>0</v>
      </c>
      <c r="G267" s="387">
        <v>0</v>
      </c>
      <c r="H267" s="475">
        <f t="shared" si="59"/>
        <v>0</v>
      </c>
      <c r="I267" s="45">
        <f t="shared" si="57"/>
        <v>0</v>
      </c>
      <c r="J267" s="333" t="str">
        <f t="shared" si="58"/>
        <v/>
      </c>
      <c r="K267" s="398">
        <f t="shared" si="60"/>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6500000</v>
      </c>
      <c r="F268" s="387">
        <v>1137990.1244999999</v>
      </c>
      <c r="G268" s="387">
        <v>1515661.1184999999</v>
      </c>
      <c r="H268" s="387">
        <f t="shared" si="59"/>
        <v>3250000</v>
      </c>
      <c r="I268" s="45">
        <f t="shared" si="57"/>
        <v>-1734338.8815000001</v>
      </c>
      <c r="J268" s="333">
        <f t="shared" si="58"/>
        <v>-0.5336427327692308</v>
      </c>
      <c r="K268" s="398">
        <f t="shared" si="60"/>
        <v>6500000</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59"/>
        <v>0</v>
      </c>
      <c r="I269" s="45">
        <f t="shared" si="57"/>
        <v>0</v>
      </c>
      <c r="J269" s="333" t="str">
        <f t="shared" si="58"/>
        <v/>
      </c>
      <c r="K269" s="398">
        <f t="shared" si="60"/>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59"/>
        <v>0</v>
      </c>
      <c r="I270" s="45">
        <f t="shared" si="57"/>
        <v>0</v>
      </c>
      <c r="J270" s="333" t="str">
        <f t="shared" si="58"/>
        <v/>
      </c>
      <c r="K270" s="398">
        <f t="shared" si="60"/>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59"/>
        <v>0</v>
      </c>
      <c r="I271" s="45">
        <f t="shared" si="57"/>
        <v>0</v>
      </c>
      <c r="J271" s="333" t="str">
        <f t="shared" si="58"/>
        <v/>
      </c>
      <c r="K271" s="398">
        <f t="shared" si="60"/>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59"/>
        <v>0</v>
      </c>
      <c r="I272" s="45">
        <f t="shared" si="57"/>
        <v>0</v>
      </c>
      <c r="J272" s="333" t="str">
        <f t="shared" si="58"/>
        <v/>
      </c>
      <c r="K272" s="398">
        <f t="shared" si="60"/>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59"/>
        <v>0</v>
      </c>
      <c r="I273" s="45">
        <f t="shared" si="57"/>
        <v>0</v>
      </c>
      <c r="J273" s="333" t="str">
        <f t="shared" si="58"/>
        <v/>
      </c>
      <c r="K273" s="398">
        <f t="shared" si="60"/>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59"/>
        <v>0</v>
      </c>
      <c r="I274" s="45">
        <f t="shared" si="57"/>
        <v>0</v>
      </c>
      <c r="J274" s="333" t="str">
        <f t="shared" si="58"/>
        <v/>
      </c>
      <c r="K274" s="398">
        <f t="shared" si="60"/>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61">SUM(C276:C285)</f>
        <v>522612346.71286905</v>
      </c>
      <c r="D275" s="447">
        <f t="shared" si="61"/>
        <v>681486000</v>
      </c>
      <c r="E275" s="444">
        <f t="shared" si="61"/>
        <v>663311080</v>
      </c>
      <c r="F275" s="446">
        <f t="shared" si="61"/>
        <v>24756206.699000001</v>
      </c>
      <c r="G275" s="444">
        <f t="shared" si="61"/>
        <v>98193048.218000025</v>
      </c>
      <c r="H275" s="446">
        <f t="shared" si="61"/>
        <v>331655540</v>
      </c>
      <c r="I275" s="45">
        <f t="shared" si="57"/>
        <v>-233462491.78199998</v>
      </c>
      <c r="J275" s="333">
        <f t="shared" si="58"/>
        <v>-0.70393062567867848</v>
      </c>
      <c r="K275" s="445">
        <f>SUM(K276:K285)</f>
        <v>663311080</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503878072</v>
      </c>
      <c r="F276" s="475">
        <v>19612132.338</v>
      </c>
      <c r="G276" s="387">
        <v>77717003.783500016</v>
      </c>
      <c r="H276" s="387">
        <f t="shared" ref="H276:H285" si="62">E276/12*6</f>
        <v>251939036</v>
      </c>
      <c r="I276" s="45">
        <f t="shared" si="57"/>
        <v>-174222032.21649998</v>
      </c>
      <c r="J276" s="333">
        <f t="shared" si="58"/>
        <v>-0.69152456476216728</v>
      </c>
      <c r="K276" s="398">
        <f>E276</f>
        <v>503878072</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159433008</v>
      </c>
      <c r="F277" s="387">
        <v>5144074.3609999996</v>
      </c>
      <c r="G277" s="387">
        <v>20476044.434500001</v>
      </c>
      <c r="H277" s="387">
        <f t="shared" si="62"/>
        <v>79716504</v>
      </c>
      <c r="I277" s="45">
        <f t="shared" si="57"/>
        <v>-59240459.565499999</v>
      </c>
      <c r="J277" s="333">
        <f t="shared" si="58"/>
        <v>-0.7431392069765127</v>
      </c>
      <c r="K277" s="398">
        <f>E277</f>
        <v>159433008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387">
        <f t="shared" si="62"/>
        <v>0</v>
      </c>
      <c r="I278" s="45">
        <f t="shared" si="57"/>
        <v>0</v>
      </c>
      <c r="J278" s="333" t="str">
        <f t="shared" si="58"/>
        <v/>
      </c>
      <c r="K278" s="398">
        <f t="shared" ref="K278:K285" si="63">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387">
        <f t="shared" si="62"/>
        <v>0</v>
      </c>
      <c r="I279" s="45">
        <f t="shared" si="57"/>
        <v>0</v>
      </c>
      <c r="J279" s="333" t="str">
        <f t="shared" si="58"/>
        <v/>
      </c>
      <c r="K279" s="398">
        <f t="shared" si="63"/>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387">
        <f t="shared" si="62"/>
        <v>0</v>
      </c>
      <c r="I280" s="45">
        <f t="shared" si="57"/>
        <v>0</v>
      </c>
      <c r="J280" s="333" t="str">
        <f t="shared" si="58"/>
        <v/>
      </c>
      <c r="K280" s="398">
        <f t="shared" si="63"/>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387">
        <f t="shared" si="62"/>
        <v>0</v>
      </c>
      <c r="I281" s="45">
        <f t="shared" si="57"/>
        <v>0</v>
      </c>
      <c r="J281" s="333" t="str">
        <f t="shared" si="58"/>
        <v/>
      </c>
      <c r="K281" s="398">
        <f t="shared" si="63"/>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387">
        <f t="shared" si="62"/>
        <v>0</v>
      </c>
      <c r="I282" s="45">
        <f t="shared" si="57"/>
        <v>0</v>
      </c>
      <c r="J282" s="333" t="str">
        <f t="shared" si="58"/>
        <v/>
      </c>
      <c r="K282" s="398">
        <f t="shared" si="63"/>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387">
        <f t="shared" si="62"/>
        <v>0</v>
      </c>
      <c r="I283" s="45">
        <f t="shared" si="57"/>
        <v>0</v>
      </c>
      <c r="J283" s="333" t="str">
        <f t="shared" si="58"/>
        <v/>
      </c>
      <c r="K283" s="398">
        <f t="shared" si="63"/>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387">
        <f t="shared" si="62"/>
        <v>0</v>
      </c>
      <c r="I284" s="45">
        <f t="shared" si="57"/>
        <v>0</v>
      </c>
      <c r="J284" s="333" t="str">
        <f t="shared" si="58"/>
        <v/>
      </c>
      <c r="K284" s="398">
        <f t="shared" si="63"/>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387">
        <f t="shared" si="62"/>
        <v>0</v>
      </c>
      <c r="I285" s="45">
        <f t="shared" si="57"/>
        <v>0</v>
      </c>
      <c r="J285" s="333" t="str">
        <f t="shared" si="58"/>
        <v/>
      </c>
      <c r="K285" s="398">
        <f t="shared" si="63"/>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64">SUM(C287:C296)</f>
        <v>0</v>
      </c>
      <c r="D286" s="447">
        <f t="shared" si="64"/>
        <v>0</v>
      </c>
      <c r="E286" s="444">
        <f t="shared" si="64"/>
        <v>0</v>
      </c>
      <c r="F286" s="446">
        <f t="shared" si="64"/>
        <v>0</v>
      </c>
      <c r="G286" s="444">
        <f t="shared" si="64"/>
        <v>0</v>
      </c>
      <c r="H286" s="446">
        <f t="shared" si="64"/>
        <v>0</v>
      </c>
      <c r="I286" s="45">
        <f t="shared" si="57"/>
        <v>0</v>
      </c>
      <c r="J286" s="333" t="str">
        <f t="shared" si="58"/>
        <v/>
      </c>
      <c r="K286" s="445">
        <f t="shared" si="64"/>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475">
        <v>0</v>
      </c>
      <c r="I287" s="45">
        <f t="shared" si="57"/>
        <v>0</v>
      </c>
      <c r="J287" s="333" t="str">
        <f t="shared" si="58"/>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475">
        <v>0</v>
      </c>
      <c r="I288" s="45">
        <f t="shared" si="57"/>
        <v>0</v>
      </c>
      <c r="J288" s="333" t="str">
        <f t="shared" si="58"/>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475">
        <v>0</v>
      </c>
      <c r="I289" s="45">
        <f t="shared" si="57"/>
        <v>0</v>
      </c>
      <c r="J289" s="333" t="str">
        <f t="shared" si="58"/>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475">
        <v>0</v>
      </c>
      <c r="I290" s="45">
        <f t="shared" si="57"/>
        <v>0</v>
      </c>
      <c r="J290" s="333" t="str">
        <f t="shared" si="58"/>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475">
        <v>0</v>
      </c>
      <c r="I291" s="45">
        <f t="shared" si="57"/>
        <v>0</v>
      </c>
      <c r="J291" s="333" t="str">
        <f t="shared" si="58"/>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475">
        <v>0</v>
      </c>
      <c r="I292" s="45">
        <f t="shared" si="57"/>
        <v>0</v>
      </c>
      <c r="J292" s="333" t="str">
        <f t="shared" si="58"/>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475">
        <v>0</v>
      </c>
      <c r="I293" s="45">
        <f t="shared" si="57"/>
        <v>0</v>
      </c>
      <c r="J293" s="333" t="str">
        <f t="shared" si="58"/>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475">
        <v>0</v>
      </c>
      <c r="I294" s="45">
        <f t="shared" si="57"/>
        <v>0</v>
      </c>
      <c r="J294" s="333" t="str">
        <f t="shared" si="58"/>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475">
        <v>0</v>
      </c>
      <c r="I295" s="45">
        <f t="shared" si="57"/>
        <v>0</v>
      </c>
      <c r="J295" s="333" t="str">
        <f t="shared" si="58"/>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475">
        <v>0</v>
      </c>
      <c r="I296" s="45">
        <f t="shared" si="57"/>
        <v>0</v>
      </c>
      <c r="J296" s="333" t="str">
        <f t="shared" si="58"/>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65">SUM(C298:C307)</f>
        <v>0</v>
      </c>
      <c r="D297" s="447">
        <f t="shared" si="65"/>
        <v>0</v>
      </c>
      <c r="E297" s="444">
        <f t="shared" si="65"/>
        <v>0</v>
      </c>
      <c r="F297" s="446">
        <f t="shared" si="65"/>
        <v>0</v>
      </c>
      <c r="G297" s="444">
        <f t="shared" si="65"/>
        <v>0</v>
      </c>
      <c r="H297" s="446">
        <f t="shared" si="65"/>
        <v>0</v>
      </c>
      <c r="I297" s="45">
        <f t="shared" si="57"/>
        <v>0</v>
      </c>
      <c r="J297" s="333" t="str">
        <f t="shared" si="58"/>
        <v/>
      </c>
      <c r="K297" s="445">
        <f t="shared" si="65"/>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v>0</v>
      </c>
      <c r="I298" s="45">
        <f t="shared" si="57"/>
        <v>0</v>
      </c>
      <c r="J298" s="333" t="str">
        <f t="shared" si="58"/>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v>0</v>
      </c>
      <c r="I299" s="45">
        <f t="shared" si="57"/>
        <v>0</v>
      </c>
      <c r="J299" s="333" t="str">
        <f t="shared" si="58"/>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v>0</v>
      </c>
      <c r="I300" s="45">
        <f t="shared" si="57"/>
        <v>0</v>
      </c>
      <c r="J300" s="333" t="str">
        <f t="shared" si="58"/>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v>0</v>
      </c>
      <c r="I301" s="45">
        <f t="shared" si="57"/>
        <v>0</v>
      </c>
      <c r="J301" s="333" t="str">
        <f t="shared" si="58"/>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v>0</v>
      </c>
      <c r="I302" s="45">
        <f t="shared" si="57"/>
        <v>0</v>
      </c>
      <c r="J302" s="333" t="str">
        <f t="shared" si="58"/>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v>0</v>
      </c>
      <c r="I303" s="45">
        <f t="shared" si="57"/>
        <v>0</v>
      </c>
      <c r="J303" s="333" t="str">
        <f t="shared" si="58"/>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v>0</v>
      </c>
      <c r="I304" s="45">
        <f t="shared" si="57"/>
        <v>0</v>
      </c>
      <c r="J304" s="333" t="str">
        <f t="shared" si="58"/>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v>0</v>
      </c>
      <c r="I305" s="45">
        <f t="shared" si="57"/>
        <v>0</v>
      </c>
      <c r="J305" s="333" t="str">
        <f t="shared" si="58"/>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v>0</v>
      </c>
      <c r="I306" s="45">
        <f t="shared" si="57"/>
        <v>0</v>
      </c>
      <c r="J306" s="333" t="str">
        <f t="shared" si="58"/>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v>0</v>
      </c>
      <c r="I307" s="45">
        <f t="shared" si="57"/>
        <v>0</v>
      </c>
      <c r="J307" s="333" t="str">
        <f t="shared" si="58"/>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66">SUM(C309:C318)</f>
        <v>0</v>
      </c>
      <c r="D308" s="447">
        <f t="shared" si="66"/>
        <v>0</v>
      </c>
      <c r="E308" s="444">
        <f t="shared" si="66"/>
        <v>0</v>
      </c>
      <c r="F308" s="446">
        <f t="shared" si="66"/>
        <v>0</v>
      </c>
      <c r="G308" s="444">
        <f t="shared" si="66"/>
        <v>0</v>
      </c>
      <c r="H308" s="446">
        <f t="shared" si="66"/>
        <v>0</v>
      </c>
      <c r="I308" s="45">
        <f t="shared" si="57"/>
        <v>0</v>
      </c>
      <c r="J308" s="333" t="str">
        <f t="shared" si="58"/>
        <v/>
      </c>
      <c r="K308" s="445">
        <f t="shared" si="66"/>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475">
        <v>0</v>
      </c>
      <c r="I309" s="45">
        <f t="shared" si="57"/>
        <v>0</v>
      </c>
      <c r="J309" s="333" t="str">
        <f t="shared" si="58"/>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475">
        <v>0</v>
      </c>
      <c r="I310" s="45">
        <f t="shared" si="57"/>
        <v>0</v>
      </c>
      <c r="J310" s="333" t="str">
        <f t="shared" si="58"/>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475">
        <v>0</v>
      </c>
      <c r="I311" s="45">
        <f t="shared" si="57"/>
        <v>0</v>
      </c>
      <c r="J311" s="333" t="str">
        <f t="shared" si="58"/>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475">
        <v>0</v>
      </c>
      <c r="I312" s="45">
        <f t="shared" si="57"/>
        <v>0</v>
      </c>
      <c r="J312" s="333" t="str">
        <f t="shared" si="58"/>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475">
        <v>0</v>
      </c>
      <c r="I313" s="45">
        <f t="shared" si="57"/>
        <v>0</v>
      </c>
      <c r="J313" s="333" t="str">
        <f t="shared" si="58"/>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475">
        <v>0</v>
      </c>
      <c r="I314" s="45">
        <f t="shared" si="57"/>
        <v>0</v>
      </c>
      <c r="J314" s="333" t="str">
        <f t="shared" si="58"/>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475">
        <v>0</v>
      </c>
      <c r="I315" s="45">
        <f t="shared" si="57"/>
        <v>0</v>
      </c>
      <c r="J315" s="333" t="str">
        <f t="shared" si="58"/>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475">
        <v>0</v>
      </c>
      <c r="I316" s="45">
        <f t="shared" si="57"/>
        <v>0</v>
      </c>
      <c r="J316" s="333" t="str">
        <f t="shared" si="58"/>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475">
        <v>0</v>
      </c>
      <c r="I317" s="45">
        <f t="shared" si="57"/>
        <v>0</v>
      </c>
      <c r="J317" s="333" t="str">
        <f t="shared" si="58"/>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475">
        <v>0</v>
      </c>
      <c r="I318" s="45">
        <f t="shared" si="57"/>
        <v>0</v>
      </c>
      <c r="J318" s="333" t="str">
        <f t="shared" si="58"/>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67">SUM(C320:C329)</f>
        <v>0</v>
      </c>
      <c r="D319" s="447">
        <f t="shared" si="67"/>
        <v>0</v>
      </c>
      <c r="E319" s="444">
        <f t="shared" si="67"/>
        <v>0</v>
      </c>
      <c r="F319" s="446">
        <f t="shared" si="67"/>
        <v>0</v>
      </c>
      <c r="G319" s="444">
        <f t="shared" si="67"/>
        <v>0</v>
      </c>
      <c r="H319" s="446">
        <f t="shared" si="67"/>
        <v>0</v>
      </c>
      <c r="I319" s="45">
        <f t="shared" si="57"/>
        <v>0</v>
      </c>
      <c r="J319" s="333" t="str">
        <f t="shared" si="58"/>
        <v/>
      </c>
      <c r="K319" s="445">
        <f t="shared" si="67"/>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57"/>
        <v>0</v>
      </c>
      <c r="J320" s="333" t="str">
        <f t="shared" si="58"/>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57"/>
        <v>0</v>
      </c>
      <c r="J321" s="333" t="str">
        <f t="shared" si="58"/>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57"/>
        <v>0</v>
      </c>
      <c r="J322" s="333" t="str">
        <f t="shared" si="58"/>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57"/>
        <v>0</v>
      </c>
      <c r="J323" s="333" t="str">
        <f t="shared" si="58"/>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57"/>
        <v>0</v>
      </c>
      <c r="J324" s="333" t="str">
        <f t="shared" si="58"/>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57"/>
        <v>0</v>
      </c>
      <c r="J325" s="333" t="str">
        <f t="shared" si="58"/>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57"/>
        <v>0</v>
      </c>
      <c r="J326" s="333" t="str">
        <f t="shared" si="58"/>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57"/>
        <v>0</v>
      </c>
      <c r="J327" s="333" t="str">
        <f t="shared" si="58"/>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68">G328-H328</f>
        <v>0</v>
      </c>
      <c r="J328" s="333" t="str">
        <f t="shared" ref="J328:J343" si="69">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68"/>
        <v>0</v>
      </c>
      <c r="J329" s="333" t="str">
        <f t="shared" si="69"/>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70">SUM(C331:C340)</f>
        <v>0</v>
      </c>
      <c r="D330" s="447">
        <f t="shared" si="70"/>
        <v>0</v>
      </c>
      <c r="E330" s="444">
        <f t="shared" si="70"/>
        <v>0</v>
      </c>
      <c r="F330" s="446">
        <f t="shared" si="70"/>
        <v>0</v>
      </c>
      <c r="G330" s="444">
        <f t="shared" si="70"/>
        <v>0</v>
      </c>
      <c r="H330" s="446">
        <f t="shared" si="70"/>
        <v>0</v>
      </c>
      <c r="I330" s="45">
        <f t="shared" si="68"/>
        <v>0</v>
      </c>
      <c r="J330" s="333" t="str">
        <f t="shared" si="69"/>
        <v/>
      </c>
      <c r="K330" s="445">
        <f t="shared" si="70"/>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68"/>
        <v>0</v>
      </c>
      <c r="J331" s="333" t="str">
        <f t="shared" si="69"/>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68"/>
        <v>0</v>
      </c>
      <c r="J332" s="333" t="str">
        <f t="shared" si="69"/>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68"/>
        <v>0</v>
      </c>
      <c r="J333" s="333" t="str">
        <f t="shared" si="69"/>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68"/>
        <v>0</v>
      </c>
      <c r="J334" s="333" t="str">
        <f t="shared" si="69"/>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68"/>
        <v>0</v>
      </c>
      <c r="J335" s="333" t="str">
        <f t="shared" si="69"/>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68"/>
        <v>0</v>
      </c>
      <c r="J336" s="333" t="str">
        <f t="shared" si="69"/>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68"/>
        <v>0</v>
      </c>
      <c r="J337" s="333" t="str">
        <f t="shared" si="69"/>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68"/>
        <v>0</v>
      </c>
      <c r="J338" s="333" t="str">
        <f t="shared" si="69"/>
        <v/>
      </c>
      <c r="K338" s="981">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68"/>
        <v>0</v>
      </c>
      <c r="J339" s="333" t="str">
        <f t="shared" si="69"/>
        <v/>
      </c>
      <c r="K339" s="398">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68"/>
        <v>0</v>
      </c>
      <c r="J340" s="333" t="str">
        <f t="shared" si="69"/>
        <v/>
      </c>
      <c r="K340" s="981"/>
      <c r="L340" s="455">
        <f t="shared" ref="L340:W340" si="71">SUM(L175:L251)</f>
        <v>0</v>
      </c>
      <c r="M340" s="456">
        <f t="shared" si="71"/>
        <v>0</v>
      </c>
      <c r="N340" s="456">
        <f t="shared" si="71"/>
        <v>0</v>
      </c>
      <c r="O340" s="456">
        <f t="shared" si="71"/>
        <v>0</v>
      </c>
      <c r="P340" s="456">
        <f t="shared" si="71"/>
        <v>0</v>
      </c>
      <c r="Q340" s="456">
        <f t="shared" si="71"/>
        <v>0</v>
      </c>
      <c r="R340" s="456">
        <f t="shared" si="71"/>
        <v>0</v>
      </c>
      <c r="S340" s="456">
        <f t="shared" si="71"/>
        <v>0</v>
      </c>
      <c r="T340" s="456">
        <f t="shared" si="71"/>
        <v>0</v>
      </c>
      <c r="U340" s="456">
        <f t="shared" si="71"/>
        <v>0</v>
      </c>
      <c r="V340" s="456">
        <f t="shared" si="71"/>
        <v>0</v>
      </c>
      <c r="W340" s="456">
        <f t="shared" si="71"/>
        <v>0</v>
      </c>
    </row>
    <row r="341" spans="1:24" ht="12.75" customHeight="1" x14ac:dyDescent="0.2">
      <c r="A341" s="720" t="s">
        <v>821</v>
      </c>
      <c r="B341" s="721"/>
      <c r="C341" s="511">
        <f>C176+C187+C198+C209+C220+C231+C242+C253+C264+C286+C297+C308+C319+C330+C275</f>
        <v>1369152210.2073689</v>
      </c>
      <c r="D341" s="478">
        <f t="shared" ref="D341:K341" si="72">D176+D187+D198+D209+D220+D231+D242+D253+D264+D286+D297+D308+D319+D330+D275</f>
        <v>1889186000</v>
      </c>
      <c r="E341" s="433">
        <f t="shared" si="72"/>
        <v>1830632104</v>
      </c>
      <c r="F341" s="477">
        <f t="shared" si="72"/>
        <v>152138184.78950003</v>
      </c>
      <c r="G341" s="433">
        <f t="shared" si="72"/>
        <v>533323379.42550004</v>
      </c>
      <c r="H341" s="477">
        <f t="shared" si="72"/>
        <v>915079385</v>
      </c>
      <c r="I341" s="433">
        <f t="shared" si="68"/>
        <v>-381756005.57449996</v>
      </c>
      <c r="J341" s="433">
        <f t="shared" si="69"/>
        <v>-0.41718348356683826</v>
      </c>
      <c r="K341" s="516">
        <f t="shared" si="72"/>
        <v>1830632080</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68"/>
        <v>0</v>
      </c>
      <c r="J342" s="51" t="str">
        <f t="shared" si="69"/>
        <v/>
      </c>
      <c r="K342" s="195"/>
      <c r="L342" s="483">
        <f t="shared" ref="L342:W342" si="73">L171-L340</f>
        <v>0</v>
      </c>
      <c r="M342" s="484">
        <f t="shared" si="73"/>
        <v>0</v>
      </c>
      <c r="N342" s="484">
        <f t="shared" si="73"/>
        <v>0</v>
      </c>
      <c r="O342" s="484">
        <f t="shared" si="73"/>
        <v>0</v>
      </c>
      <c r="P342" s="484">
        <f t="shared" si="73"/>
        <v>0</v>
      </c>
      <c r="Q342" s="484">
        <f t="shared" si="73"/>
        <v>0</v>
      </c>
      <c r="R342" s="484">
        <f t="shared" si="73"/>
        <v>0</v>
      </c>
      <c r="S342" s="484">
        <f t="shared" si="73"/>
        <v>0</v>
      </c>
      <c r="T342" s="484">
        <f t="shared" si="73"/>
        <v>0</v>
      </c>
      <c r="U342" s="484">
        <f t="shared" si="73"/>
        <v>0</v>
      </c>
      <c r="V342" s="484">
        <f t="shared" si="73"/>
        <v>0</v>
      </c>
      <c r="W342" s="484">
        <f t="shared" si="73"/>
        <v>0</v>
      </c>
    </row>
    <row r="343" spans="1:24" s="489" customFormat="1" ht="13.5" customHeight="1" thickTop="1" x14ac:dyDescent="0.2">
      <c r="A343" s="54" t="s">
        <v>783</v>
      </c>
      <c r="B343" s="480"/>
      <c r="C343" s="512">
        <f>C172+C341</f>
        <v>1369152210.2073689</v>
      </c>
      <c r="D343" s="515">
        <f t="shared" ref="D343:K343" si="74">D172+D341</f>
        <v>1889186000</v>
      </c>
      <c r="E343" s="56">
        <f t="shared" si="74"/>
        <v>1830632104</v>
      </c>
      <c r="F343" s="482">
        <f t="shared" si="74"/>
        <v>152138184.78950003</v>
      </c>
      <c r="G343" s="56">
        <f t="shared" si="74"/>
        <v>533323379.42550004</v>
      </c>
      <c r="H343" s="482">
        <f t="shared" si="74"/>
        <v>915079385</v>
      </c>
      <c r="I343" s="56">
        <f t="shared" si="68"/>
        <v>-381756005.57449996</v>
      </c>
      <c r="J343" s="56">
        <f t="shared" si="69"/>
        <v>-0.41718348356683826</v>
      </c>
      <c r="K343" s="236">
        <f t="shared" si="74"/>
        <v>1830632080</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tabSelected="1" zoomScaleNormal="100" workbookViewId="0">
      <pane xSplit="2" ySplit="4" topLeftCell="C23" activePane="bottomRight" state="frozen"/>
      <selection pane="topRight"/>
      <selection pane="bottomLeft"/>
      <selection pane="bottomRight" activeCell="J31" sqref="J31"/>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46" t="str">
        <f>muni&amp; " - "&amp;S71E&amp; " - "&amp;date</f>
        <v>LIM354 Polokwane - Table C6 Monthly Budget Statement - Financial Position - M06 December</v>
      </c>
      <c r="B1" s="1046"/>
      <c r="C1" s="1046"/>
      <c r="D1" s="1046"/>
      <c r="E1" s="1046"/>
      <c r="F1" s="1046"/>
      <c r="G1" s="1046"/>
    </row>
    <row r="2" spans="1:8" x14ac:dyDescent="0.2">
      <c r="A2" s="1031" t="str">
        <f>desc</f>
        <v>Description</v>
      </c>
      <c r="B2" s="1024" t="str">
        <f>head27</f>
        <v>Ref</v>
      </c>
      <c r="C2" s="141" t="str">
        <f>Head1</f>
        <v>2018/19</v>
      </c>
      <c r="D2" s="246" t="str">
        <f>Head2</f>
        <v>Budget Year 2019/20</v>
      </c>
      <c r="E2" s="230"/>
      <c r="F2" s="230"/>
      <c r="G2" s="231"/>
    </row>
    <row r="3" spans="1:8" ht="20.399999999999999" x14ac:dyDescent="0.2">
      <c r="A3" s="1032"/>
      <c r="B3" s="1035"/>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61635084</v>
      </c>
      <c r="D7" s="763">
        <v>166129395.44999999</v>
      </c>
      <c r="E7" s="743">
        <v>68216679.560000196</v>
      </c>
      <c r="F7" s="743">
        <f>'C7-CFlow'!G41</f>
        <v>267383630.01999956</v>
      </c>
      <c r="G7" s="745">
        <v>68216679.560000196</v>
      </c>
    </row>
    <row r="8" spans="1:8" ht="12.75" customHeight="1" x14ac:dyDescent="0.2">
      <c r="A8" s="40" t="s">
        <v>610</v>
      </c>
      <c r="B8" s="170"/>
      <c r="C8" s="758">
        <v>124239916</v>
      </c>
      <c r="D8" s="763">
        <v>131000000</v>
      </c>
      <c r="E8" s="743">
        <v>96000000</v>
      </c>
      <c r="F8" s="743">
        <v>180</v>
      </c>
      <c r="G8" s="745">
        <v>96000000</v>
      </c>
    </row>
    <row r="9" spans="1:8" ht="12.75" customHeight="1" x14ac:dyDescent="0.2">
      <c r="A9" s="40" t="s">
        <v>608</v>
      </c>
      <c r="B9" s="170"/>
      <c r="C9" s="758">
        <v>496699359</v>
      </c>
      <c r="D9" s="763">
        <v>534565270.20000005</v>
      </c>
      <c r="E9" s="743">
        <v>534565270.20000005</v>
      </c>
      <c r="F9" s="743">
        <f>'SC3'!K21</f>
        <v>1481214539</v>
      </c>
      <c r="G9" s="745">
        <v>534565270.20000005</v>
      </c>
    </row>
    <row r="10" spans="1:8" ht="12.75" customHeight="1" x14ac:dyDescent="0.2">
      <c r="A10" s="40" t="s">
        <v>609</v>
      </c>
      <c r="B10" s="170"/>
      <c r="C10" s="758">
        <v>543124068</v>
      </c>
      <c r="D10" s="763">
        <v>45000000</v>
      </c>
      <c r="E10" s="743">
        <v>45000000</v>
      </c>
      <c r="F10" s="989">
        <v>94105584.109999985</v>
      </c>
      <c r="G10" s="745">
        <v>45000000</v>
      </c>
    </row>
    <row r="11" spans="1:8" ht="12.75" customHeight="1" x14ac:dyDescent="0.2">
      <c r="A11" s="40" t="s">
        <v>808</v>
      </c>
      <c r="B11" s="170"/>
      <c r="C11" s="758">
        <v>20914988</v>
      </c>
      <c r="D11" s="763">
        <v>500000</v>
      </c>
      <c r="E11" s="743">
        <v>500000</v>
      </c>
      <c r="F11" s="988">
        <v>759056.9</v>
      </c>
      <c r="G11" s="745">
        <v>500000</v>
      </c>
    </row>
    <row r="12" spans="1:8" ht="12.75" customHeight="1" x14ac:dyDescent="0.2">
      <c r="A12" s="40" t="s">
        <v>607</v>
      </c>
      <c r="B12" s="170"/>
      <c r="C12" s="758">
        <v>143682853</v>
      </c>
      <c r="D12" s="763">
        <v>96214114</v>
      </c>
      <c r="E12" s="743">
        <v>96214114</v>
      </c>
      <c r="F12" s="987">
        <v>45234141.169999994</v>
      </c>
      <c r="G12" s="745">
        <v>96214114</v>
      </c>
    </row>
    <row r="13" spans="1:8" ht="12.75" customHeight="1" x14ac:dyDescent="0.2">
      <c r="A13" s="93" t="s">
        <v>652</v>
      </c>
      <c r="B13" s="234"/>
      <c r="C13" s="244">
        <f>SUM(C7:C12)</f>
        <v>1390296268</v>
      </c>
      <c r="D13" s="261">
        <f>SUM(D7:D12)</f>
        <v>973408779.6500001</v>
      </c>
      <c r="E13" s="74">
        <f>SUM(E7:E12)</f>
        <v>840496063.76000023</v>
      </c>
      <c r="F13" s="74">
        <f>SUM(F7:F12)</f>
        <v>1888697131.1999996</v>
      </c>
      <c r="G13" s="146">
        <f>SUM(G7:G12)</f>
        <v>840496063.76000023</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0</v>
      </c>
      <c r="D16" s="763">
        <v>0</v>
      </c>
      <c r="E16" s="743">
        <v>0</v>
      </c>
      <c r="F16" s="743">
        <v>0</v>
      </c>
      <c r="G16" s="745">
        <v>0</v>
      </c>
      <c r="H16" s="40"/>
    </row>
    <row r="17" spans="1:8" ht="12.75" customHeight="1" x14ac:dyDescent="0.2">
      <c r="A17" s="40" t="s">
        <v>563</v>
      </c>
      <c r="B17" s="170"/>
      <c r="C17" s="758">
        <v>0</v>
      </c>
      <c r="D17" s="763">
        <v>1000</v>
      </c>
      <c r="E17" s="743">
        <v>1000</v>
      </c>
      <c r="F17" s="743">
        <v>1000.0000001</v>
      </c>
      <c r="G17" s="745">
        <v>1000</v>
      </c>
      <c r="H17" s="40"/>
    </row>
    <row r="18" spans="1:8" ht="12.75" customHeight="1" x14ac:dyDescent="0.2">
      <c r="A18" s="40" t="s">
        <v>605</v>
      </c>
      <c r="B18" s="170"/>
      <c r="C18" s="758">
        <v>749428236</v>
      </c>
      <c r="D18" s="763">
        <v>732808388</v>
      </c>
      <c r="E18" s="743">
        <v>732808388</v>
      </c>
      <c r="F18" s="743">
        <v>749428236</v>
      </c>
      <c r="G18" s="745">
        <v>732808388</v>
      </c>
      <c r="H18" s="40"/>
    </row>
    <row r="19" spans="1:8" ht="12.75" customHeight="1" x14ac:dyDescent="0.2">
      <c r="A19" s="40" t="s">
        <v>286</v>
      </c>
      <c r="B19" s="170"/>
      <c r="C19" s="758">
        <v>1000</v>
      </c>
      <c r="D19" s="763">
        <v>0</v>
      </c>
      <c r="E19" s="743">
        <v>0</v>
      </c>
      <c r="F19" s="743">
        <v>0</v>
      </c>
      <c r="G19" s="745">
        <v>0</v>
      </c>
      <c r="H19" s="40"/>
    </row>
    <row r="20" spans="1:8" ht="12.75" customHeight="1" x14ac:dyDescent="0.2">
      <c r="A20" s="40" t="s">
        <v>604</v>
      </c>
      <c r="B20" s="170"/>
      <c r="C20" s="758">
        <f>13095411418+21899818+144352</f>
        <v>13117455588</v>
      </c>
      <c r="D20" s="763">
        <v>15950812807</v>
      </c>
      <c r="E20" s="743">
        <v>15892258811</v>
      </c>
      <c r="F20" s="743">
        <f>C20+'C5-Capex'!G74</f>
        <v>13650747247.263</v>
      </c>
      <c r="G20" s="745">
        <v>15892258811</v>
      </c>
    </row>
    <row r="21" spans="1:8" ht="12.75" customHeight="1" x14ac:dyDescent="0.2">
      <c r="A21" s="40" t="s">
        <v>734</v>
      </c>
      <c r="B21" s="170"/>
      <c r="C21" s="758"/>
      <c r="D21" s="763">
        <v>0</v>
      </c>
      <c r="E21" s="743"/>
      <c r="F21" s="743"/>
      <c r="G21" s="745"/>
      <c r="H21" s="40"/>
    </row>
    <row r="22" spans="1:8" ht="12.75" customHeight="1" x14ac:dyDescent="0.2">
      <c r="A22" s="40" t="s">
        <v>476</v>
      </c>
      <c r="B22" s="170"/>
      <c r="C22" s="758">
        <v>4732398</v>
      </c>
      <c r="D22" s="763">
        <v>11833140</v>
      </c>
      <c r="E22" s="743">
        <v>11833140</v>
      </c>
      <c r="F22" s="743">
        <v>4732398</v>
      </c>
      <c r="G22" s="745">
        <v>11833140</v>
      </c>
      <c r="H22" s="40"/>
    </row>
    <row r="23" spans="1:8" ht="12.75" customHeight="1" x14ac:dyDescent="0.2">
      <c r="A23" s="40" t="s">
        <v>477</v>
      </c>
      <c r="B23" s="170"/>
      <c r="C23" s="758">
        <v>35401467</v>
      </c>
      <c r="D23" s="763">
        <v>11383052</v>
      </c>
      <c r="E23" s="743">
        <v>11383052</v>
      </c>
      <c r="F23" s="743">
        <v>35401467</v>
      </c>
      <c r="G23" s="745">
        <v>11383052</v>
      </c>
      <c r="H23" s="40"/>
    </row>
    <row r="24" spans="1:8" ht="12.75" customHeight="1" x14ac:dyDescent="0.2">
      <c r="A24" s="40" t="s">
        <v>817</v>
      </c>
      <c r="B24" s="170"/>
      <c r="C24" s="758"/>
      <c r="D24" s="763"/>
      <c r="E24" s="743"/>
      <c r="F24" s="743">
        <v>0</v>
      </c>
      <c r="G24" s="745"/>
      <c r="H24" s="40"/>
    </row>
    <row r="25" spans="1:8" ht="12.75" customHeight="1" x14ac:dyDescent="0.2">
      <c r="A25" s="93" t="s">
        <v>651</v>
      </c>
      <c r="B25" s="234"/>
      <c r="C25" s="244">
        <f>SUM(C16:C24)</f>
        <v>13907018689</v>
      </c>
      <c r="D25" s="261">
        <f>SUM(D16:D24)</f>
        <v>16706838387</v>
      </c>
      <c r="E25" s="74">
        <f>SUM(E16:E24)</f>
        <v>16648284391</v>
      </c>
      <c r="F25" s="74">
        <f>SUM(F16:F24)</f>
        <v>14440310348.263</v>
      </c>
      <c r="G25" s="146">
        <f>SUM(G16:G24)</f>
        <v>16648284391</v>
      </c>
      <c r="H25" s="40"/>
    </row>
    <row r="26" spans="1:8" ht="12.75" customHeight="1" x14ac:dyDescent="0.2">
      <c r="A26" s="93" t="s">
        <v>800</v>
      </c>
      <c r="B26" s="234"/>
      <c r="C26" s="244">
        <f>C13+C25</f>
        <v>15297314957</v>
      </c>
      <c r="D26" s="261">
        <f>D13+D25</f>
        <v>17680247166.650002</v>
      </c>
      <c r="E26" s="74">
        <f>E13+E25</f>
        <v>17488780454.760002</v>
      </c>
      <c r="F26" s="74">
        <f>F13+F25</f>
        <v>16329007479.462999</v>
      </c>
      <c r="G26" s="146">
        <f>G13+G25</f>
        <v>17488780454.760002</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v>0</v>
      </c>
    </row>
    <row r="31" spans="1:8" ht="12.75" customHeight="1" x14ac:dyDescent="0.2">
      <c r="A31" s="40" t="s">
        <v>801</v>
      </c>
      <c r="B31" s="170"/>
      <c r="C31" s="758">
        <v>171081541</v>
      </c>
      <c r="D31" s="763">
        <v>64205000</v>
      </c>
      <c r="E31" s="743">
        <v>64205000</v>
      </c>
      <c r="F31" s="743">
        <f>171081541+'C7-CFlow'!G36</f>
        <v>130833844.66</v>
      </c>
      <c r="G31" s="745">
        <v>64205000</v>
      </c>
    </row>
    <row r="32" spans="1:8" ht="12.75" customHeight="1" x14ac:dyDescent="0.2">
      <c r="A32" s="40" t="s">
        <v>603</v>
      </c>
      <c r="B32" s="170"/>
      <c r="C32" s="758">
        <v>63612112</v>
      </c>
      <c r="D32" s="763">
        <v>73000000</v>
      </c>
      <c r="E32" s="743">
        <v>73000000</v>
      </c>
      <c r="F32" s="743">
        <f>73177984.93-741811.34</f>
        <v>72436173.590000004</v>
      </c>
      <c r="G32" s="745">
        <v>73000000</v>
      </c>
    </row>
    <row r="33" spans="1:7" ht="12.75" customHeight="1" x14ac:dyDescent="0.2">
      <c r="A33" s="40" t="s">
        <v>809</v>
      </c>
      <c r="B33" s="170"/>
      <c r="C33" s="758">
        <v>1123632076</v>
      </c>
      <c r="D33" s="763">
        <v>494599000</v>
      </c>
      <c r="E33" s="743">
        <v>494599000</v>
      </c>
      <c r="F33" s="743">
        <f>'SC4'!K15+('SC6'!G71-'SC7(1)'!G54)+'SC4'!K15</f>
        <v>586745689.64249992</v>
      </c>
      <c r="G33" s="745">
        <v>494599000</v>
      </c>
    </row>
    <row r="34" spans="1:7" ht="12.75" customHeight="1" x14ac:dyDescent="0.2">
      <c r="A34" s="40" t="s">
        <v>565</v>
      </c>
      <c r="B34" s="170"/>
      <c r="C34" s="758">
        <v>0</v>
      </c>
      <c r="D34" s="763">
        <v>0</v>
      </c>
      <c r="E34" s="743">
        <v>0</v>
      </c>
      <c r="F34" s="743">
        <v>0</v>
      </c>
      <c r="G34" s="745">
        <v>0</v>
      </c>
    </row>
    <row r="35" spans="1:7" ht="12.75" customHeight="1" x14ac:dyDescent="0.2">
      <c r="A35" s="93" t="s">
        <v>469</v>
      </c>
      <c r="B35" s="234"/>
      <c r="C35" s="244">
        <f>SUM(C30:C34)</f>
        <v>1358325729</v>
      </c>
      <c r="D35" s="261">
        <f>SUM(D30:D34)</f>
        <v>631804000</v>
      </c>
      <c r="E35" s="74">
        <f>SUM(E30:E34)</f>
        <v>631804000</v>
      </c>
      <c r="F35" s="74">
        <f>SUM(F30:F34)</f>
        <v>790015707.89249992</v>
      </c>
      <c r="G35" s="146">
        <f>SUM(G30:G34)</f>
        <v>631804000</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512977719</v>
      </c>
      <c r="D38" s="763">
        <v>783313000</v>
      </c>
      <c r="E38" s="743">
        <v>783313000</v>
      </c>
      <c r="F38" s="743">
        <v>512977719</v>
      </c>
      <c r="G38" s="745">
        <v>783313000</v>
      </c>
    </row>
    <row r="39" spans="1:7" ht="12.75" customHeight="1" x14ac:dyDescent="0.2">
      <c r="A39" s="40" t="s">
        <v>565</v>
      </c>
      <c r="B39" s="170"/>
      <c r="C39" s="758">
        <v>392610949</v>
      </c>
      <c r="D39" s="763">
        <v>347176654</v>
      </c>
      <c r="E39" s="743">
        <v>347176654</v>
      </c>
      <c r="F39" s="743">
        <v>382444530.76999998</v>
      </c>
      <c r="G39" s="745">
        <v>347176654</v>
      </c>
    </row>
    <row r="40" spans="1:7" ht="12.75" customHeight="1" x14ac:dyDescent="0.2">
      <c r="A40" s="93" t="s">
        <v>468</v>
      </c>
      <c r="B40" s="234"/>
      <c r="C40" s="244">
        <f>SUM(C38:C39)</f>
        <v>905588668</v>
      </c>
      <c r="D40" s="261">
        <f>SUM(D38:D39)</f>
        <v>1130489654</v>
      </c>
      <c r="E40" s="74">
        <f>SUM(E38:E39)</f>
        <v>1130489654</v>
      </c>
      <c r="F40" s="74">
        <f>SUM(F38:F39)</f>
        <v>895422249.76999998</v>
      </c>
      <c r="G40" s="146">
        <f>SUM(G38:G39)</f>
        <v>1130489654</v>
      </c>
    </row>
    <row r="41" spans="1:7" ht="12.75" customHeight="1" x14ac:dyDescent="0.2">
      <c r="A41" s="93" t="s">
        <v>1</v>
      </c>
      <c r="B41" s="234"/>
      <c r="C41" s="244">
        <f>C35+C40</f>
        <v>2263914397</v>
      </c>
      <c r="D41" s="261">
        <f>D35+D40</f>
        <v>1762293654</v>
      </c>
      <c r="E41" s="74">
        <f>E35+E40</f>
        <v>1762293654</v>
      </c>
      <c r="F41" s="74">
        <f>F35+F40</f>
        <v>1685437957.6624999</v>
      </c>
      <c r="G41" s="146">
        <f>G35+G40</f>
        <v>1762293654</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13033400560</v>
      </c>
      <c r="D43" s="266">
        <f>D26-D41</f>
        <v>15917953512.650002</v>
      </c>
      <c r="E43" s="77">
        <f>E26-E41</f>
        <v>15726486800.760002</v>
      </c>
      <c r="F43" s="77">
        <f>F26-F41</f>
        <v>14643569521.800499</v>
      </c>
      <c r="G43" s="235">
        <f>G26-G41</f>
        <v>15726486800.760002</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5608863225</v>
      </c>
      <c r="D46" s="763">
        <v>8416279674.6500015</v>
      </c>
      <c r="E46" s="743">
        <v>8224812962.7600021</v>
      </c>
      <c r="F46" s="743">
        <v>7219032186.800499</v>
      </c>
      <c r="G46" s="745">
        <v>8224812962.7600021</v>
      </c>
    </row>
    <row r="47" spans="1:7" ht="12.75" customHeight="1" x14ac:dyDescent="0.2">
      <c r="A47" s="40" t="s">
        <v>931</v>
      </c>
      <c r="B47" s="170"/>
      <c r="C47" s="758">
        <v>7424537335</v>
      </c>
      <c r="D47" s="763">
        <v>7501673838</v>
      </c>
      <c r="E47" s="743">
        <v>7501673838</v>
      </c>
      <c r="F47" s="743">
        <v>7424537335</v>
      </c>
      <c r="G47" s="745">
        <v>7501673838</v>
      </c>
    </row>
    <row r="48" spans="1:7" ht="12.75" customHeight="1" x14ac:dyDescent="0.2">
      <c r="A48" s="54" t="s">
        <v>646</v>
      </c>
      <c r="B48" s="237">
        <v>2</v>
      </c>
      <c r="C48" s="113">
        <f>SUM(C46:C47)</f>
        <v>13033400560</v>
      </c>
      <c r="D48" s="272">
        <f>SUM(D46:D47)</f>
        <v>15917953512.650002</v>
      </c>
      <c r="E48" s="56">
        <f>SUM(E46:E47)</f>
        <v>15726486800.760002</v>
      </c>
      <c r="F48" s="56">
        <f>SUM(F46:F47)</f>
        <v>14643569521.800499</v>
      </c>
      <c r="G48" s="236">
        <f>SUM(G46:G47)</f>
        <v>15726486800.760002</v>
      </c>
    </row>
    <row r="49" spans="1:7" ht="12.75" customHeight="1" x14ac:dyDescent="0.2">
      <c r="A49" s="79" t="str">
        <f>head27a</f>
        <v>References</v>
      </c>
      <c r="B49" s="59"/>
      <c r="C49" s="50"/>
      <c r="D49" s="50"/>
      <c r="E49" s="50"/>
      <c r="F49" s="50"/>
      <c r="G49" s="50"/>
    </row>
    <row r="50" spans="1:7" ht="13.5" customHeight="1" x14ac:dyDescent="0.2">
      <c r="A50" s="1045" t="s">
        <v>152</v>
      </c>
      <c r="B50" s="1045"/>
      <c r="C50" s="1045"/>
      <c r="D50" s="1045"/>
      <c r="E50" s="1045"/>
      <c r="F50" s="1045"/>
      <c r="G50" s="1045"/>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3" activePane="bottomRight" state="frozen"/>
      <selection pane="topRight"/>
      <selection pane="bottomLeft"/>
      <selection pane="bottomRight" activeCell="H36" sqref="H36"/>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"&amp;S71F&amp; " - "&amp;date</f>
        <v>LIM354 Polokwane - Table C7 Monthly Budget Statement - Cash Flow  - M06 December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422400000</v>
      </c>
      <c r="F7" s="960">
        <v>30084955.300000019</v>
      </c>
      <c r="G7" s="960">
        <v>205504297.74999991</v>
      </c>
      <c r="H7" s="743">
        <f>E7/12*6</f>
        <v>211200000</v>
      </c>
      <c r="I7" s="45">
        <f t="shared" ref="I7:I13" si="0">G7-H7</f>
        <v>-5695702.2500000894</v>
      </c>
      <c r="J7" s="333">
        <f>IF(I7=0,"",I7/H7)</f>
        <v>-2.696828716856103E-2</v>
      </c>
      <c r="K7" s="745">
        <f>D7</f>
        <v>422400000</v>
      </c>
    </row>
    <row r="8" spans="1:11" ht="12.75" customHeight="1" x14ac:dyDescent="0.2">
      <c r="A8" s="521" t="s">
        <v>992</v>
      </c>
      <c r="B8" s="170"/>
      <c r="C8" s="758">
        <v>1279991317.2562022</v>
      </c>
      <c r="D8" s="755">
        <v>1607124610</v>
      </c>
      <c r="E8" s="743">
        <v>1607124610</v>
      </c>
      <c r="F8" s="960">
        <v>105415487.1800001</v>
      </c>
      <c r="G8" s="960">
        <v>697477894.93000007</v>
      </c>
      <c r="H8" s="743">
        <f>E8/12*6</f>
        <v>803562305</v>
      </c>
      <c r="I8" s="45">
        <f t="shared" si="0"/>
        <v>-106084410.06999993</v>
      </c>
      <c r="J8" s="333">
        <f>IF(I8=0,"",I8/H8)</f>
        <v>-0.13201765365288001</v>
      </c>
      <c r="K8" s="745">
        <f t="shared" ref="K8:K12" si="1">D8</f>
        <v>1607124610</v>
      </c>
    </row>
    <row r="9" spans="1:11" ht="12.75" customHeight="1" x14ac:dyDescent="0.2">
      <c r="A9" s="521" t="s">
        <v>463</v>
      </c>
      <c r="B9" s="170"/>
      <c r="C9" s="758">
        <v>927896090.82330287</v>
      </c>
      <c r="D9" s="755">
        <v>350731130</v>
      </c>
      <c r="E9" s="743">
        <v>292731129.99999928</v>
      </c>
      <c r="F9" s="960">
        <v>29453033.320000015</v>
      </c>
      <c r="G9" s="960">
        <v>295512508.43000007</v>
      </c>
      <c r="H9" s="743">
        <f>E9/12*6</f>
        <v>146365564.99999964</v>
      </c>
      <c r="I9" s="45">
        <f t="shared" si="0"/>
        <v>149146943.43000042</v>
      </c>
      <c r="J9" s="333">
        <f>IF(I9=0,"",I9/H9)</f>
        <v>1.0190029562622929</v>
      </c>
      <c r="K9" s="745">
        <f>E9</f>
        <v>292731129.99999928</v>
      </c>
    </row>
    <row r="10" spans="1:11" ht="12.75" customHeight="1" x14ac:dyDescent="0.2">
      <c r="A10" s="87" t="s">
        <v>716</v>
      </c>
      <c r="B10" s="172"/>
      <c r="C10" s="758">
        <v>948928027.3269459</v>
      </c>
      <c r="D10" s="755">
        <v>1039367000</v>
      </c>
      <c r="E10" s="743">
        <v>1039367000</v>
      </c>
      <c r="F10" s="960">
        <v>193765000</v>
      </c>
      <c r="G10" s="960">
        <f>'SC6'!G8</f>
        <v>650013001.27879751</v>
      </c>
      <c r="H10" s="743">
        <f>E10/12*6</f>
        <v>519683500</v>
      </c>
      <c r="I10" s="45">
        <f t="shared" si="0"/>
        <v>130329501.27879751</v>
      </c>
      <c r="J10" s="333">
        <f>IF(I10=0,"",I10/H10)</f>
        <v>0.25078629835043348</v>
      </c>
      <c r="K10" s="745">
        <f t="shared" si="1"/>
        <v>1039367000</v>
      </c>
    </row>
    <row r="11" spans="1:11" ht="12.75" customHeight="1" x14ac:dyDescent="0.2">
      <c r="A11" s="87" t="s">
        <v>717</v>
      </c>
      <c r="B11" s="172"/>
      <c r="C11" s="758">
        <v>1050027972.6730541</v>
      </c>
      <c r="D11" s="755">
        <v>1267136000</v>
      </c>
      <c r="E11" s="743">
        <v>1267136000</v>
      </c>
      <c r="F11" s="960">
        <v>0</v>
      </c>
      <c r="G11" s="960">
        <f>'SC6'!G41</f>
        <v>669969998.72120249</v>
      </c>
      <c r="H11" s="743">
        <f>E11/12*6</f>
        <v>633568000</v>
      </c>
      <c r="I11" s="45">
        <f t="shared" si="0"/>
        <v>36401998.721202493</v>
      </c>
      <c r="J11" s="333">
        <f t="shared" ref="J11:J18" si="2">IF(I11=0,"",I11/H11)</f>
        <v>5.7455551292367187E-2</v>
      </c>
      <c r="K11" s="745">
        <f t="shared" si="1"/>
        <v>1267136000</v>
      </c>
    </row>
    <row r="12" spans="1:11" ht="12.75" customHeight="1" x14ac:dyDescent="0.2">
      <c r="A12" s="87" t="s">
        <v>911</v>
      </c>
      <c r="B12" s="172"/>
      <c r="C12" s="758">
        <v>25979289.917086422</v>
      </c>
      <c r="D12" s="755">
        <v>103483380</v>
      </c>
      <c r="E12" s="743">
        <v>103483380</v>
      </c>
      <c r="F12" s="960">
        <v>10259091.699999999</v>
      </c>
      <c r="G12" s="960">
        <v>58132062.890000001</v>
      </c>
      <c r="H12" s="743">
        <f>E12/12*6</f>
        <v>51741690</v>
      </c>
      <c r="I12" s="45">
        <f t="shared" si="0"/>
        <v>6390372.8900000006</v>
      </c>
      <c r="J12" s="333">
        <f t="shared" si="2"/>
        <v>0.12350529891853167</v>
      </c>
      <c r="K12" s="745">
        <f t="shared" si="1"/>
        <v>103483380</v>
      </c>
    </row>
    <row r="13" spans="1:11" ht="12.75" customHeight="1" x14ac:dyDescent="0.2">
      <c r="A13" s="87" t="s">
        <v>686</v>
      </c>
      <c r="B13" s="172"/>
      <c r="C13" s="758"/>
      <c r="D13" s="755"/>
      <c r="E13" s="743">
        <v>0</v>
      </c>
      <c r="F13" s="960"/>
      <c r="G13" s="960"/>
      <c r="H13" s="743">
        <f>E13/12*6</f>
        <v>0</v>
      </c>
      <c r="I13" s="45">
        <f t="shared" si="0"/>
        <v>0</v>
      </c>
      <c r="J13" s="333" t="str">
        <f t="shared" si="2"/>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f>-3377555104.70339-2508475.01</f>
        <v>-3380063579.7133904</v>
      </c>
      <c r="D15" s="755">
        <v>-3110914077</v>
      </c>
      <c r="E15" s="743">
        <v>-3110914077</v>
      </c>
      <c r="F15" s="743">
        <v>-322971343.29383397</v>
      </c>
      <c r="G15" s="743">
        <f>-1773702030.7285-102497551.389998</f>
        <v>-1876199582.1184978</v>
      </c>
      <c r="H15" s="743">
        <f>E15/12*6</f>
        <v>-1555457038.5</v>
      </c>
      <c r="I15" s="45">
        <f>H15-G15</f>
        <v>320742543.61849785</v>
      </c>
      <c r="J15" s="333">
        <f t="shared" si="2"/>
        <v>-0.2062046946200487</v>
      </c>
      <c r="K15" s="745">
        <f t="shared" ref="K15:K17" si="3">D15</f>
        <v>-3110914077</v>
      </c>
    </row>
    <row r="16" spans="1:11" ht="12.75" customHeight="1" x14ac:dyDescent="0.2">
      <c r="A16" s="87" t="s">
        <v>462</v>
      </c>
      <c r="B16" s="172"/>
      <c r="C16" s="758">
        <v>-20585735.190000001</v>
      </c>
      <c r="D16" s="755">
        <v>-84866634</v>
      </c>
      <c r="E16" s="743">
        <v>-84866634</v>
      </c>
      <c r="F16" s="743">
        <v>0</v>
      </c>
      <c r="G16" s="743">
        <v>-32464062.57</v>
      </c>
      <c r="H16" s="743">
        <f>E16/12*6</f>
        <v>-42433317</v>
      </c>
      <c r="I16" s="45">
        <f>H16-G16</f>
        <v>-9969254.4299999997</v>
      </c>
      <c r="J16" s="333">
        <f t="shared" si="2"/>
        <v>0.2349393150198463</v>
      </c>
      <c r="K16" s="745">
        <f t="shared" si="3"/>
        <v>-84866634</v>
      </c>
    </row>
    <row r="17" spans="1:11" ht="12.75" customHeight="1" x14ac:dyDescent="0.2">
      <c r="A17" s="87" t="s">
        <v>70</v>
      </c>
      <c r="B17" s="172"/>
      <c r="C17" s="758">
        <v>-8380000</v>
      </c>
      <c r="D17" s="755">
        <v>-11500000</v>
      </c>
      <c r="E17" s="743">
        <v>-11500000</v>
      </c>
      <c r="F17" s="743">
        <v>0</v>
      </c>
      <c r="G17" s="743">
        <v>-2940000</v>
      </c>
      <c r="H17" s="743">
        <f>E17/12*6</f>
        <v>-5750000</v>
      </c>
      <c r="I17" s="45">
        <f>H17-G17</f>
        <v>-2810000</v>
      </c>
      <c r="J17" s="333">
        <f t="shared" si="2"/>
        <v>0.48869565217391303</v>
      </c>
      <c r="K17" s="745">
        <f t="shared" si="3"/>
        <v>-11500000</v>
      </c>
    </row>
    <row r="18" spans="1:11" ht="12.75" customHeight="1" x14ac:dyDescent="0.2">
      <c r="A18" s="93" t="s">
        <v>915</v>
      </c>
      <c r="B18" s="234"/>
      <c r="C18" s="244">
        <f t="shared" ref="C18:H18" si="4">SUM(C7:C13)+SUM(C15:C17)</f>
        <v>1206281337.1538014</v>
      </c>
      <c r="D18" s="75">
        <f t="shared" si="4"/>
        <v>1582961409</v>
      </c>
      <c r="E18" s="74">
        <f t="shared" si="4"/>
        <v>1524961408.999999</v>
      </c>
      <c r="F18" s="74">
        <f t="shared" si="4"/>
        <v>46006224.206166148</v>
      </c>
      <c r="G18" s="74">
        <f t="shared" si="4"/>
        <v>665006119.31150222</v>
      </c>
      <c r="H18" s="74">
        <f t="shared" si="4"/>
        <v>762480704.49999952</v>
      </c>
      <c r="I18" s="74">
        <f>H18-G18</f>
        <v>97474585.188497305</v>
      </c>
      <c r="J18" s="334">
        <f t="shared" si="2"/>
        <v>0.12783875659177074</v>
      </c>
      <c r="K18" s="146">
        <f>SUM(K7:K13)+SUM(K15:K17)</f>
        <v>1524961408.999999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v>0</v>
      </c>
      <c r="H22" s="743">
        <f>E22/12*6</f>
        <v>0</v>
      </c>
      <c r="I22" s="45">
        <f>G22-H22</f>
        <v>0</v>
      </c>
      <c r="J22" s="333" t="str">
        <f t="shared" ref="J22:J28" si="5">IF(I22=0,"",I22/H22)</f>
        <v/>
      </c>
      <c r="K22" s="745">
        <f t="shared" ref="K22:K25" si="6">D22</f>
        <v>0</v>
      </c>
    </row>
    <row r="23" spans="1:11" ht="12.75" customHeight="1" x14ac:dyDescent="0.2">
      <c r="A23" s="40" t="s">
        <v>449</v>
      </c>
      <c r="B23" s="170"/>
      <c r="C23" s="758">
        <v>0</v>
      </c>
      <c r="D23" s="755">
        <v>0</v>
      </c>
      <c r="E23" s="743">
        <v>0</v>
      </c>
      <c r="F23" s="743">
        <v>0</v>
      </c>
      <c r="G23" s="743">
        <v>0</v>
      </c>
      <c r="H23" s="743">
        <f>E23/12*6</f>
        <v>0</v>
      </c>
      <c r="I23" s="45">
        <f>G23-H23</f>
        <v>0</v>
      </c>
      <c r="J23" s="333" t="str">
        <f t="shared" si="5"/>
        <v/>
      </c>
      <c r="K23" s="745">
        <f t="shared" si="6"/>
        <v>0</v>
      </c>
    </row>
    <row r="24" spans="1:11" ht="12.75" customHeight="1" x14ac:dyDescent="0.2">
      <c r="A24" s="40" t="s">
        <v>913</v>
      </c>
      <c r="B24" s="176"/>
      <c r="C24" s="758">
        <v>0</v>
      </c>
      <c r="D24" s="755">
        <v>0</v>
      </c>
      <c r="E24" s="743">
        <v>0</v>
      </c>
      <c r="F24" s="743">
        <v>0</v>
      </c>
      <c r="G24" s="743">
        <v>0</v>
      </c>
      <c r="H24" s="743">
        <f>E24/12*6</f>
        <v>0</v>
      </c>
      <c r="I24" s="45">
        <f>G24-H24</f>
        <v>0</v>
      </c>
      <c r="J24" s="333" t="str">
        <f t="shared" si="5"/>
        <v/>
      </c>
      <c r="K24" s="745">
        <f t="shared" si="6"/>
        <v>0</v>
      </c>
    </row>
    <row r="25" spans="1:11" ht="12.75" customHeight="1" x14ac:dyDescent="0.2">
      <c r="A25" s="40" t="s">
        <v>914</v>
      </c>
      <c r="B25" s="170"/>
      <c r="C25" s="758">
        <v>1850000</v>
      </c>
      <c r="D25" s="755">
        <v>0</v>
      </c>
      <c r="E25" s="743">
        <v>0</v>
      </c>
      <c r="F25" s="743">
        <v>0</v>
      </c>
      <c r="G25" s="743">
        <v>118393141.01000001</v>
      </c>
      <c r="H25" s="743">
        <f>E25/12*6</f>
        <v>0</v>
      </c>
      <c r="I25" s="45">
        <f>G25-H25</f>
        <v>118393141.01000001</v>
      </c>
      <c r="J25" s="333" t="e">
        <f t="shared" si="5"/>
        <v>#DIV/0!</v>
      </c>
      <c r="K25" s="745">
        <f t="shared" si="6"/>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-1063265964.723804</v>
      </c>
      <c r="D27" s="755">
        <v>-1816379813.4399998</v>
      </c>
      <c r="E27" s="743">
        <v>-1757825817.4399998</v>
      </c>
      <c r="F27" s="743">
        <v>-152138184.7895</v>
      </c>
      <c r="G27" s="743">
        <v>-533291659.22149998</v>
      </c>
      <c r="H27" s="743">
        <f>E27/12*6</f>
        <v>-878912908.72000003</v>
      </c>
      <c r="I27" s="45">
        <f>H27-G27</f>
        <v>-345621249.49850005</v>
      </c>
      <c r="J27" s="333">
        <f t="shared" si="5"/>
        <v>0.39323719798568396</v>
      </c>
      <c r="K27" s="745">
        <f>E27</f>
        <v>-1757825817.4399998</v>
      </c>
    </row>
    <row r="28" spans="1:11" ht="12.75" customHeight="1" x14ac:dyDescent="0.2">
      <c r="A28" s="93" t="s">
        <v>916</v>
      </c>
      <c r="B28" s="234"/>
      <c r="C28" s="549">
        <f t="shared" ref="C28:H28" si="7">SUM(C22:C25)+C27</f>
        <v>-1061415964.723804</v>
      </c>
      <c r="D28" s="75">
        <f>SUM(D22:D25)+D27</f>
        <v>-1816379813.4399998</v>
      </c>
      <c r="E28" s="74">
        <f t="shared" si="7"/>
        <v>-1757825817.4399998</v>
      </c>
      <c r="F28" s="74">
        <f t="shared" si="7"/>
        <v>-152138184.7895</v>
      </c>
      <c r="G28" s="74">
        <f t="shared" si="7"/>
        <v>-414898518.21149999</v>
      </c>
      <c r="H28" s="74">
        <f t="shared" si="7"/>
        <v>-878912908.72000003</v>
      </c>
      <c r="I28" s="74">
        <f>H28-G28</f>
        <v>-464014390.50850004</v>
      </c>
      <c r="J28" s="334">
        <f t="shared" si="5"/>
        <v>0.52794126233083194</v>
      </c>
      <c r="K28" s="146">
        <f>SUM(K22:K25)+K27</f>
        <v>-1757825817.4399998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v>0</v>
      </c>
      <c r="H32" s="743">
        <f>E32/12*6</f>
        <v>0</v>
      </c>
      <c r="I32" s="45">
        <f>G32-H32</f>
        <v>0</v>
      </c>
      <c r="J32" s="333" t="str">
        <f t="shared" ref="J32:J37" si="8">IF(I32=0,"",I32/H32)</f>
        <v/>
      </c>
      <c r="K32" s="745">
        <f t="shared" ref="K32:K34" si="9">D32</f>
        <v>0</v>
      </c>
    </row>
    <row r="33" spans="1:11" ht="12.75" customHeight="1" x14ac:dyDescent="0.2">
      <c r="A33" s="40" t="s">
        <v>988</v>
      </c>
      <c r="B33" s="170"/>
      <c r="C33" s="758">
        <v>0</v>
      </c>
      <c r="D33" s="755">
        <v>300000000</v>
      </c>
      <c r="E33" s="743">
        <v>300000000</v>
      </c>
      <c r="F33" s="743">
        <v>-639382.48000000045</v>
      </c>
      <c r="G33" s="743">
        <v>-3146052.43</v>
      </c>
      <c r="H33" s="743">
        <f>E33/12*6</f>
        <v>150000000</v>
      </c>
      <c r="I33" s="45">
        <f>G33-H33</f>
        <v>-153146052.43000001</v>
      </c>
      <c r="J33" s="333">
        <f t="shared" si="8"/>
        <v>-1.0209736828666667</v>
      </c>
      <c r="K33" s="745">
        <f t="shared" si="9"/>
        <v>300000000</v>
      </c>
    </row>
    <row r="34" spans="1:11" ht="12.75" customHeight="1" x14ac:dyDescent="0.2">
      <c r="A34" s="40" t="s">
        <v>71</v>
      </c>
      <c r="B34" s="170"/>
      <c r="C34" s="758">
        <v>-2822817.99</v>
      </c>
      <c r="D34" s="755">
        <v>0</v>
      </c>
      <c r="E34" s="743">
        <v>0</v>
      </c>
      <c r="F34" s="743">
        <v>-36583.310000000056</v>
      </c>
      <c r="G34" s="743">
        <v>-965306.31000009959</v>
      </c>
      <c r="H34" s="743">
        <f>E34/12*6</f>
        <v>0</v>
      </c>
      <c r="I34" s="45">
        <f>G34-H34</f>
        <v>-965306.31000009959</v>
      </c>
      <c r="J34" s="333" t="e">
        <f t="shared" si="8"/>
        <v>#DIV/0!</v>
      </c>
      <c r="K34" s="745">
        <f t="shared" si="9"/>
        <v>0</v>
      </c>
    </row>
    <row r="35" spans="1:11" ht="12.75" customHeight="1" x14ac:dyDescent="0.2">
      <c r="A35" s="88" t="s">
        <v>926</v>
      </c>
      <c r="B35" s="170"/>
      <c r="C35" s="135"/>
      <c r="D35" s="47"/>
      <c r="E35" s="45"/>
      <c r="F35" s="45"/>
      <c r="G35" s="45"/>
      <c r="H35" s="45"/>
      <c r="I35" s="45"/>
      <c r="J35" s="333" t="str">
        <f t="shared" si="8"/>
        <v/>
      </c>
      <c r="K35" s="145"/>
    </row>
    <row r="36" spans="1:11" ht="12.75" customHeight="1" x14ac:dyDescent="0.2">
      <c r="A36" s="40" t="s">
        <v>928</v>
      </c>
      <c r="B36" s="170"/>
      <c r="C36" s="758">
        <v>-84933749.340000004</v>
      </c>
      <c r="D36" s="755">
        <v>-60000000</v>
      </c>
      <c r="E36" s="743">
        <v>-60000000</v>
      </c>
      <c r="F36" s="743">
        <v>-23819077.469999999</v>
      </c>
      <c r="G36" s="743">
        <v>-40247696.340000004</v>
      </c>
      <c r="H36" s="743">
        <f>E36/12*6</f>
        <v>-30000000</v>
      </c>
      <c r="I36" s="45">
        <f>H36-G36</f>
        <v>10247696.340000004</v>
      </c>
      <c r="J36" s="333">
        <f t="shared" si="8"/>
        <v>-0.34158987800000012</v>
      </c>
      <c r="K36" s="745">
        <f>D36</f>
        <v>-60000000</v>
      </c>
    </row>
    <row r="37" spans="1:11" ht="12.75" customHeight="1" x14ac:dyDescent="0.2">
      <c r="A37" s="93" t="s">
        <v>917</v>
      </c>
      <c r="B37" s="234"/>
      <c r="C37" s="549">
        <f t="shared" ref="C37:H37" si="10">SUM(C32:C34)+C36</f>
        <v>-87756567.329999998</v>
      </c>
      <c r="D37" s="75">
        <f t="shared" si="10"/>
        <v>240000000</v>
      </c>
      <c r="E37" s="74">
        <f t="shared" si="10"/>
        <v>240000000</v>
      </c>
      <c r="F37" s="74">
        <f t="shared" si="10"/>
        <v>-24495043.259999998</v>
      </c>
      <c r="G37" s="74">
        <f t="shared" si="10"/>
        <v>-44359055.080000103</v>
      </c>
      <c r="H37" s="74">
        <f t="shared" si="10"/>
        <v>120000000</v>
      </c>
      <c r="I37" s="74">
        <f>H37-G37</f>
        <v>164359055.0800001</v>
      </c>
      <c r="J37" s="334">
        <f t="shared" si="8"/>
        <v>1.3696587923333341</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1">C18+C28+C37</f>
        <v>57108805.099997446</v>
      </c>
      <c r="D39" s="52">
        <f t="shared" si="11"/>
        <v>6581595.5600001812</v>
      </c>
      <c r="E39" s="51">
        <f t="shared" si="11"/>
        <v>7135591.5599992275</v>
      </c>
      <c r="F39" s="51">
        <f t="shared" si="11"/>
        <v>-130627003.84333384</v>
      </c>
      <c r="G39" s="51">
        <f t="shared" si="11"/>
        <v>205748546.02000213</v>
      </c>
      <c r="H39" s="51">
        <f t="shared" si="11"/>
        <v>3567795.7799994946</v>
      </c>
      <c r="I39" s="330"/>
      <c r="J39" s="330"/>
      <c r="K39" s="195">
        <f>K18+K28+K37</f>
        <v>7135591.5599992275</v>
      </c>
    </row>
    <row r="40" spans="1:11" ht="12.75" customHeight="1" x14ac:dyDescent="0.2">
      <c r="A40" s="40" t="s">
        <v>518</v>
      </c>
      <c r="B40" s="170"/>
      <c r="C40" s="758">
        <v>4526278.9000000004</v>
      </c>
      <c r="D40" s="755">
        <v>159547799.88999999</v>
      </c>
      <c r="E40" s="743">
        <v>61635084</v>
      </c>
      <c r="F40" s="274"/>
      <c r="G40" s="743">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68770675.559999228</v>
      </c>
      <c r="F41" s="275"/>
      <c r="G41" s="116">
        <f>G39+G40</f>
        <v>267383630.01999956</v>
      </c>
      <c r="H41" s="116">
        <f>H39+H40</f>
        <v>65202879.779999495</v>
      </c>
      <c r="I41" s="275"/>
      <c r="J41" s="275"/>
      <c r="K41" s="191">
        <f>K39+K40</f>
        <v>68770675.559996665</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D19" sqref="D19"/>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2" t="str">
        <f>muni&amp; " - "&amp;S71G&amp; " - "&amp;date</f>
        <v>LIM354 Polokwane - Supporting Table SC1 Material variance explanations  - M06 December</v>
      </c>
      <c r="B1" s="1042"/>
      <c r="C1" s="1042"/>
      <c r="D1" s="1042"/>
      <c r="E1" s="1042"/>
    </row>
    <row r="2" spans="1:5" x14ac:dyDescent="0.2">
      <c r="A2" s="1024" t="str">
        <f>head27</f>
        <v>Ref</v>
      </c>
      <c r="B2" s="1031" t="str">
        <f>desc</f>
        <v>Description</v>
      </c>
      <c r="C2" s="270"/>
      <c r="D2" s="270"/>
      <c r="E2" s="276"/>
    </row>
    <row r="3" spans="1:5" x14ac:dyDescent="0.2">
      <c r="A3" s="1035"/>
      <c r="B3" s="1032"/>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t="str">
        <f>'C4-FinPerf RE'!A6</f>
        <v>Property rates</v>
      </c>
      <c r="C6" s="990">
        <f>'C4-FinPerf RE'!J6</f>
        <v>5.670712891666678E-2</v>
      </c>
      <c r="D6" s="768" t="s">
        <v>1632</v>
      </c>
      <c r="E6" s="768" t="s">
        <v>1632</v>
      </c>
    </row>
    <row r="7" spans="1:5" ht="40.799999999999997" x14ac:dyDescent="0.2">
      <c r="A7" s="170"/>
      <c r="B7" s="768" t="str">
        <f>'C4-FinPerf RE'!A7</f>
        <v>Service charges - electricity revenue</v>
      </c>
      <c r="C7" s="990">
        <f>'C4-FinPerf RE'!J7</f>
        <v>-0.1611659219721242</v>
      </c>
      <c r="D7" s="991" t="s">
        <v>1633</v>
      </c>
      <c r="E7" s="768"/>
    </row>
    <row r="8" spans="1:5" ht="11.25" customHeight="1" x14ac:dyDescent="0.2">
      <c r="A8" s="170"/>
      <c r="B8" s="768" t="str">
        <f>'C4-FinPerf RE'!A8</f>
        <v>Service charges - water revenue</v>
      </c>
      <c r="C8" s="990">
        <f>'C4-FinPerf RE'!J8</f>
        <v>0.37167561947556754</v>
      </c>
      <c r="D8" s="991" t="s">
        <v>1632</v>
      </c>
      <c r="E8" s="768" t="s">
        <v>1632</v>
      </c>
    </row>
    <row r="9" spans="1:5" ht="11.25" customHeight="1" x14ac:dyDescent="0.2">
      <c r="A9" s="170"/>
      <c r="B9" s="768" t="str">
        <f>'C4-FinPerf RE'!A9</f>
        <v>Service charges - sanitation revenue</v>
      </c>
      <c r="C9" s="990">
        <f>'C4-FinPerf RE'!J9</f>
        <v>-0.27654045974534841</v>
      </c>
      <c r="D9" s="991"/>
      <c r="E9" s="768"/>
    </row>
    <row r="10" spans="1:5" ht="11.25" customHeight="1" x14ac:dyDescent="0.2">
      <c r="A10" s="170"/>
      <c r="B10" s="768" t="str">
        <f>'C4-FinPerf RE'!A10</f>
        <v>Service charges - refuse revenue</v>
      </c>
      <c r="C10" s="990">
        <f>'C4-FinPerf RE'!J10</f>
        <v>-0.1425396837391642</v>
      </c>
      <c r="D10" s="991"/>
      <c r="E10" s="768"/>
    </row>
    <row r="11" spans="1:5" ht="11.25" customHeight="1" x14ac:dyDescent="0.2">
      <c r="A11" s="170"/>
      <c r="B11" s="768" t="str">
        <f>'C4-FinPerf RE'!A11</f>
        <v>Service charges - other</v>
      </c>
      <c r="C11" s="990" t="str">
        <f>'C4-FinPerf RE'!J11</f>
        <v/>
      </c>
      <c r="D11" s="991"/>
      <c r="E11" s="768"/>
    </row>
    <row r="12" spans="1:5" ht="20.399999999999999" x14ac:dyDescent="0.2">
      <c r="A12" s="170"/>
      <c r="B12" s="768" t="str">
        <f>'C4-FinPerf RE'!A12</f>
        <v>Rental of facilities and equipment</v>
      </c>
      <c r="C12" s="990">
        <f>'C4-FinPerf RE'!J12</f>
        <v>-0.71426893596348962</v>
      </c>
      <c r="D12" s="991" t="s">
        <v>1634</v>
      </c>
      <c r="E12" s="768"/>
    </row>
    <row r="13" spans="1:5" ht="11.25" customHeight="1" x14ac:dyDescent="0.2">
      <c r="A13" s="170"/>
      <c r="B13" s="768" t="str">
        <f>'C4-FinPerf RE'!A13</f>
        <v>Interest earned - external investments</v>
      </c>
      <c r="C13" s="990">
        <f>'C4-FinPerf RE'!J13</f>
        <v>-0.4604904675967173</v>
      </c>
      <c r="D13" s="991"/>
      <c r="E13" s="768"/>
    </row>
    <row r="14" spans="1:5" ht="30.6" x14ac:dyDescent="0.2">
      <c r="A14" s="170"/>
      <c r="B14" s="768" t="str">
        <f>'C4-FinPerf RE'!A14</f>
        <v>Interest earned - outstanding debtors</v>
      </c>
      <c r="C14" s="990">
        <f>'C4-FinPerf RE'!J14</f>
        <v>0.20666634874215339</v>
      </c>
      <c r="D14" s="991" t="s">
        <v>1635</v>
      </c>
      <c r="E14" s="768"/>
    </row>
    <row r="15" spans="1:5" ht="11.25" customHeight="1" x14ac:dyDescent="0.2">
      <c r="A15" s="170"/>
      <c r="B15" s="768" t="str">
        <f>'C4-FinPerf RE'!A15</f>
        <v>Dividends received</v>
      </c>
      <c r="C15" s="990" t="str">
        <f>'C4-FinPerf RE'!J15</f>
        <v/>
      </c>
      <c r="D15" s="991"/>
      <c r="E15" s="768"/>
    </row>
    <row r="16" spans="1:5" ht="11.25" customHeight="1" x14ac:dyDescent="0.2">
      <c r="A16" s="170"/>
      <c r="B16" s="768" t="str">
        <f>'C4-FinPerf RE'!A16</f>
        <v>Fines, penalties and forfeits</v>
      </c>
      <c r="C16" s="990">
        <f>'C4-FinPerf RE'!J16</f>
        <v>0.33205455119211108</v>
      </c>
      <c r="D16" s="991" t="s">
        <v>1636</v>
      </c>
      <c r="E16" s="768"/>
    </row>
    <row r="17" spans="1:5" ht="30.6" x14ac:dyDescent="0.2">
      <c r="A17" s="170"/>
      <c r="B17" s="768" t="str">
        <f>'C4-FinPerf RE'!A17</f>
        <v>Licences and permits</v>
      </c>
      <c r="C17" s="990">
        <f>'C4-FinPerf RE'!J17</f>
        <v>-0.33181468345833315</v>
      </c>
      <c r="D17" s="991" t="s">
        <v>1637</v>
      </c>
      <c r="E17" s="768"/>
    </row>
    <row r="18" spans="1:5" ht="11.25" customHeight="1" x14ac:dyDescent="0.2">
      <c r="A18" s="170"/>
      <c r="B18" s="768" t="str">
        <f>'C4-FinPerf RE'!A18</f>
        <v>Agency services</v>
      </c>
      <c r="C18" s="990">
        <f>'C4-FinPerf RE'!J18</f>
        <v>2.7369718999202872</v>
      </c>
      <c r="D18" s="991"/>
      <c r="E18" s="768"/>
    </row>
    <row r="19" spans="1:5" ht="11.25" customHeight="1" x14ac:dyDescent="0.2">
      <c r="A19" s="170"/>
      <c r="B19" s="768" t="str">
        <f>'C4-FinPerf RE'!A19</f>
        <v>Transfers and subsidies</v>
      </c>
      <c r="C19" s="990">
        <f>'C4-FinPerf RE'!J19</f>
        <v>0.19499116150217918</v>
      </c>
      <c r="D19" s="991" t="s">
        <v>1643</v>
      </c>
      <c r="E19" s="768"/>
    </row>
    <row r="20" spans="1:5" ht="11.25" customHeight="1" x14ac:dyDescent="0.2">
      <c r="A20" s="170"/>
      <c r="B20" s="768" t="str">
        <f>'C4-FinPerf RE'!A20</f>
        <v>Other revenue</v>
      </c>
      <c r="C20" s="990">
        <f>'C4-FinPerf RE'!J20</f>
        <v>-0.90867855401896314</v>
      </c>
      <c r="D20" s="768"/>
      <c r="E20" s="768"/>
    </row>
    <row r="21" spans="1:5" ht="11.25" customHeight="1" x14ac:dyDescent="0.2">
      <c r="A21" s="170"/>
      <c r="B21" s="768"/>
      <c r="C21" s="990"/>
      <c r="D21" s="768"/>
      <c r="E21" s="768"/>
    </row>
    <row r="22" spans="1:5" ht="11.25" customHeight="1" x14ac:dyDescent="0.2">
      <c r="A22" s="170">
        <v>2</v>
      </c>
      <c r="B22" s="389" t="str">
        <f>'C4-FinPerf RE'!A24</f>
        <v>Expenditure By Type</v>
      </c>
      <c r="C22" s="390"/>
      <c r="D22" s="390"/>
      <c r="E22" s="390"/>
    </row>
    <row r="23" spans="1:5" ht="20.399999999999999" x14ac:dyDescent="0.2">
      <c r="A23" s="170"/>
      <c r="B23" s="768" t="str">
        <f>'C4-FinPerf RE'!A25</f>
        <v>Employee related costs</v>
      </c>
      <c r="C23" s="990">
        <f>'C4-FinPerf RE'!J25</f>
        <v>-6.6027309196414738E-2</v>
      </c>
      <c r="D23" s="991" t="s">
        <v>1640</v>
      </c>
      <c r="E23" s="768"/>
    </row>
    <row r="24" spans="1:5" x14ac:dyDescent="0.2">
      <c r="A24" s="170"/>
      <c r="B24" s="768" t="str">
        <f>'C4-FinPerf RE'!A26</f>
        <v>Remuneration of councillors</v>
      </c>
      <c r="C24" s="990">
        <f>'C4-FinPerf RE'!J26</f>
        <v>-5.356174149565418E-2</v>
      </c>
      <c r="D24" s="991" t="s">
        <v>1632</v>
      </c>
      <c r="E24" s="768" t="s">
        <v>1632</v>
      </c>
    </row>
    <row r="25" spans="1:5" ht="30.6" x14ac:dyDescent="0.2">
      <c r="A25" s="170"/>
      <c r="B25" s="768" t="str">
        <f>'C4-FinPerf RE'!A27</f>
        <v>Debt impairment</v>
      </c>
      <c r="C25" s="990" t="str">
        <f>'C4-FinPerf RE'!J27</f>
        <v/>
      </c>
      <c r="D25" s="991" t="s">
        <v>1638</v>
      </c>
      <c r="E25" s="768"/>
    </row>
    <row r="26" spans="1:5" ht="20.399999999999999" x14ac:dyDescent="0.2">
      <c r="A26" s="170"/>
      <c r="B26" s="768" t="str">
        <f>'C4-FinPerf RE'!A28</f>
        <v>Depreciation &amp; asset impairment</v>
      </c>
      <c r="C26" s="990" t="str">
        <f>'C4-FinPerf RE'!J28</f>
        <v/>
      </c>
      <c r="D26" s="991" t="s">
        <v>1639</v>
      </c>
      <c r="E26" s="768"/>
    </row>
    <row r="27" spans="1:5" ht="11.25" customHeight="1" x14ac:dyDescent="0.2">
      <c r="A27" s="170"/>
      <c r="B27" s="768" t="str">
        <f>'C4-FinPerf RE'!A29</f>
        <v>Finance charges</v>
      </c>
      <c r="C27" s="990">
        <f>'C4-FinPerf RE'!J29</f>
        <v>-0.23723449707478678</v>
      </c>
      <c r="D27" s="768"/>
      <c r="E27" s="768"/>
    </row>
    <row r="28" spans="1:5" ht="11.25" customHeight="1" x14ac:dyDescent="0.2">
      <c r="A28" s="170"/>
      <c r="B28" s="768" t="str">
        <f>'C4-FinPerf RE'!A30</f>
        <v>Bulk purchases</v>
      </c>
      <c r="C28" s="990">
        <f>'C4-FinPerf RE'!J30</f>
        <v>6.7090885493713878E-2</v>
      </c>
      <c r="D28" s="768"/>
      <c r="E28" s="768"/>
    </row>
    <row r="29" spans="1:5" ht="11.25" customHeight="1" x14ac:dyDescent="0.2">
      <c r="A29" s="170"/>
      <c r="B29" s="768" t="str">
        <f>'C4-FinPerf RE'!A31</f>
        <v>Other materials</v>
      </c>
      <c r="C29" s="990">
        <f>'C4-FinPerf RE'!J31</f>
        <v>-0.48948461262574922</v>
      </c>
      <c r="D29" s="991" t="s">
        <v>1641</v>
      </c>
      <c r="E29" s="768"/>
    </row>
    <row r="30" spans="1:5" ht="11.25" customHeight="1" x14ac:dyDescent="0.2">
      <c r="A30" s="170"/>
      <c r="B30" s="768" t="str">
        <f>'C4-FinPerf RE'!A32</f>
        <v>Contracted services</v>
      </c>
      <c r="C30" s="990">
        <f>'C4-FinPerf RE'!J32</f>
        <v>-0.18209658693566474</v>
      </c>
      <c r="D30" s="768"/>
      <c r="E30" s="768"/>
    </row>
    <row r="31" spans="1:5" ht="11.25" customHeight="1" x14ac:dyDescent="0.2">
      <c r="A31" s="170"/>
      <c r="B31" s="768" t="str">
        <f>'C4-FinPerf RE'!A33</f>
        <v>Transfers and subsidies</v>
      </c>
      <c r="C31" s="990">
        <f>'C4-FinPerf RE'!J33</f>
        <v>-0.4886960078636467</v>
      </c>
      <c r="D31" s="768"/>
      <c r="E31" s="768"/>
    </row>
    <row r="32" spans="1:5" ht="11.25" customHeight="1" x14ac:dyDescent="0.2">
      <c r="A32" s="170"/>
      <c r="B32" s="768" t="str">
        <f>'C4-FinPerf RE'!A34</f>
        <v>Other expenditure</v>
      </c>
      <c r="C32" s="990">
        <f>'C4-FinPerf RE'!J34</f>
        <v>-0.16696182679837177</v>
      </c>
      <c r="D32" s="768"/>
      <c r="E32" s="768"/>
    </row>
    <row r="33" spans="1:5" ht="11.25" customHeight="1" x14ac:dyDescent="0.2">
      <c r="A33" s="170"/>
      <c r="B33" s="768" t="str">
        <f>'C4-FinPerf RE'!A35</f>
        <v>Loss on disposal of PPE</v>
      </c>
      <c r="C33" s="990" t="str">
        <f>'C4-FinPerf RE'!J35</f>
        <v/>
      </c>
      <c r="D33" s="768"/>
      <c r="E33" s="768"/>
    </row>
    <row r="34" spans="1:5" ht="11.25" customHeight="1" x14ac:dyDescent="0.2">
      <c r="A34" s="170">
        <v>3</v>
      </c>
      <c r="B34" s="389" t="str">
        <f>RIGHT('C5-Capex'!A40,19)</f>
        <v>Capital Expenditure</v>
      </c>
      <c r="C34" s="390"/>
      <c r="D34" s="390"/>
      <c r="E34" s="390"/>
    </row>
    <row r="35" spans="1:5" ht="11.25" customHeight="1" x14ac:dyDescent="0.2">
      <c r="A35" s="170"/>
      <c r="B35" s="768" t="str">
        <f>'C5-Capex'!A24</f>
        <v>Vote 1 - Chef Operations Office</v>
      </c>
      <c r="C35" s="990">
        <f>'C5-Capex'!J24</f>
        <v>-0.57746538258396818</v>
      </c>
      <c r="D35" s="768" t="s">
        <v>1464</v>
      </c>
      <c r="E35" s="768"/>
    </row>
    <row r="36" spans="1:5" ht="11.25" customHeight="1" x14ac:dyDescent="0.2">
      <c r="A36" s="170"/>
      <c r="B36" s="768" t="str">
        <f>'C5-Capex'!A25</f>
        <v>Vote 2 - Municipal Manger Office</v>
      </c>
      <c r="C36" s="990" t="str">
        <f>'C5-Capex'!J25</f>
        <v/>
      </c>
      <c r="D36" s="768"/>
      <c r="E36" s="768"/>
    </row>
    <row r="37" spans="1:5" ht="11.25" customHeight="1" x14ac:dyDescent="0.2">
      <c r="A37" s="170"/>
      <c r="B37" s="768" t="str">
        <f>'C5-Capex'!A26</f>
        <v>Vote 3 - Water and Sanitation</v>
      </c>
      <c r="C37" s="990">
        <f>'C5-Capex'!J26</f>
        <v>-0.12977469265660971</v>
      </c>
      <c r="D37" s="768" t="s">
        <v>1642</v>
      </c>
      <c r="E37" s="768"/>
    </row>
    <row r="38" spans="1:5" ht="11.25" customHeight="1" x14ac:dyDescent="0.2">
      <c r="A38" s="170"/>
      <c r="B38" s="768" t="str">
        <f>'C5-Capex'!A27</f>
        <v>Vote 4 - Energy Services</v>
      </c>
      <c r="C38" s="990">
        <f>'C5-Capex'!J27</f>
        <v>-0.70072007116559354</v>
      </c>
      <c r="D38" s="768"/>
      <c r="E38" s="768"/>
    </row>
    <row r="39" spans="1:5" ht="11.25" customHeight="1" x14ac:dyDescent="0.2">
      <c r="A39" s="170"/>
      <c r="B39" s="768" t="str">
        <f>'C5-Capex'!A28</f>
        <v>Vote 5 - Community Services</v>
      </c>
      <c r="C39" s="990">
        <f>'C5-Capex'!J28</f>
        <v>-0.65308793292947509</v>
      </c>
      <c r="D39" s="768"/>
      <c r="E39" s="768"/>
    </row>
    <row r="40" spans="1:5" ht="11.25" customHeight="1" x14ac:dyDescent="0.2">
      <c r="A40" s="170"/>
      <c r="B40" s="768" t="str">
        <f>'C5-Capex'!A29</f>
        <v>Vote 6 - Public Safety</v>
      </c>
      <c r="C40" s="990">
        <f>'C5-Capex'!J29</f>
        <v>-0.95815821911972987</v>
      </c>
      <c r="D40" s="768"/>
      <c r="E40" s="768"/>
    </row>
    <row r="41" spans="1:5" ht="11.25" customHeight="1" x14ac:dyDescent="0.2">
      <c r="A41" s="170"/>
      <c r="B41" s="768" t="str">
        <f>'C5-Capex'!A30</f>
        <v>Vote 7 - Corporate  and Shared Services</v>
      </c>
      <c r="C41" s="990">
        <f>'C5-Capex'!J30</f>
        <v>-0.4865810031518541</v>
      </c>
      <c r="D41" s="768"/>
      <c r="E41" s="768"/>
    </row>
    <row r="42" spans="1:5" ht="11.25" customHeight="1" x14ac:dyDescent="0.2">
      <c r="A42" s="170"/>
      <c r="B42" s="768" t="str">
        <f>'C5-Capex'!A31</f>
        <v>Vote 8 - Planning and Economic Development</v>
      </c>
      <c r="C42" s="990">
        <f>'C5-Capex'!J31</f>
        <v>-0.97941843250471827</v>
      </c>
      <c r="D42" s="768"/>
      <c r="E42" s="768"/>
    </row>
    <row r="43" spans="1:5" ht="11.25" customHeight="1" x14ac:dyDescent="0.2">
      <c r="A43" s="170"/>
      <c r="B43" s="768" t="str">
        <f>'C5-Capex'!A32</f>
        <v>Vote 9 - Budget and Treasury</v>
      </c>
      <c r="C43" s="990">
        <f>'C5-Capex'!J32</f>
        <v>-0.5336427327692308</v>
      </c>
      <c r="D43" s="768"/>
      <c r="E43" s="768"/>
    </row>
    <row r="44" spans="1:5" ht="11.25" customHeight="1" x14ac:dyDescent="0.2">
      <c r="A44" s="170"/>
      <c r="B44" s="768" t="str">
        <f>'C5-Capex'!A33</f>
        <v>Vote 10 - Transport Services</v>
      </c>
      <c r="C44" s="990">
        <f>'C5-Capex'!J33</f>
        <v>-0.70393062567867848</v>
      </c>
      <c r="D44" s="768"/>
      <c r="E44" s="768"/>
    </row>
    <row r="45" spans="1:5" ht="11.25" customHeight="1" x14ac:dyDescent="0.2">
      <c r="A45" s="170"/>
      <c r="B45" s="768" t="str">
        <f>'C5-Capex'!A34</f>
        <v>Vote 11 - Human Settlement</v>
      </c>
      <c r="C45" s="990" t="str">
        <f>'C5-Capex'!J34</f>
        <v/>
      </c>
      <c r="D45" s="768"/>
      <c r="E45" s="768"/>
    </row>
    <row r="46" spans="1:5" ht="11.25" customHeight="1" x14ac:dyDescent="0.2">
      <c r="A46" s="170"/>
      <c r="B46" s="768"/>
      <c r="C46" s="758"/>
      <c r="D46" s="768"/>
      <c r="E46" s="768"/>
    </row>
    <row r="47" spans="1:5" ht="11.25" customHeight="1" x14ac:dyDescent="0.2">
      <c r="A47" s="170"/>
      <c r="B47" s="768"/>
      <c r="C47" s="758"/>
      <c r="D47" s="768"/>
      <c r="E47" s="768"/>
    </row>
    <row r="48" spans="1:5" ht="11.25" customHeight="1" x14ac:dyDescent="0.2">
      <c r="A48" s="170">
        <v>4</v>
      </c>
      <c r="B48" s="389" t="s">
        <v>83</v>
      </c>
      <c r="C48" s="390"/>
      <c r="D48" s="390"/>
      <c r="E48" s="390"/>
    </row>
    <row r="49" spans="1:5" ht="11.25" customHeight="1" x14ac:dyDescent="0.2">
      <c r="A49" s="170"/>
      <c r="B49" s="768"/>
      <c r="C49" s="758"/>
      <c r="D49" s="768"/>
      <c r="E49" s="768"/>
    </row>
    <row r="50" spans="1:5" ht="11.25" customHeight="1" x14ac:dyDescent="0.2">
      <c r="A50" s="170"/>
      <c r="B50" s="768"/>
      <c r="C50" s="758"/>
      <c r="D50" s="768"/>
      <c r="E50" s="768"/>
    </row>
    <row r="51" spans="1:5" ht="11.25" customHeight="1" x14ac:dyDescent="0.2">
      <c r="A51" s="170"/>
      <c r="B51" s="768"/>
      <c r="C51" s="758"/>
      <c r="D51" s="768"/>
      <c r="E51" s="768"/>
    </row>
    <row r="52" spans="1:5" ht="11.25" customHeight="1" x14ac:dyDescent="0.2">
      <c r="A52" s="170"/>
      <c r="B52" s="768"/>
      <c r="C52" s="758"/>
      <c r="D52" s="768"/>
      <c r="E52" s="768"/>
    </row>
    <row r="53" spans="1:5" ht="11.25" customHeight="1" x14ac:dyDescent="0.2">
      <c r="A53" s="170">
        <v>5</v>
      </c>
      <c r="B53" s="389" t="s">
        <v>84</v>
      </c>
      <c r="C53" s="390"/>
      <c r="D53" s="390"/>
      <c r="E53" s="390"/>
    </row>
    <row r="54" spans="1:5" ht="11.25" customHeight="1" x14ac:dyDescent="0.2">
      <c r="A54" s="170"/>
      <c r="B54" s="768"/>
      <c r="C54" s="758"/>
      <c r="D54" s="768"/>
      <c r="E54" s="768"/>
    </row>
    <row r="55" spans="1:5" ht="11.25" customHeight="1" x14ac:dyDescent="0.2">
      <c r="A55" s="170"/>
      <c r="B55" s="768"/>
      <c r="C55" s="758"/>
      <c r="D55" s="768"/>
      <c r="E55" s="768"/>
    </row>
    <row r="56" spans="1:5" ht="11.25" customHeight="1" x14ac:dyDescent="0.2">
      <c r="A56" s="170"/>
      <c r="B56" s="768"/>
      <c r="C56" s="758"/>
      <c r="D56" s="768"/>
      <c r="E56" s="768"/>
    </row>
    <row r="57" spans="1:5" ht="11.25" customHeight="1" x14ac:dyDescent="0.2">
      <c r="A57" s="170"/>
      <c r="B57" s="768"/>
      <c r="C57" s="758"/>
      <c r="D57" s="768"/>
      <c r="E57" s="768"/>
    </row>
    <row r="58" spans="1:5" ht="11.25" customHeight="1" x14ac:dyDescent="0.2">
      <c r="A58" s="170">
        <v>6</v>
      </c>
      <c r="B58" s="389" t="s">
        <v>85</v>
      </c>
      <c r="C58" s="391"/>
      <c r="D58" s="390"/>
      <c r="E58" s="390"/>
    </row>
    <row r="59" spans="1:5" ht="11.25" customHeight="1" x14ac:dyDescent="0.2">
      <c r="A59" s="170"/>
      <c r="B59" s="768"/>
      <c r="C59" s="758"/>
      <c r="D59" s="768"/>
      <c r="E59" s="768"/>
    </row>
    <row r="60" spans="1:5" ht="11.25" customHeight="1" x14ac:dyDescent="0.2">
      <c r="A60" s="170"/>
      <c r="B60" s="768"/>
      <c r="C60" s="758"/>
      <c r="D60" s="768"/>
      <c r="E60" s="768"/>
    </row>
    <row r="61" spans="1:5" ht="11.25" customHeight="1" x14ac:dyDescent="0.2">
      <c r="A61" s="170"/>
      <c r="B61" s="768"/>
      <c r="C61" s="758"/>
      <c r="D61" s="768"/>
      <c r="E61" s="768"/>
    </row>
    <row r="62" spans="1:5" ht="11.25" customHeight="1" x14ac:dyDescent="0.2">
      <c r="A62" s="170"/>
      <c r="B62" s="768"/>
      <c r="C62" s="758"/>
      <c r="D62" s="768"/>
      <c r="E62" s="768"/>
    </row>
    <row r="63" spans="1:5" ht="11.25" customHeight="1" x14ac:dyDescent="0.2">
      <c r="A63" s="170">
        <v>7</v>
      </c>
      <c r="B63" s="389" t="s">
        <v>86</v>
      </c>
      <c r="C63" s="391"/>
      <c r="D63" s="390"/>
      <c r="E63" s="390"/>
    </row>
    <row r="64" spans="1:5" ht="11.25" customHeight="1" x14ac:dyDescent="0.2">
      <c r="A64" s="170"/>
      <c r="B64" s="768"/>
      <c r="C64" s="758"/>
      <c r="D64" s="768"/>
      <c r="E64" s="768"/>
    </row>
    <row r="65" spans="1:5" ht="11.25" customHeight="1" x14ac:dyDescent="0.2">
      <c r="A65" s="170"/>
      <c r="B65" s="768"/>
      <c r="C65" s="758"/>
      <c r="D65" s="768"/>
      <c r="E65" s="768"/>
    </row>
    <row r="66" spans="1:5" ht="11.25" customHeight="1" x14ac:dyDescent="0.2">
      <c r="A66" s="170"/>
      <c r="B66" s="768"/>
      <c r="C66" s="758"/>
      <c r="D66" s="768"/>
      <c r="E66" s="768"/>
    </row>
    <row r="67" spans="1:5" ht="11.25" customHeight="1" x14ac:dyDescent="0.2">
      <c r="A67" s="170"/>
      <c r="B67" s="768"/>
      <c r="C67" s="758"/>
      <c r="D67" s="768"/>
      <c r="E67" s="768"/>
    </row>
    <row r="68" spans="1:5" ht="11.25" customHeight="1" x14ac:dyDescent="0.2">
      <c r="A68" s="120"/>
      <c r="B68" s="769"/>
      <c r="C68" s="770"/>
      <c r="D68" s="769"/>
      <c r="E68" s="769"/>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3" activePane="bottomRight" state="frozen"/>
      <selection pane="topRight"/>
      <selection pane="bottomLeft"/>
      <selection pane="bottomRight" activeCell="K31" sqref="K31"/>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2" t="str">
        <f>muni&amp; " - "&amp;S71H&amp; " - "&amp;Head57</f>
        <v>LIM354 Polokwane - Supporting Table SC2 Monthly Budget Statement - performance indicators   - M06 December</v>
      </c>
      <c r="B1" s="1042"/>
      <c r="C1" s="1042"/>
      <c r="D1" s="1042"/>
      <c r="E1" s="1042"/>
      <c r="F1" s="1042"/>
      <c r="G1" s="1042"/>
      <c r="H1" s="1042"/>
    </row>
    <row r="2" spans="1:11" ht="10.199999999999999" x14ac:dyDescent="0.2">
      <c r="A2" s="1047" t="s">
        <v>573</v>
      </c>
      <c r="B2" s="1031" t="s">
        <v>794</v>
      </c>
      <c r="C2" s="1024" t="str">
        <f>head27</f>
        <v>Ref</v>
      </c>
      <c r="D2" s="139" t="str">
        <f>Head1</f>
        <v>2018/19</v>
      </c>
      <c r="E2" s="246" t="str">
        <f>Head2</f>
        <v>Budget Year 2019/20</v>
      </c>
      <c r="F2" s="230"/>
      <c r="G2" s="230"/>
      <c r="H2" s="231"/>
    </row>
    <row r="3" spans="1:11" ht="20.399999999999999" x14ac:dyDescent="0.2">
      <c r="A3" s="1048"/>
      <c r="B3" s="1032"/>
      <c r="C3" s="1035"/>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9.0797302568585508E-2</v>
      </c>
      <c r="G7" s="125">
        <f>IF(ISERROR((G42+G44)/G45),0,((G42+G44)/G45))</f>
        <v>1.9705123481323219E-2</v>
      </c>
      <c r="H7" s="277">
        <f>IF(ISERROR((H42+H44)/H45),0,((H42+H44)/H45))</f>
        <v>3.5296617172157548E-2</v>
      </c>
    </row>
    <row r="8" spans="1:11" ht="30" customHeight="1" x14ac:dyDescent="0.2">
      <c r="A8" s="127" t="s">
        <v>1074</v>
      </c>
      <c r="B8" s="124" t="s">
        <v>67</v>
      </c>
      <c r="C8" s="175"/>
      <c r="D8" s="121">
        <f>IF(ISERROR(D47/D46),0,(D47/D46))</f>
        <v>4.942785539509169E-3</v>
      </c>
      <c r="E8" s="283">
        <f>IF(ISERROR(E47/E46),0,(E47/E46))</f>
        <v>0.20114483168941544</v>
      </c>
      <c r="F8" s="125">
        <f>IF(ISERROR(F47/F46),0,(F47/F46))</f>
        <v>0.20757857308941852</v>
      </c>
      <c r="G8" s="125">
        <f>IF(ISERROR(G47/G46),0,(G47/G46))</f>
        <v>2.8675174969778911E-2</v>
      </c>
      <c r="H8" s="277">
        <f>IF(ISERROR(H47/H46),0,(H47/H46))</f>
        <v>0.20757857581082048</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0.13869682955558607</v>
      </c>
      <c r="E10" s="283">
        <f>IF(ISERROR(E48/E49),0,(E48/E49))</f>
        <v>8.4314670157405555E-2</v>
      </c>
      <c r="F10" s="125">
        <f>IF(ISERROR(F48/F49),0,(F48/F49))</f>
        <v>8.5341183762360745E-2</v>
      </c>
      <c r="G10" s="125">
        <f>IF(ISERROR(G48/G49),0,(G48/G49))</f>
        <v>8.4033968047921473E-2</v>
      </c>
      <c r="H10" s="277">
        <f>IF(ISERROR(H48/H49),0,(H48/H49))</f>
        <v>8.5341183762360745E-2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0.10441842939533037</v>
      </c>
      <c r="G11" s="125">
        <f>IF(ISERROR(G51/G50),0,(G51/G50))</f>
        <v>6.9092213541949957E-2</v>
      </c>
      <c r="H11" s="277">
        <f>IF(ISERROR(H51/H50),0,(H51/H50))</f>
        <v>0.10441842939533037</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1.3303113999911369</v>
      </c>
      <c r="G13" s="125">
        <f>IF(ISERROR(G52/G53),0,(G52/G53))</f>
        <v>2.390708326848864</v>
      </c>
      <c r="H13" s="277">
        <f>IF(ISERROR(H52/H53),0,(H52/H53))</f>
        <v>1.3303113999911369</v>
      </c>
    </row>
    <row r="14" spans="1:11" ht="12.75" customHeight="1" x14ac:dyDescent="0.2">
      <c r="A14" s="127" t="s">
        <v>760</v>
      </c>
      <c r="B14" s="124" t="s">
        <v>445</v>
      </c>
      <c r="C14" s="175"/>
      <c r="D14" s="121">
        <f>IF(ISERROR(D54/D53),0,(D54/D53))</f>
        <v>0.13684125687351978</v>
      </c>
      <c r="E14" s="283">
        <f>IF(ISERROR(E54/E53),0,(E54/E53))</f>
        <v>0.4702872970889706</v>
      </c>
      <c r="F14" s="125">
        <f>IF(ISERROR(F54/F53),0,(F54/F53))</f>
        <v>0.25991712550094676</v>
      </c>
      <c r="G14" s="125">
        <f>IF(ISERROR(G54/G53),0,(G54/G53))</f>
        <v>0.33845378939779686</v>
      </c>
      <c r="H14" s="277">
        <f>IF(ISERROR(H54/H53),0,(H54/H53))</f>
        <v>0.25991712550094676</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0.35845195472777386</v>
      </c>
      <c r="E17" s="283">
        <f>IF(ISERROR(E59/E55),0,(E59/E55))</f>
        <v>0.1528181569774397</v>
      </c>
      <c r="F17" s="125">
        <f>IF(ISERROR(F59/F55),0,(F59/F55))</f>
        <v>0.1528181569774397</v>
      </c>
      <c r="G17" s="125">
        <f>IF(ISERROR(G59/G55),0,(G59/G55))</f>
        <v>0.85845955681605846</v>
      </c>
      <c r="H17" s="277">
        <f>IF(ISERROR(H59/H55),0,(H59/H55))</f>
        <v>0.1528181569774397</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0.28868989821097085</v>
      </c>
      <c r="E26" s="283">
        <f>IF(ISERROR(E40/E55),0,(E40/E55))</f>
        <v>0.24268783433350941</v>
      </c>
      <c r="F26" s="125">
        <f>IF(ISERROR(F40/F55),0,(F40/F55))</f>
        <v>0.24283829691344544</v>
      </c>
      <c r="G26" s="125">
        <f>IF(ISERROR(G40/G55),0,(G40/G55))</f>
        <v>0.2344580100248759</v>
      </c>
      <c r="H26" s="277">
        <f>IF(ISERROR(H40/H55),0,(H40/H55))</f>
        <v>0.24283829691344544</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8.4863019544187193E-2</v>
      </c>
      <c r="G28" s="125">
        <f>IF(ISERROR((G42+G44)/G55),0,((G42+G44)/G55))</f>
        <v>1.768254102951488E-2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c r="E32" s="776"/>
      <c r="F32" s="777"/>
      <c r="G32" s="777"/>
      <c r="H32" s="778"/>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783313000</v>
      </c>
      <c r="G38" s="98">
        <f>'C6-FinPos'!F38</f>
        <v>512977719</v>
      </c>
      <c r="H38" s="49">
        <v>0</v>
      </c>
    </row>
    <row r="39" spans="1:9" ht="12.75" customHeight="1" x14ac:dyDescent="0.2">
      <c r="A39" s="43" t="s">
        <v>542</v>
      </c>
      <c r="B39" s="68"/>
      <c r="C39" s="68"/>
      <c r="D39" s="85">
        <f>'C6-FinPos'!C26</f>
        <v>15297314957</v>
      </c>
      <c r="E39" s="85">
        <f>'C6-FinPos'!D26</f>
        <v>17680247166.650002</v>
      </c>
      <c r="F39" s="85">
        <f>'C6-FinPos'!E26</f>
        <v>17488780454.760002</v>
      </c>
      <c r="G39" s="98">
        <f>'C6-FinPos'!F26</f>
        <v>16329007479.462999</v>
      </c>
      <c r="H39" s="49">
        <f>'C6-FinPos'!G26</f>
        <v>17488780454.760002</v>
      </c>
    </row>
    <row r="40" spans="1:9" ht="12.75" customHeight="1" x14ac:dyDescent="0.2">
      <c r="A40" s="43" t="str">
        <f>'C4-FinPerf RE'!A25</f>
        <v>Employee related costs</v>
      </c>
      <c r="B40" s="68"/>
      <c r="C40" s="68"/>
      <c r="D40" s="85">
        <f>'C4-FinPerf RE'!C25</f>
        <v>854297099</v>
      </c>
      <c r="E40" s="85">
        <f>'C4-FinPerf RE'!D25</f>
        <v>921191480</v>
      </c>
      <c r="F40" s="85">
        <f>'C4-FinPerf RE'!E25</f>
        <v>921762604</v>
      </c>
      <c r="G40" s="98">
        <f>'C4-FinPerf RE'!G25</f>
        <v>430450549.7699998</v>
      </c>
      <c r="H40" s="49">
        <f>'C4-FinPerf RE'!K25</f>
        <v>921762604</v>
      </c>
    </row>
    <row r="41" spans="1:9" ht="12.75" customHeight="1" x14ac:dyDescent="0.2">
      <c r="A41" s="43" t="str">
        <f>A27</f>
        <v>Repairs &amp; Maintenance</v>
      </c>
      <c r="B41" s="68"/>
      <c r="C41" s="68"/>
      <c r="D41" s="779"/>
      <c r="E41" s="779"/>
      <c r="F41" s="779"/>
      <c r="G41" s="779"/>
      <c r="H41" s="780"/>
    </row>
    <row r="42" spans="1:9" ht="12.75" customHeight="1" x14ac:dyDescent="0.2">
      <c r="A42" s="43" t="s">
        <v>543</v>
      </c>
      <c r="B42" s="68"/>
      <c r="C42" s="68"/>
      <c r="D42" s="85">
        <f>'C4-FinPerf RE'!C29</f>
        <v>62780466.380000003</v>
      </c>
      <c r="E42" s="85">
        <f>'C4-FinPerf RE'!D29</f>
        <v>85122000</v>
      </c>
      <c r="F42" s="85">
        <f>'C4-FinPerf RE'!E29</f>
        <v>85122000</v>
      </c>
      <c r="G42" s="98">
        <f>'C4-FinPerf RE'!G29</f>
        <v>32464062.57</v>
      </c>
      <c r="H42" s="49">
        <f>'C4-FinPerf RE'!K29</f>
        <v>85122000</v>
      </c>
    </row>
    <row r="43" spans="1:9" ht="12.75" customHeight="1" x14ac:dyDescent="0.2">
      <c r="A43" s="43" t="s">
        <v>88</v>
      </c>
      <c r="B43" s="68"/>
      <c r="C43" s="68"/>
      <c r="D43" s="85">
        <f>-'C7-CFlow'!C36</f>
        <v>84933749.340000004</v>
      </c>
      <c r="E43" s="85">
        <f>-'C7-CFlow'!D36</f>
        <v>60000000</v>
      </c>
      <c r="F43" s="85">
        <f>-'C7-CFlow'!E36</f>
        <v>60000000</v>
      </c>
      <c r="G43" s="98">
        <f>-'C7-CFlow'!G36</f>
        <v>40247696.340000004</v>
      </c>
      <c r="H43" s="49">
        <f>-'C7-CFlow'!K36</f>
        <v>60000000</v>
      </c>
    </row>
    <row r="44" spans="1:9" ht="12.75" customHeight="1" x14ac:dyDescent="0.2">
      <c r="A44" s="43" t="s">
        <v>544</v>
      </c>
      <c r="B44" s="68"/>
      <c r="C44" s="68"/>
      <c r="D44" s="85">
        <f>'C4-FinPerf RE'!C28</f>
        <v>729667597.54999995</v>
      </c>
      <c r="E44" s="85">
        <f>'C4-FinPerf RE'!D28</f>
        <v>236999988</v>
      </c>
      <c r="F44" s="85">
        <f>'C4-FinPerf RE'!E28</f>
        <v>237000000</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3547704512</v>
      </c>
      <c r="G45" s="98">
        <f>'C4-FinPerf RE'!G36</f>
        <v>1647493485.6799998</v>
      </c>
      <c r="H45" s="49">
        <f>'C4-FinPerf RE'!K36</f>
        <v>3547704512</v>
      </c>
    </row>
    <row r="46" spans="1:9" ht="12.75" customHeight="1" x14ac:dyDescent="0.2">
      <c r="A46" s="43" t="str">
        <f>'C5-Capex'!A40</f>
        <v>Total Capital Expenditure</v>
      </c>
      <c r="B46" s="68"/>
      <c r="C46" s="68"/>
      <c r="D46" s="85">
        <f>'C5-Capex'!C40</f>
        <v>1369152210.2073689</v>
      </c>
      <c r="E46" s="85">
        <f>'C5-Capex'!D40</f>
        <v>1889186000</v>
      </c>
      <c r="F46" s="85">
        <f>'C5-Capex'!E40</f>
        <v>1830632104</v>
      </c>
      <c r="G46" s="98">
        <f>'C5-Capex'!G40</f>
        <v>533323379.42550004</v>
      </c>
      <c r="H46" s="49">
        <f>'C5-Capex'!K40</f>
        <v>1830632080</v>
      </c>
    </row>
    <row r="47" spans="1:9" ht="12.75" customHeight="1" x14ac:dyDescent="0.2">
      <c r="A47" s="43" t="s">
        <v>547</v>
      </c>
      <c r="B47" s="68"/>
      <c r="C47" s="68"/>
      <c r="D47" s="85">
        <f>'C5-Capex'!C72</f>
        <v>6767425.7460000003</v>
      </c>
      <c r="E47" s="85">
        <f>'C5-Capex'!D72</f>
        <v>380000000</v>
      </c>
      <c r="F47" s="85">
        <f>'C5-Capex'!E72</f>
        <v>380000000</v>
      </c>
      <c r="G47" s="98">
        <f>'C5-Capex'!G72</f>
        <v>15293141.2205</v>
      </c>
      <c r="H47" s="49">
        <f>'C5-Capex'!K72</f>
        <v>380000000</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1342117000</v>
      </c>
      <c r="G48" s="85">
        <f>'C6-FinPos'!F30+'C6-FinPos'!F31+'C6-FinPos'!F33+'C6-FinPos'!F38</f>
        <v>1230557253.3024998</v>
      </c>
      <c r="H48" s="49">
        <f>'C6-FinPos'!G30+'C6-FinPos'!G31+'C6-FinPos'!G33+'C6-FinPos'!G38</f>
        <v>1342117000</v>
      </c>
    </row>
    <row r="49" spans="1:8" ht="12.75" customHeight="1" x14ac:dyDescent="0.2">
      <c r="A49" s="43" t="s">
        <v>546</v>
      </c>
      <c r="B49" s="68"/>
      <c r="C49" s="68"/>
      <c r="D49" s="85">
        <f>'C6-FinPos'!C48</f>
        <v>13033400560</v>
      </c>
      <c r="E49" s="85">
        <f>'C6-FinPos'!D48</f>
        <v>15917953512.650002</v>
      </c>
      <c r="F49" s="85">
        <f>'C6-FinPos'!E48</f>
        <v>15726486800.760002</v>
      </c>
      <c r="G49" s="98">
        <f>'C6-FinPos'!F48</f>
        <v>14643569521.800499</v>
      </c>
      <c r="H49" s="49">
        <f>'C6-FinPos'!G48</f>
        <v>15726486800.760002</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v>
      </c>
      <c r="H50" s="49">
        <f>'C6-FinPos'!G47</f>
        <v>7501673838</v>
      </c>
    </row>
    <row r="51" spans="1:8" ht="12.75" customHeight="1" x14ac:dyDescent="0.2">
      <c r="A51" s="43" t="str">
        <f>'C6-FinPos'!A38</f>
        <v>Borrowing</v>
      </c>
      <c r="B51" s="68"/>
      <c r="C51" s="68"/>
      <c r="D51" s="85">
        <f>'C6-FinPos'!C38</f>
        <v>512977719</v>
      </c>
      <c r="E51" s="85">
        <f>'C6-FinPos'!D38</f>
        <v>783313000</v>
      </c>
      <c r="F51" s="85">
        <f>'C6-FinPos'!E38</f>
        <v>783313000</v>
      </c>
      <c r="G51" s="98">
        <f>'C6-FinPos'!F38</f>
        <v>512977719</v>
      </c>
      <c r="H51" s="49">
        <f>'C6-FinPos'!G38</f>
        <v>783313000</v>
      </c>
    </row>
    <row r="52" spans="1:8" ht="12.75" customHeight="1" x14ac:dyDescent="0.2">
      <c r="A52" s="43" t="str">
        <f>'C6-FinPos'!A6</f>
        <v>Current assets</v>
      </c>
      <c r="B52" s="68"/>
      <c r="C52" s="68"/>
      <c r="D52" s="85">
        <f>'C6-FinPos'!C13</f>
        <v>1390296268</v>
      </c>
      <c r="E52" s="85">
        <f>'C6-FinPos'!D13</f>
        <v>973408779.6500001</v>
      </c>
      <c r="F52" s="85">
        <f>'C6-FinPos'!E13</f>
        <v>840496063.76000023</v>
      </c>
      <c r="G52" s="98">
        <f>'C6-FinPos'!F13</f>
        <v>1888697131.1999996</v>
      </c>
      <c r="H52" s="49">
        <f>'C6-FinPos'!G13</f>
        <v>840496063.76000023</v>
      </c>
    </row>
    <row r="53" spans="1:8" ht="12.75" customHeight="1" x14ac:dyDescent="0.2">
      <c r="A53" s="43" t="str">
        <f>'C6-FinPos'!A29</f>
        <v>Current liabilities</v>
      </c>
      <c r="B53" s="68"/>
      <c r="C53" s="68"/>
      <c r="D53" s="85">
        <f>'C6-FinPos'!C35</f>
        <v>1358325729</v>
      </c>
      <c r="E53" s="85">
        <f>'C6-FinPos'!D35</f>
        <v>631804000</v>
      </c>
      <c r="F53" s="85">
        <f>'C6-FinPos'!E35</f>
        <v>631804000</v>
      </c>
      <c r="G53" s="98">
        <f>'C6-FinPos'!F35</f>
        <v>790015707.89249992</v>
      </c>
      <c r="H53" s="49">
        <f>'C6-FinPos'!G35</f>
        <v>631804000</v>
      </c>
    </row>
    <row r="54" spans="1:8" ht="12.75" customHeight="1" x14ac:dyDescent="0.2">
      <c r="A54" s="43" t="s">
        <v>548</v>
      </c>
      <c r="B54" s="68"/>
      <c r="C54" s="68"/>
      <c r="D54" s="85">
        <f>'C6-FinPos'!C7+'C6-FinPos'!C8</f>
        <v>185875000</v>
      </c>
      <c r="E54" s="85">
        <f>'C6-FinPos'!D7+'C6-FinPos'!D8</f>
        <v>297129395.44999999</v>
      </c>
      <c r="F54" s="85">
        <f>'C6-FinPos'!E7+'C6-FinPos'!E8</f>
        <v>164216679.56000018</v>
      </c>
      <c r="G54" s="98">
        <f>'C6-FinPos'!F7+'C6-FinPos'!F8</f>
        <v>267383810.01999956</v>
      </c>
      <c r="H54" s="49">
        <f>'C6-FinPos'!G7+'C6-FinPos'!G8</f>
        <v>164216679.56000018</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3795787632</v>
      </c>
      <c r="G55" s="98">
        <f>'C4-FinPerf RE'!G22</f>
        <v>1835938766.7085001</v>
      </c>
      <c r="H55" s="49">
        <f>'C4-FinPerf RE'!K22</f>
        <v>3795787632</v>
      </c>
    </row>
    <row r="56" spans="1:8" ht="12.75" customHeight="1" x14ac:dyDescent="0.2">
      <c r="A56" s="43" t="str">
        <f>'C4-FinPerf RE'!A19</f>
        <v>Transfers and subsidies</v>
      </c>
      <c r="B56" s="68"/>
      <c r="C56" s="68"/>
      <c r="D56" s="85">
        <f>'C4-FinPerf RE'!C19</f>
        <v>951365113</v>
      </c>
      <c r="E56" s="85">
        <f>'C4-FinPerf RE'!D19</f>
        <v>1039367004</v>
      </c>
      <c r="F56" s="85">
        <f>'C4-FinPerf RE'!E19</f>
        <v>1039367004</v>
      </c>
      <c r="G56" s="98">
        <f>'C4-FinPerf RE'!G19</f>
        <v>621017191.66850007</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1267135992</v>
      </c>
      <c r="G57" s="98">
        <f>'C4-FinPerf RE'!G39</f>
        <v>479559995.40900004</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43483380</v>
      </c>
      <c r="G58" s="98">
        <f>'C7-CFlow'!G16+'C7-CFlow'!G36</f>
        <v>-72711758.909999996</v>
      </c>
      <c r="H58" s="49">
        <f>'C7-CFlow'!K16+'C7-CFlow'!K36</f>
        <v>-144866634</v>
      </c>
    </row>
    <row r="59" spans="1:8" ht="12.75" customHeight="1" x14ac:dyDescent="0.2">
      <c r="A59" s="43" t="s">
        <v>541</v>
      </c>
      <c r="B59" s="68"/>
      <c r="C59" s="68"/>
      <c r="D59" s="85">
        <f>'C6-FinPos'!C9+'C6-FinPos'!C10+'C6-FinPos'!C11+'C6-FinPos'!C16</f>
        <v>1060738415</v>
      </c>
      <c r="E59" s="85">
        <f>'C6-FinPos'!D9+'C6-FinPos'!D10+'C6-FinPos'!D11+'C6-FinPos'!D16</f>
        <v>580065270.20000005</v>
      </c>
      <c r="F59" s="85">
        <f>'C6-FinPos'!E9+'C6-FinPos'!E10+'C6-FinPos'!E11+'C6-FinPos'!E16</f>
        <v>580065270.20000005</v>
      </c>
      <c r="G59" s="98">
        <f>'C6-FinPos'!F9+'C6-FinPos'!F10+'C6-FinPos'!F11+'C6-FinPos'!F16</f>
        <v>1576079180.01</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817015688.30999994</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164217679.56000018</v>
      </c>
      <c r="G61" s="98">
        <f>'C6-FinPos'!F7+'C6-FinPos'!F8+'C6-FinPos'!F17-'C6-FinPos'!F30</f>
        <v>267384810.01999965</v>
      </c>
      <c r="H61" s="49">
        <f>'C6-FinPos'!G7+'C6-FinPos'!G8+'C6-FinPos'!G17-'C6-FinPos'!G30</f>
        <v>164217679.56000018</v>
      </c>
    </row>
    <row r="62" spans="1:8" ht="12.75" customHeight="1" x14ac:dyDescent="0.2">
      <c r="A62" s="43" t="s">
        <v>747</v>
      </c>
      <c r="B62" s="68"/>
      <c r="C62" s="68"/>
      <c r="D62" s="779"/>
      <c r="E62" s="779"/>
      <c r="F62" s="779"/>
      <c r="G62" s="779"/>
      <c r="H62" s="780"/>
    </row>
    <row r="63" spans="1:8" ht="12.75" customHeight="1" x14ac:dyDescent="0.2">
      <c r="A63" s="43" t="s">
        <v>802</v>
      </c>
      <c r="B63" s="68"/>
      <c r="C63" s="68"/>
      <c r="D63" s="118">
        <f>'C6-FinPos'!C16</f>
        <v>0</v>
      </c>
      <c r="E63" s="118">
        <f>'C6-FinPos'!D16</f>
        <v>0</v>
      </c>
      <c r="F63" s="118">
        <f>'C6-FinPos'!E16</f>
        <v>0</v>
      </c>
      <c r="G63" s="328">
        <f>'C6-FinPos'!F16</f>
        <v>0</v>
      </c>
      <c r="H63" s="343">
        <f>'C6-FinPos'!G16</f>
        <v>0</v>
      </c>
    </row>
    <row r="64" spans="1:8" ht="12.75" customHeight="1" x14ac:dyDescent="0.2">
      <c r="A64" s="43" t="s">
        <v>746</v>
      </c>
      <c r="B64" s="68"/>
      <c r="C64" s="68"/>
      <c r="D64" s="781"/>
      <c r="E64" s="781"/>
      <c r="F64" s="781"/>
      <c r="G64" s="781"/>
      <c r="H64" s="782"/>
    </row>
    <row r="65" spans="1:8" ht="12.75" customHeight="1" x14ac:dyDescent="0.2">
      <c r="A65" s="92" t="s">
        <v>803</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O18" sqref="O18"/>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2" t="str">
        <f>muni&amp; " - "&amp;S71I&amp; " - "&amp;Head57</f>
        <v>LIM354 Polokwane - Supporting Table SC3 Monthly Budget Statement - aged debtors - M06 December</v>
      </c>
      <c r="B1" s="1042"/>
      <c r="C1" s="1049"/>
      <c r="D1" s="1049"/>
      <c r="E1" s="1049"/>
      <c r="F1" s="1049"/>
      <c r="G1" s="1049"/>
      <c r="H1" s="1049"/>
      <c r="I1" s="1049"/>
      <c r="J1" s="1049"/>
      <c r="K1" s="1049"/>
      <c r="L1" s="1049"/>
      <c r="M1" s="1049"/>
      <c r="N1" s="163"/>
      <c r="O1" s="409"/>
    </row>
    <row r="2" spans="1:16" ht="13.35" customHeight="1" x14ac:dyDescent="0.2">
      <c r="A2" s="358" t="str">
        <f>desc</f>
        <v>Description</v>
      </c>
      <c r="B2" s="903"/>
      <c r="C2" s="1050" t="str">
        <f>Head2</f>
        <v>Budget Year 2019/20</v>
      </c>
      <c r="D2" s="1051"/>
      <c r="E2" s="1051"/>
      <c r="F2" s="1051"/>
      <c r="G2" s="1051"/>
      <c r="H2" s="1051"/>
      <c r="I2" s="1051"/>
      <c r="J2" s="1051"/>
      <c r="K2" s="1051"/>
      <c r="L2" s="1051"/>
      <c r="M2" s="1051"/>
      <c r="N2" s="1052"/>
      <c r="O2" s="921"/>
    </row>
    <row r="3" spans="1:16" ht="52.5" customHeight="1" x14ac:dyDescent="0.2">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105916168</v>
      </c>
      <c r="D5" s="755">
        <v>19921998</v>
      </c>
      <c r="E5" s="755">
        <v>11424885</v>
      </c>
      <c r="F5" s="755">
        <v>12793497</v>
      </c>
      <c r="G5" s="755">
        <v>6156842</v>
      </c>
      <c r="H5" s="755">
        <v>5871361</v>
      </c>
      <c r="I5" s="755">
        <v>22619968</v>
      </c>
      <c r="J5" s="755">
        <v>228120476</v>
      </c>
      <c r="K5" s="135">
        <f>SUM(C5:J5)</f>
        <v>412825195</v>
      </c>
      <c r="L5" s="135">
        <f>SUM(F5:J5)</f>
        <v>275562144</v>
      </c>
      <c r="M5" s="757"/>
      <c r="N5" s="757"/>
      <c r="O5" s="922"/>
    </row>
    <row r="6" spans="1:16" ht="12.75" customHeight="1" x14ac:dyDescent="0.2">
      <c r="A6" s="40" t="s">
        <v>1098</v>
      </c>
      <c r="B6" s="170">
        <v>1300</v>
      </c>
      <c r="C6" s="755">
        <v>58300022</v>
      </c>
      <c r="D6" s="755">
        <v>18573334</v>
      </c>
      <c r="E6" s="755">
        <v>8359339</v>
      </c>
      <c r="F6" s="755">
        <v>6149560</v>
      </c>
      <c r="G6" s="755">
        <v>5371016</v>
      </c>
      <c r="H6" s="755">
        <v>4646490</v>
      </c>
      <c r="I6" s="755">
        <v>19439707</v>
      </c>
      <c r="J6" s="755">
        <v>71475466</v>
      </c>
      <c r="K6" s="135">
        <f>SUM(C6:J6)</f>
        <v>192314934</v>
      </c>
      <c r="L6" s="135">
        <f t="shared" ref="L6:L12" si="0">SUM(F6:J6)</f>
        <v>107082239</v>
      </c>
      <c r="M6" s="757"/>
      <c r="N6" s="757"/>
      <c r="O6" s="922"/>
    </row>
    <row r="7" spans="1:16" ht="12.75" customHeight="1" x14ac:dyDescent="0.2">
      <c r="A7" s="40" t="s">
        <v>1097</v>
      </c>
      <c r="B7" s="170">
        <v>1400</v>
      </c>
      <c r="C7" s="755">
        <v>38752419</v>
      </c>
      <c r="D7" s="755">
        <v>20420672</v>
      </c>
      <c r="E7" s="755">
        <v>16533510</v>
      </c>
      <c r="F7" s="755">
        <v>13891920</v>
      </c>
      <c r="G7" s="755">
        <v>12603385</v>
      </c>
      <c r="H7" s="755">
        <v>11425817</v>
      </c>
      <c r="I7" s="755">
        <v>38304988</v>
      </c>
      <c r="J7" s="755">
        <v>167864416</v>
      </c>
      <c r="K7" s="135">
        <f t="shared" ref="K7:K13" si="1">SUM(C7:J7)</f>
        <v>319797127</v>
      </c>
      <c r="L7" s="135">
        <f t="shared" si="0"/>
        <v>244090526</v>
      </c>
      <c r="M7" s="757"/>
      <c r="N7" s="757"/>
      <c r="O7" s="922"/>
    </row>
    <row r="8" spans="1:16" ht="12.75" customHeight="1" x14ac:dyDescent="0.2">
      <c r="A8" s="40" t="s">
        <v>1099</v>
      </c>
      <c r="B8" s="170">
        <v>1500</v>
      </c>
      <c r="C8" s="755">
        <v>12142316</v>
      </c>
      <c r="D8" s="755">
        <v>3299563</v>
      </c>
      <c r="E8" s="755">
        <v>2662916</v>
      </c>
      <c r="F8" s="755">
        <v>2297810</v>
      </c>
      <c r="G8" s="755">
        <v>2116891</v>
      </c>
      <c r="H8" s="755">
        <v>2057872</v>
      </c>
      <c r="I8" s="755">
        <v>8054543</v>
      </c>
      <c r="J8" s="755">
        <v>25455322</v>
      </c>
      <c r="K8" s="135">
        <f t="shared" si="1"/>
        <v>58087233</v>
      </c>
      <c r="L8" s="135">
        <f t="shared" si="0"/>
        <v>39982438</v>
      </c>
      <c r="M8" s="757"/>
      <c r="N8" s="757"/>
      <c r="O8" s="922"/>
    </row>
    <row r="9" spans="1:16" ht="12.75" customHeight="1" x14ac:dyDescent="0.2">
      <c r="A9" s="40" t="s">
        <v>1100</v>
      </c>
      <c r="B9" s="170">
        <v>1600</v>
      </c>
      <c r="C9" s="755">
        <v>13213136</v>
      </c>
      <c r="D9" s="755">
        <v>3964231</v>
      </c>
      <c r="E9" s="755">
        <v>3260865</v>
      </c>
      <c r="F9" s="755">
        <v>2973541</v>
      </c>
      <c r="G9" s="755">
        <v>2721370</v>
      </c>
      <c r="H9" s="755">
        <v>2586389</v>
      </c>
      <c r="I9" s="755">
        <v>11080016</v>
      </c>
      <c r="J9" s="755">
        <v>51197596</v>
      </c>
      <c r="K9" s="135">
        <f t="shared" si="1"/>
        <v>90997144</v>
      </c>
      <c r="L9" s="135">
        <f>SUM(F9:J9)</f>
        <v>70558912</v>
      </c>
      <c r="M9" s="757"/>
      <c r="N9" s="757"/>
      <c r="O9" s="922"/>
    </row>
    <row r="10" spans="1:16" ht="12.75" customHeight="1" x14ac:dyDescent="0.2">
      <c r="A10" s="40" t="s">
        <v>1101</v>
      </c>
      <c r="B10" s="170">
        <v>1700</v>
      </c>
      <c r="C10" s="755">
        <v>801</v>
      </c>
      <c r="D10" s="755">
        <v>673</v>
      </c>
      <c r="E10" s="755">
        <v>531</v>
      </c>
      <c r="F10" s="755">
        <v>389</v>
      </c>
      <c r="G10" s="755">
        <v>298</v>
      </c>
      <c r="H10" s="755">
        <v>298</v>
      </c>
      <c r="I10" s="755">
        <v>1148</v>
      </c>
      <c r="J10" s="755">
        <v>196509</v>
      </c>
      <c r="K10" s="135">
        <f t="shared" si="1"/>
        <v>200647</v>
      </c>
      <c r="L10" s="135">
        <f>SUM(F10:J10)</f>
        <v>198642</v>
      </c>
      <c r="M10" s="757"/>
      <c r="N10" s="757"/>
      <c r="O10" s="922"/>
    </row>
    <row r="11" spans="1:16" ht="12.75" customHeight="1" x14ac:dyDescent="0.2">
      <c r="A11" s="40" t="s">
        <v>1102</v>
      </c>
      <c r="B11" s="170">
        <v>1810</v>
      </c>
      <c r="C11" s="755">
        <v>9015251</v>
      </c>
      <c r="D11" s="755">
        <v>8552645</v>
      </c>
      <c r="E11" s="755">
        <v>8522514</v>
      </c>
      <c r="F11" s="755">
        <v>8142109</v>
      </c>
      <c r="G11" s="755">
        <v>7711764</v>
      </c>
      <c r="H11" s="755">
        <v>7483952</v>
      </c>
      <c r="I11" s="755">
        <v>19402449</v>
      </c>
      <c r="J11" s="755">
        <v>198203607</v>
      </c>
      <c r="K11" s="135">
        <f t="shared" si="1"/>
        <v>267034291</v>
      </c>
      <c r="L11" s="135">
        <f t="shared" si="0"/>
        <v>240943881</v>
      </c>
      <c r="M11" s="757"/>
      <c r="N11" s="757"/>
      <c r="O11" s="922"/>
      <c r="P11" s="97"/>
    </row>
    <row r="12" spans="1:16" ht="12.75" customHeight="1" x14ac:dyDescent="0.2">
      <c r="A12" s="40" t="s">
        <v>1103</v>
      </c>
      <c r="B12" s="170">
        <v>1820</v>
      </c>
      <c r="C12" s="755">
        <v>0</v>
      </c>
      <c r="D12" s="755">
        <v>0</v>
      </c>
      <c r="E12" s="755">
        <v>0</v>
      </c>
      <c r="F12" s="755">
        <v>0</v>
      </c>
      <c r="G12" s="755">
        <v>0</v>
      </c>
      <c r="H12" s="755">
        <v>0</v>
      </c>
      <c r="I12" s="755">
        <v>0</v>
      </c>
      <c r="J12" s="755">
        <v>0</v>
      </c>
      <c r="K12" s="135">
        <f t="shared" si="1"/>
        <v>0</v>
      </c>
      <c r="L12" s="135">
        <f t="shared" si="0"/>
        <v>0</v>
      </c>
      <c r="M12" s="757"/>
      <c r="N12" s="757"/>
      <c r="O12" s="922"/>
      <c r="P12" s="97"/>
    </row>
    <row r="13" spans="1:16" ht="12.75" customHeight="1" x14ac:dyDescent="0.2">
      <c r="A13" s="40" t="s">
        <v>740</v>
      </c>
      <c r="B13" s="170">
        <v>1900</v>
      </c>
      <c r="C13" s="755">
        <v>3306034</v>
      </c>
      <c r="D13" s="755">
        <v>2006874</v>
      </c>
      <c r="E13" s="755">
        <v>3111686</v>
      </c>
      <c r="F13" s="755">
        <v>3501295</v>
      </c>
      <c r="G13" s="755">
        <v>1088246</v>
      </c>
      <c r="H13" s="755">
        <v>1179742</v>
      </c>
      <c r="I13" s="755">
        <v>5010038</v>
      </c>
      <c r="J13" s="755">
        <v>120754053</v>
      </c>
      <c r="K13" s="135">
        <f t="shared" si="1"/>
        <v>139957968</v>
      </c>
      <c r="L13" s="135">
        <f>SUM(F13:J13)</f>
        <v>131533374</v>
      </c>
      <c r="M13" s="757"/>
      <c r="N13" s="757"/>
      <c r="O13" s="922"/>
    </row>
    <row r="14" spans="1:16" ht="12.75" customHeight="1" x14ac:dyDescent="0.2">
      <c r="A14" s="54" t="s">
        <v>1104</v>
      </c>
      <c r="B14" s="286">
        <v>2000</v>
      </c>
      <c r="C14" s="57">
        <f t="shared" ref="C14:N14" si="2">SUM(C5:C13)</f>
        <v>240646147</v>
      </c>
      <c r="D14" s="56">
        <f t="shared" si="2"/>
        <v>76739990</v>
      </c>
      <c r="E14" s="56">
        <f t="shared" si="2"/>
        <v>53876246</v>
      </c>
      <c r="F14" s="56">
        <f t="shared" si="2"/>
        <v>49750121</v>
      </c>
      <c r="G14" s="56">
        <f t="shared" si="2"/>
        <v>37769812</v>
      </c>
      <c r="H14" s="56">
        <f t="shared" si="2"/>
        <v>35251921</v>
      </c>
      <c r="I14" s="56">
        <f t="shared" si="2"/>
        <v>123912857</v>
      </c>
      <c r="J14" s="84">
        <f t="shared" si="2"/>
        <v>863267445</v>
      </c>
      <c r="K14" s="113">
        <f t="shared" si="2"/>
        <v>1481214539</v>
      </c>
      <c r="L14" s="113">
        <f>SUM(L5:L13)</f>
        <v>1109952156</v>
      </c>
      <c r="M14" s="55">
        <f t="shared" si="2"/>
        <v>0</v>
      </c>
      <c r="N14" s="55">
        <f t="shared" si="2"/>
        <v>0</v>
      </c>
      <c r="O14" s="923"/>
    </row>
    <row r="15" spans="1:16" ht="12.75" customHeight="1" x14ac:dyDescent="0.2">
      <c r="A15" s="316" t="str">
        <f>Head1&amp;" - totals only"</f>
        <v>2018/19 - totals only</v>
      </c>
      <c r="B15" s="370"/>
      <c r="C15" s="755">
        <v>-19131011.229999993</v>
      </c>
      <c r="D15" s="743">
        <v>63901998.010000005</v>
      </c>
      <c r="E15" s="743">
        <v>45037411.109999999</v>
      </c>
      <c r="F15" s="743">
        <v>28878773.199999999</v>
      </c>
      <c r="G15" s="743">
        <v>27439369.510000002</v>
      </c>
      <c r="H15" s="743">
        <v>24087956.16</v>
      </c>
      <c r="I15" s="743">
        <v>163666101.40000001</v>
      </c>
      <c r="J15" s="754">
        <v>690399278.50999999</v>
      </c>
      <c r="K15" s="805">
        <f>SUM(C15:J15)</f>
        <v>1024279876.6700001</v>
      </c>
      <c r="L15" s="371">
        <f>SUM(F15:J15)</f>
        <v>934471478.77999997</v>
      </c>
      <c r="M15" s="804"/>
      <c r="N15" s="904"/>
      <c r="O15" s="50"/>
    </row>
    <row r="16" spans="1:16" ht="12.75" customHeight="1" x14ac:dyDescent="0.2">
      <c r="A16" s="88" t="s">
        <v>1108</v>
      </c>
      <c r="B16" s="170"/>
      <c r="C16" s="47"/>
      <c r="D16" s="45"/>
      <c r="E16" s="45"/>
      <c r="F16" s="45"/>
      <c r="G16" s="45"/>
      <c r="H16" s="45"/>
      <c r="I16" s="45"/>
      <c r="J16" s="109"/>
      <c r="K16" s="135"/>
      <c r="L16" s="654"/>
      <c r="M16" s="46"/>
      <c r="N16" s="905"/>
    </row>
    <row r="17" spans="1:14" ht="12.75" customHeight="1" x14ac:dyDescent="0.2">
      <c r="A17" s="40" t="s">
        <v>1105</v>
      </c>
      <c r="B17" s="170">
        <v>2200</v>
      </c>
      <c r="C17" s="755">
        <v>13987401</v>
      </c>
      <c r="D17" s="743">
        <v>7768091</v>
      </c>
      <c r="E17" s="743">
        <v>5520703</v>
      </c>
      <c r="F17" s="743">
        <v>4472674</v>
      </c>
      <c r="G17" s="743">
        <v>3343078</v>
      </c>
      <c r="H17" s="743">
        <v>3108143</v>
      </c>
      <c r="I17" s="743">
        <v>10926333</v>
      </c>
      <c r="J17" s="754">
        <v>57317352</v>
      </c>
      <c r="K17" s="135">
        <f>SUM(C17:J17)</f>
        <v>106443775</v>
      </c>
      <c r="L17" s="654">
        <f>SUM(F17:J17)</f>
        <v>79167580</v>
      </c>
      <c r="M17" s="757"/>
      <c r="N17" s="758"/>
    </row>
    <row r="18" spans="1:14" ht="12.75" customHeight="1" x14ac:dyDescent="0.2">
      <c r="A18" s="40" t="s">
        <v>1106</v>
      </c>
      <c r="B18" s="170">
        <v>2300</v>
      </c>
      <c r="C18" s="755">
        <v>153220908</v>
      </c>
      <c r="D18" s="743">
        <v>29620492</v>
      </c>
      <c r="E18" s="743">
        <v>17510598</v>
      </c>
      <c r="F18" s="743">
        <v>10845023</v>
      </c>
      <c r="G18" s="743">
        <v>9872361</v>
      </c>
      <c r="H18" s="743">
        <v>9005184</v>
      </c>
      <c r="I18" s="743">
        <v>23076583</v>
      </c>
      <c r="J18" s="754">
        <v>172817179</v>
      </c>
      <c r="K18" s="135">
        <f>SUM(C18:J18)</f>
        <v>425968328</v>
      </c>
      <c r="L18" s="654">
        <f>SUM(F18:J18)</f>
        <v>225616330</v>
      </c>
      <c r="M18" s="757"/>
      <c r="N18" s="758"/>
    </row>
    <row r="19" spans="1:14" ht="12.75" customHeight="1" x14ac:dyDescent="0.2">
      <c r="A19" s="40" t="s">
        <v>705</v>
      </c>
      <c r="B19" s="170">
        <v>2400</v>
      </c>
      <c r="C19" s="755">
        <v>73437838</v>
      </c>
      <c r="D19" s="743">
        <v>39351407</v>
      </c>
      <c r="E19" s="743">
        <v>30844945</v>
      </c>
      <c r="F19" s="743">
        <v>34432424</v>
      </c>
      <c r="G19" s="743">
        <v>24554373</v>
      </c>
      <c r="H19" s="743">
        <v>23138594</v>
      </c>
      <c r="I19" s="743">
        <v>89909941</v>
      </c>
      <c r="J19" s="754">
        <v>633132914</v>
      </c>
      <c r="K19" s="135">
        <f>SUM(C19:J19)</f>
        <v>948802436</v>
      </c>
      <c r="L19" s="654">
        <f>SUM(F19:J19)</f>
        <v>805168246</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240646147</v>
      </c>
      <c r="D21" s="56">
        <f t="shared" si="3"/>
        <v>76739990</v>
      </c>
      <c r="E21" s="56">
        <f t="shared" si="3"/>
        <v>53876246</v>
      </c>
      <c r="F21" s="56">
        <f t="shared" si="3"/>
        <v>49750121</v>
      </c>
      <c r="G21" s="56">
        <f t="shared" si="3"/>
        <v>37769812</v>
      </c>
      <c r="H21" s="56">
        <f t="shared" si="3"/>
        <v>35251921</v>
      </c>
      <c r="I21" s="56">
        <f t="shared" si="3"/>
        <v>123912857</v>
      </c>
      <c r="J21" s="84">
        <f>SUM(J17:J20)</f>
        <v>863267445</v>
      </c>
      <c r="K21" s="113">
        <f>SUM(K17:K20)</f>
        <v>1481214539</v>
      </c>
      <c r="L21" s="924">
        <f>SUM(L17:L20)</f>
        <v>1109952156</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R34" sqref="R34"/>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6</v>
      </c>
    </row>
    <row r="11" spans="4:25" x14ac:dyDescent="0.25">
      <c r="W11" s="655" t="s">
        <v>891</v>
      </c>
      <c r="X11" s="710" t="str">
        <f>VLOOKUP(X10,W39:X55,2)</f>
        <v>M06 December</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11"/>
    </row>
    <row r="40" spans="22:25" x14ac:dyDescent="0.25">
      <c r="W40" s="655">
        <v>2</v>
      </c>
      <c r="X40" s="655" t="s">
        <v>887</v>
      </c>
      <c r="Y40" s="911"/>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G12"/>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2" t="str">
        <f>muni&amp; " - "&amp;S71J&amp; " - "&amp;Head57</f>
        <v>LIM354 Polokwane - Supporting Table SC4 Monthly Budget Statement - aged creditors  - M06 December</v>
      </c>
      <c r="B1" s="1042"/>
      <c r="C1" s="1042"/>
      <c r="D1" s="1042"/>
      <c r="E1" s="1042"/>
      <c r="F1" s="1042"/>
      <c r="G1" s="1042"/>
      <c r="H1" s="1042"/>
      <c r="I1" s="1042"/>
      <c r="J1" s="1042"/>
      <c r="K1" s="1042"/>
    </row>
    <row r="2" spans="1:12" ht="12.75" customHeight="1" x14ac:dyDescent="0.2">
      <c r="A2" s="1031" t="str">
        <f>desc</f>
        <v>Description</v>
      </c>
      <c r="B2" s="1053" t="s">
        <v>756</v>
      </c>
      <c r="C2" s="138" t="str">
        <f>Head2</f>
        <v>Budget Year 2019/20</v>
      </c>
      <c r="D2" s="138"/>
      <c r="E2" s="138"/>
      <c r="F2" s="138"/>
      <c r="G2" s="138"/>
      <c r="H2" s="138"/>
      <c r="I2" s="138"/>
      <c r="J2" s="138"/>
      <c r="K2" s="139"/>
      <c r="L2" s="1060" t="s">
        <v>79</v>
      </c>
    </row>
    <row r="3" spans="1:12" ht="12.75" customHeight="1" x14ac:dyDescent="0.2">
      <c r="A3" s="1066"/>
      <c r="B3" s="1054"/>
      <c r="C3" s="1056" t="s">
        <v>748</v>
      </c>
      <c r="D3" s="1058" t="s">
        <v>749</v>
      </c>
      <c r="E3" s="1058" t="s">
        <v>750</v>
      </c>
      <c r="F3" s="1058" t="s">
        <v>751</v>
      </c>
      <c r="G3" s="1058" t="s">
        <v>752</v>
      </c>
      <c r="H3" s="1058" t="s">
        <v>753</v>
      </c>
      <c r="I3" s="1058" t="s">
        <v>754</v>
      </c>
      <c r="J3" s="1063" t="s">
        <v>755</v>
      </c>
      <c r="K3" s="1065" t="s">
        <v>520</v>
      </c>
      <c r="L3" s="1061"/>
    </row>
    <row r="4" spans="1:12" ht="12.75" customHeight="1" x14ac:dyDescent="0.2">
      <c r="A4" s="35" t="s">
        <v>687</v>
      </c>
      <c r="B4" s="1055"/>
      <c r="C4" s="1057"/>
      <c r="D4" s="1059"/>
      <c r="E4" s="1059"/>
      <c r="F4" s="1059"/>
      <c r="G4" s="1059"/>
      <c r="H4" s="1059"/>
      <c r="I4" s="1059"/>
      <c r="J4" s="1064"/>
      <c r="K4" s="1055"/>
      <c r="L4" s="1062"/>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59901730.020000003</v>
      </c>
      <c r="D6" s="743">
        <v>0</v>
      </c>
      <c r="E6" s="743">
        <v>0</v>
      </c>
      <c r="F6" s="743">
        <v>0</v>
      </c>
      <c r="G6" s="743">
        <v>0</v>
      </c>
      <c r="H6" s="743">
        <v>0</v>
      </c>
      <c r="I6" s="743">
        <v>0</v>
      </c>
      <c r="J6" s="743">
        <v>0</v>
      </c>
      <c r="K6" s="110">
        <f>SUM(C6:J6)</f>
        <v>59901730.020000003</v>
      </c>
      <c r="L6" s="758">
        <v>53236049</v>
      </c>
    </row>
    <row r="7" spans="1:12" ht="12.75" customHeight="1" x14ac:dyDescent="0.2">
      <c r="A7" s="40" t="s">
        <v>708</v>
      </c>
      <c r="B7" s="170" t="s">
        <v>709</v>
      </c>
      <c r="C7" s="743">
        <v>19621060.75</v>
      </c>
      <c r="D7" s="743">
        <v>16918697.41</v>
      </c>
      <c r="E7" s="743">
        <v>0</v>
      </c>
      <c r="F7" s="743">
        <v>0</v>
      </c>
      <c r="G7" s="743">
        <v>0</v>
      </c>
      <c r="H7" s="743">
        <v>0</v>
      </c>
      <c r="I7" s="743">
        <v>0</v>
      </c>
      <c r="J7" s="743">
        <v>0</v>
      </c>
      <c r="K7" s="110">
        <f t="shared" ref="K7:K13" si="0">SUM(C7:J7)</f>
        <v>36539758.159999996</v>
      </c>
      <c r="L7" s="758">
        <v>18438235</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v>44070605.969999991</v>
      </c>
      <c r="D12" s="743">
        <v>9220677.5</v>
      </c>
      <c r="E12" s="743">
        <v>7612241.8899999997</v>
      </c>
      <c r="F12" s="743">
        <v>0</v>
      </c>
      <c r="G12" s="743">
        <v>26324924.82</v>
      </c>
      <c r="H12" s="743">
        <v>0</v>
      </c>
      <c r="I12" s="743">
        <v>0</v>
      </c>
      <c r="J12" s="743">
        <v>0</v>
      </c>
      <c r="K12" s="110">
        <f t="shared" si="0"/>
        <v>87228450.179999992</v>
      </c>
      <c r="L12" s="758">
        <v>10733951</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
      <c r="A15" s="54" t="s">
        <v>949</v>
      </c>
      <c r="B15" s="286">
        <v>1000</v>
      </c>
      <c r="C15" s="272">
        <f>SUM(C6:C14)</f>
        <v>123593396.74000001</v>
      </c>
      <c r="D15" s="56">
        <f t="shared" ref="D15:J15" si="1">SUM(D6:D14)</f>
        <v>26139374.91</v>
      </c>
      <c r="E15" s="56">
        <f t="shared" si="1"/>
        <v>7612241.8899999997</v>
      </c>
      <c r="F15" s="56">
        <f t="shared" si="1"/>
        <v>0</v>
      </c>
      <c r="G15" s="56">
        <f t="shared" si="1"/>
        <v>26324924.82</v>
      </c>
      <c r="H15" s="56">
        <f t="shared" si="1"/>
        <v>0</v>
      </c>
      <c r="I15" s="56">
        <f t="shared" si="1"/>
        <v>0</v>
      </c>
      <c r="J15" s="236">
        <f t="shared" si="1"/>
        <v>0</v>
      </c>
      <c r="K15" s="113">
        <f>SUM(K6:K14)</f>
        <v>183669938.36000001</v>
      </c>
      <c r="L15" s="161">
        <f>SUM(L6:L14)</f>
        <v>82408235</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H20" sqref="H20"/>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2" t="str">
        <f>muni&amp; " - "&amp;S71K&amp; " - "&amp;Head57</f>
        <v>LIM354 Polokwane - Supporting Table SC5 Monthly Budget Statement - investment portfolio  - M06 December</v>
      </c>
      <c r="B1" s="1042"/>
      <c r="C1" s="1042"/>
      <c r="D1" s="1042"/>
      <c r="E1" s="1042"/>
      <c r="F1" s="1042"/>
      <c r="G1" s="1042"/>
      <c r="H1" s="1042"/>
      <c r="I1" s="1042"/>
      <c r="J1" s="1042"/>
      <c r="K1" s="68"/>
    </row>
    <row r="2" spans="1:11" ht="54" customHeight="1" x14ac:dyDescent="0.2">
      <c r="A2" s="271" t="s">
        <v>923</v>
      </c>
      <c r="B2" s="1053" t="s">
        <v>590</v>
      </c>
      <c r="C2" s="26" t="s">
        <v>130</v>
      </c>
      <c r="D2" s="1067" t="s">
        <v>627</v>
      </c>
      <c r="E2" s="1067" t="s">
        <v>628</v>
      </c>
      <c r="F2" s="1067" t="s">
        <v>556</v>
      </c>
      <c r="G2" s="1067" t="s">
        <v>66</v>
      </c>
      <c r="H2" s="1067" t="s">
        <v>557</v>
      </c>
      <c r="I2" s="1067" t="s">
        <v>918</v>
      </c>
      <c r="J2" s="1069" t="s">
        <v>919</v>
      </c>
      <c r="K2" s="285" t="s">
        <v>519</v>
      </c>
    </row>
    <row r="3" spans="1:11" ht="12.75" customHeight="1" x14ac:dyDescent="0.2">
      <c r="A3" s="35" t="s">
        <v>687</v>
      </c>
      <c r="B3" s="1055"/>
      <c r="C3" s="416" t="s">
        <v>131</v>
      </c>
      <c r="D3" s="1068"/>
      <c r="E3" s="1068"/>
      <c r="F3" s="1068"/>
      <c r="G3" s="1068"/>
      <c r="H3" s="1068"/>
      <c r="I3" s="1068"/>
      <c r="J3" s="1070"/>
      <c r="K3" s="29"/>
    </row>
    <row r="4" spans="1:11" ht="12.75" customHeight="1" x14ac:dyDescent="0.2">
      <c r="A4" s="553" t="s">
        <v>348</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1436</v>
      </c>
      <c r="B6" s="170"/>
      <c r="C6" s="755" t="s">
        <v>1439</v>
      </c>
      <c r="D6" s="743" t="s">
        <v>1440</v>
      </c>
      <c r="E6" s="743" t="s">
        <v>1441</v>
      </c>
      <c r="F6" s="743"/>
      <c r="G6" s="773">
        <v>0</v>
      </c>
      <c r="H6" s="743">
        <v>1000</v>
      </c>
      <c r="I6" s="743">
        <f>J6-H6</f>
        <v>0</v>
      </c>
      <c r="J6" s="745">
        <v>1000</v>
      </c>
    </row>
    <row r="7" spans="1:11" ht="12.75" customHeight="1" x14ac:dyDescent="0.2">
      <c r="A7" s="786" t="s">
        <v>1437</v>
      </c>
      <c r="B7" s="170"/>
      <c r="C7" s="755"/>
      <c r="D7" s="743"/>
      <c r="E7" s="743"/>
      <c r="F7" s="743"/>
      <c r="G7" s="773"/>
      <c r="H7" s="743"/>
      <c r="I7" s="743"/>
      <c r="J7" s="745"/>
    </row>
    <row r="8" spans="1:11" ht="12.75" customHeight="1" x14ac:dyDescent="0.2">
      <c r="A8" s="786" t="s">
        <v>1437</v>
      </c>
      <c r="B8" s="170"/>
      <c r="C8" s="755"/>
      <c r="D8" s="743"/>
      <c r="E8" s="743"/>
      <c r="F8" s="743"/>
      <c r="G8" s="773"/>
      <c r="H8" s="743"/>
      <c r="I8" s="743"/>
      <c r="J8" s="745"/>
    </row>
    <row r="9" spans="1:11" ht="12.75" customHeight="1" x14ac:dyDescent="0.2">
      <c r="A9" s="786" t="s">
        <v>1438</v>
      </c>
      <c r="B9" s="170"/>
      <c r="C9" s="755"/>
      <c r="D9" s="743"/>
      <c r="E9" s="743"/>
      <c r="F9" s="743"/>
      <c r="G9" s="773"/>
      <c r="H9" s="743"/>
      <c r="I9" s="743"/>
      <c r="J9" s="745"/>
    </row>
    <row r="10" spans="1:11" ht="12.75" customHeight="1" x14ac:dyDescent="0.2">
      <c r="A10" s="786"/>
      <c r="B10" s="170"/>
      <c r="C10" s="755"/>
      <c r="D10" s="743"/>
      <c r="E10" s="743"/>
      <c r="F10" s="743"/>
      <c r="G10" s="773"/>
      <c r="H10" s="743"/>
      <c r="I10" s="743"/>
      <c r="J10" s="745"/>
    </row>
    <row r="11" spans="1:11" ht="12.75" customHeight="1" x14ac:dyDescent="0.2">
      <c r="A11" s="786"/>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G41" sqref="G4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"&amp;S71L&amp; " - "&amp;Head57</f>
        <v>LIM354 Polokwane - Supporting Table SC6 Monthly Budget Statement - transfers and grant receipts  - M06 December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SUM(E9:E19)</f>
        <v>1039367000</v>
      </c>
      <c r="F8" s="51">
        <f t="shared" ref="F8:K8" si="0">SUM(F9:F19)</f>
        <v>193765000</v>
      </c>
      <c r="G8" s="51">
        <f t="shared" si="0"/>
        <v>650013001.27879751</v>
      </c>
      <c r="H8" s="51">
        <f t="shared" si="0"/>
        <v>519683500</v>
      </c>
      <c r="I8" s="51">
        <f t="shared" si="0"/>
        <v>257597791.80107892</v>
      </c>
      <c r="J8" s="346">
        <f t="shared" si="0"/>
        <v>13.892469074295404</v>
      </c>
      <c r="K8" s="195">
        <f t="shared" si="0"/>
        <v>1039367000</v>
      </c>
    </row>
    <row r="9" spans="1:11" ht="12.75" customHeight="1" x14ac:dyDescent="0.2">
      <c r="A9" s="788" t="s">
        <v>1016</v>
      </c>
      <c r="B9" s="170"/>
      <c r="C9" s="789">
        <v>831436000</v>
      </c>
      <c r="D9" s="790">
        <v>922589000</v>
      </c>
      <c r="E9" s="744">
        <v>922589000</v>
      </c>
      <c r="F9" s="744">
        <v>193765000</v>
      </c>
      <c r="G9" s="744">
        <v>578177000</v>
      </c>
      <c r="H9" s="743">
        <f>E9/12*6</f>
        <v>461294500</v>
      </c>
      <c r="I9" s="517">
        <v>230647166.66666666</v>
      </c>
      <c r="J9" s="561">
        <v>1.4999994580468659</v>
      </c>
      <c r="K9" s="745">
        <v>922589000</v>
      </c>
    </row>
    <row r="10" spans="1:11" ht="12.75" customHeight="1" x14ac:dyDescent="0.2">
      <c r="A10" s="788" t="s">
        <v>1025</v>
      </c>
      <c r="B10" s="170"/>
      <c r="C10" s="758">
        <v>5742000</v>
      </c>
      <c r="D10" s="755">
        <v>4201000</v>
      </c>
      <c r="E10" s="743">
        <v>4201000</v>
      </c>
      <c r="F10" s="743">
        <v>0</v>
      </c>
      <c r="G10" s="743">
        <v>2942000</v>
      </c>
      <c r="H10" s="743">
        <f t="shared" ref="H10:H18" si="1">E10/12*6</f>
        <v>2100500</v>
      </c>
      <c r="I10" s="45">
        <v>350833.33333333337</v>
      </c>
      <c r="J10" s="125">
        <v>0.50107117353011199</v>
      </c>
      <c r="K10" s="745">
        <v>4201000</v>
      </c>
    </row>
    <row r="11" spans="1:11" ht="12.75" customHeight="1" x14ac:dyDescent="0.2">
      <c r="A11" s="788" t="s">
        <v>1021</v>
      </c>
      <c r="B11" s="170"/>
      <c r="C11" s="758">
        <v>28957000</v>
      </c>
      <c r="D11" s="755">
        <v>28118000</v>
      </c>
      <c r="E11" s="743">
        <v>28118000</v>
      </c>
      <c r="F11" s="743">
        <v>0</v>
      </c>
      <c r="G11" s="743">
        <v>28118000</v>
      </c>
      <c r="H11" s="743">
        <f t="shared" si="1"/>
        <v>14059000</v>
      </c>
      <c r="I11" s="45">
        <v>10066801.668503072</v>
      </c>
      <c r="J11" s="125">
        <v>2.148118998898159</v>
      </c>
      <c r="K11" s="745">
        <v>28118000</v>
      </c>
    </row>
    <row r="12" spans="1:11" ht="12.75" customHeight="1" x14ac:dyDescent="0.2">
      <c r="A12" s="788" t="s">
        <v>1018</v>
      </c>
      <c r="B12" s="170"/>
      <c r="C12" s="758">
        <v>3048000</v>
      </c>
      <c r="D12" s="755">
        <v>2500000</v>
      </c>
      <c r="E12" s="743">
        <v>2500000</v>
      </c>
      <c r="F12" s="743">
        <v>0</v>
      </c>
      <c r="G12" s="743">
        <v>2500000</v>
      </c>
      <c r="H12" s="743">
        <f t="shared" si="1"/>
        <v>1250000</v>
      </c>
      <c r="I12" s="45">
        <v>2083333.3333333333</v>
      </c>
      <c r="J12" s="125">
        <v>5</v>
      </c>
      <c r="K12" s="745">
        <v>2500000</v>
      </c>
    </row>
    <row r="13" spans="1:11" ht="12.75" customHeight="1" x14ac:dyDescent="0.2">
      <c r="A13" s="788" t="s">
        <v>50</v>
      </c>
      <c r="B13" s="170"/>
      <c r="C13" s="758">
        <v>47418000</v>
      </c>
      <c r="D13" s="755">
        <v>0</v>
      </c>
      <c r="E13" s="743">
        <v>0</v>
      </c>
      <c r="F13" s="743">
        <v>0</v>
      </c>
      <c r="G13" s="743">
        <v>0</v>
      </c>
      <c r="H13" s="743">
        <f t="shared" si="1"/>
        <v>0</v>
      </c>
      <c r="I13" s="45">
        <v>0</v>
      </c>
      <c r="J13" s="125" t="s">
        <v>1631</v>
      </c>
      <c r="K13" s="745">
        <v>0</v>
      </c>
    </row>
    <row r="14" spans="1:11" ht="12.75" customHeight="1" x14ac:dyDescent="0.2">
      <c r="A14" s="971" t="s">
        <v>1454</v>
      </c>
      <c r="B14" s="170">
        <v>3</v>
      </c>
      <c r="C14" s="758">
        <v>60882556</v>
      </c>
      <c r="D14" s="755">
        <v>20000000</v>
      </c>
      <c r="E14" s="743">
        <v>20000000</v>
      </c>
      <c r="F14" s="743">
        <v>0</v>
      </c>
      <c r="G14" s="743">
        <v>9000016.7193325646</v>
      </c>
      <c r="H14" s="743">
        <f t="shared" si="1"/>
        <v>10000000</v>
      </c>
      <c r="I14" s="45">
        <v>-333327.76022247877</v>
      </c>
      <c r="J14" s="125">
        <v>-9.9998328066743622E-2</v>
      </c>
      <c r="K14" s="745">
        <v>20000000</v>
      </c>
    </row>
    <row r="15" spans="1:11" ht="12.75" customHeight="1" x14ac:dyDescent="0.2">
      <c r="A15" s="788" t="s">
        <v>1443</v>
      </c>
      <c r="B15" s="170"/>
      <c r="C15" s="758">
        <v>6500000</v>
      </c>
      <c r="D15" s="755">
        <v>5111000</v>
      </c>
      <c r="E15" s="743">
        <v>5111000</v>
      </c>
      <c r="F15" s="743">
        <v>0</v>
      </c>
      <c r="G15" s="743">
        <v>2500000</v>
      </c>
      <c r="H15" s="743">
        <f t="shared" si="1"/>
        <v>2555500</v>
      </c>
      <c r="I15" s="45">
        <v>1648166.6666666665</v>
      </c>
      <c r="J15" s="125">
        <v>1.9348464097045586</v>
      </c>
      <c r="K15" s="745">
        <v>5111000</v>
      </c>
    </row>
    <row r="16" spans="1:11" ht="12.75" customHeight="1" x14ac:dyDescent="0.2">
      <c r="A16" s="788" t="s">
        <v>1020</v>
      </c>
      <c r="B16" s="170"/>
      <c r="C16" s="758">
        <v>8000000</v>
      </c>
      <c r="D16" s="755">
        <v>8000000</v>
      </c>
      <c r="E16" s="743">
        <v>8000000</v>
      </c>
      <c r="F16" s="743">
        <v>0</v>
      </c>
      <c r="G16" s="743">
        <v>6000000</v>
      </c>
      <c r="H16" s="743">
        <f t="shared" si="1"/>
        <v>4000000</v>
      </c>
      <c r="I16" s="45">
        <v>1666666.6666666667</v>
      </c>
      <c r="J16" s="125">
        <v>1.2500000000000002</v>
      </c>
      <c r="K16" s="745">
        <v>8000000</v>
      </c>
    </row>
    <row r="17" spans="1:11" ht="12.75" customHeight="1" x14ac:dyDescent="0.2">
      <c r="A17" s="971" t="s">
        <v>1455</v>
      </c>
      <c r="B17" s="170"/>
      <c r="C17" s="758">
        <v>1400000</v>
      </c>
      <c r="D17" s="755">
        <v>1933000</v>
      </c>
      <c r="E17" s="743">
        <v>1933000</v>
      </c>
      <c r="F17" s="743">
        <v>0</v>
      </c>
      <c r="G17" s="743">
        <v>1553100</v>
      </c>
      <c r="H17" s="743">
        <f t="shared" si="1"/>
        <v>966500</v>
      </c>
      <c r="I17" s="45">
        <v>64433.333333333314</v>
      </c>
      <c r="J17" s="125">
        <v>0.19999999999999993</v>
      </c>
      <c r="K17" s="745">
        <v>1933000</v>
      </c>
    </row>
    <row r="18" spans="1:11" ht="12.75" customHeight="1" x14ac:dyDescent="0.2">
      <c r="A18" s="971" t="s">
        <v>1630</v>
      </c>
      <c r="B18" s="170"/>
      <c r="C18" s="758">
        <v>0</v>
      </c>
      <c r="D18" s="755">
        <v>46915000</v>
      </c>
      <c r="E18" s="743">
        <v>46915000</v>
      </c>
      <c r="F18" s="743">
        <v>0</v>
      </c>
      <c r="G18" s="743">
        <v>19222884.559464961</v>
      </c>
      <c r="H18" s="743">
        <f t="shared" si="1"/>
        <v>23457500</v>
      </c>
      <c r="I18" s="45">
        <v>11403717.892798293</v>
      </c>
      <c r="J18" s="125">
        <v>1.4584313621824525</v>
      </c>
      <c r="K18" s="745">
        <v>46915000</v>
      </c>
    </row>
    <row r="19" spans="1:11" ht="12.75" customHeight="1" x14ac:dyDescent="0.2">
      <c r="A19" s="788" t="s">
        <v>1463</v>
      </c>
      <c r="B19" s="170"/>
      <c r="C19" s="758">
        <v>1055000</v>
      </c>
      <c r="D19" s="755">
        <v>0</v>
      </c>
      <c r="E19" s="743">
        <v>0</v>
      </c>
      <c r="F19" s="743">
        <v>0</v>
      </c>
      <c r="G19" s="743">
        <v>0</v>
      </c>
      <c r="H19" s="743">
        <f t="shared" ref="H19" si="2">E19/12*5</f>
        <v>0</v>
      </c>
      <c r="I19" s="45">
        <v>0</v>
      </c>
      <c r="J19" s="125" t="s">
        <v>1631</v>
      </c>
      <c r="K19" s="745">
        <v>0</v>
      </c>
    </row>
    <row r="20" spans="1:11" ht="12.75" customHeight="1" x14ac:dyDescent="0.2">
      <c r="A20" s="107" t="s">
        <v>643</v>
      </c>
      <c r="B20" s="170"/>
      <c r="C20" s="519">
        <v>0</v>
      </c>
      <c r="D20" s="478">
        <v>0</v>
      </c>
      <c r="E20" s="433">
        <v>0</v>
      </c>
      <c r="F20" s="433">
        <v>0</v>
      </c>
      <c r="G20" s="433">
        <v>0</v>
      </c>
      <c r="H20" s="433">
        <v>0</v>
      </c>
      <c r="I20" s="433">
        <v>0</v>
      </c>
      <c r="J20" s="562" t="s">
        <v>1631</v>
      </c>
      <c r="K20" s="516">
        <v>0</v>
      </c>
    </row>
    <row r="21" spans="1:11" ht="12.75" customHeight="1" x14ac:dyDescent="0.2">
      <c r="A21" s="788" t="s">
        <v>1463</v>
      </c>
      <c r="B21" s="170"/>
      <c r="C21" s="789">
        <v>0</v>
      </c>
      <c r="D21" s="790">
        <v>0</v>
      </c>
      <c r="E21" s="744">
        <v>0</v>
      </c>
      <c r="F21" s="744"/>
      <c r="G21" s="744">
        <v>0</v>
      </c>
      <c r="H21" s="744">
        <v>0</v>
      </c>
      <c r="I21" s="517">
        <v>0</v>
      </c>
      <c r="J21" s="561" t="s">
        <v>1631</v>
      </c>
      <c r="K21" s="746">
        <v>0</v>
      </c>
    </row>
    <row r="22" spans="1:11" ht="12.75" customHeight="1" x14ac:dyDescent="0.2">
      <c r="A22" s="788"/>
      <c r="B22" s="170"/>
      <c r="C22" s="758"/>
      <c r="D22" s="755"/>
      <c r="E22" s="743"/>
      <c r="F22" s="743"/>
      <c r="G22" s="743"/>
      <c r="H22" s="743"/>
      <c r="I22" s="45"/>
      <c r="J22" s="125"/>
      <c r="K22" s="745">
        <v>0</v>
      </c>
    </row>
    <row r="23" spans="1:11" ht="12.75" customHeight="1" x14ac:dyDescent="0.2">
      <c r="A23" s="788"/>
      <c r="B23" s="170"/>
      <c r="C23" s="758"/>
      <c r="D23" s="755"/>
      <c r="E23" s="743"/>
      <c r="F23" s="743"/>
      <c r="G23" s="743"/>
      <c r="H23" s="743"/>
      <c r="I23" s="45">
        <v>0</v>
      </c>
      <c r="J23" s="125" t="s">
        <v>1631</v>
      </c>
      <c r="K23" s="745">
        <v>0</v>
      </c>
    </row>
    <row r="24" spans="1:11" ht="12.75" customHeight="1" x14ac:dyDescent="0.2">
      <c r="A24" s="788"/>
      <c r="B24" s="170">
        <v>4</v>
      </c>
      <c r="C24" s="758"/>
      <c r="D24" s="755"/>
      <c r="E24" s="743"/>
      <c r="F24" s="743"/>
      <c r="G24" s="743"/>
      <c r="H24" s="743"/>
      <c r="I24" s="45">
        <v>0</v>
      </c>
      <c r="J24" s="125" t="s">
        <v>1631</v>
      </c>
      <c r="K24" s="745">
        <v>0</v>
      </c>
    </row>
    <row r="25" spans="1:11" ht="12.75" customHeight="1" x14ac:dyDescent="0.2">
      <c r="A25" s="788"/>
      <c r="B25" s="170"/>
      <c r="C25" s="758"/>
      <c r="D25" s="755"/>
      <c r="E25" s="743"/>
      <c r="F25" s="743"/>
      <c r="G25" s="743"/>
      <c r="H25" s="743"/>
      <c r="I25" s="45">
        <v>0</v>
      </c>
      <c r="J25" s="125" t="s">
        <v>1631</v>
      </c>
      <c r="K25" s="745">
        <v>0</v>
      </c>
    </row>
    <row r="26" spans="1:11" ht="12.75" customHeight="1" x14ac:dyDescent="0.2">
      <c r="A26" s="788" t="s">
        <v>551</v>
      </c>
      <c r="B26" s="170"/>
      <c r="C26" s="758"/>
      <c r="D26" s="755"/>
      <c r="E26" s="743"/>
      <c r="F26" s="743"/>
      <c r="G26" s="743"/>
      <c r="H26" s="743"/>
      <c r="I26" s="45">
        <v>0</v>
      </c>
      <c r="J26" s="125" t="s">
        <v>1631</v>
      </c>
      <c r="K26" s="745">
        <v>0</v>
      </c>
    </row>
    <row r="27" spans="1:11" ht="12.75" customHeight="1" x14ac:dyDescent="0.2">
      <c r="A27" s="107" t="s">
        <v>533</v>
      </c>
      <c r="B27" s="170"/>
      <c r="C27" s="519">
        <v>0</v>
      </c>
      <c r="D27" s="478">
        <v>0</v>
      </c>
      <c r="E27" s="433">
        <v>0</v>
      </c>
      <c r="F27" s="433">
        <v>0</v>
      </c>
      <c r="G27" s="433">
        <v>0</v>
      </c>
      <c r="H27" s="433">
        <v>0</v>
      </c>
      <c r="I27" s="517">
        <v>0</v>
      </c>
      <c r="J27" s="561" t="s">
        <v>1631</v>
      </c>
      <c r="K27" s="516">
        <v>0</v>
      </c>
    </row>
    <row r="28" spans="1:11" ht="12.75" customHeight="1" x14ac:dyDescent="0.2">
      <c r="A28" s="979" t="s">
        <v>1465</v>
      </c>
      <c r="B28" s="170"/>
      <c r="C28" s="793"/>
      <c r="D28" s="794"/>
      <c r="E28" s="747">
        <v>0</v>
      </c>
      <c r="F28" s="747"/>
      <c r="G28" s="747"/>
      <c r="H28" s="747">
        <v>0</v>
      </c>
      <c r="I28" s="517">
        <v>0</v>
      </c>
      <c r="J28" s="561" t="s">
        <v>1631</v>
      </c>
      <c r="K28" s="748">
        <v>0</v>
      </c>
    </row>
    <row r="29" spans="1:11" ht="12.75" customHeight="1" x14ac:dyDescent="0.2">
      <c r="A29" s="792"/>
      <c r="B29" s="170"/>
      <c r="C29" s="758"/>
      <c r="D29" s="755"/>
      <c r="E29" s="743"/>
      <c r="F29" s="743"/>
      <c r="G29" s="743"/>
      <c r="H29" s="743"/>
      <c r="I29" s="45">
        <v>0</v>
      </c>
      <c r="J29" s="125" t="s">
        <v>1631</v>
      </c>
      <c r="K29" s="745"/>
    </row>
    <row r="30" spans="1:11" ht="12.75" customHeight="1" x14ac:dyDescent="0.2">
      <c r="A30" s="107" t="s">
        <v>840</v>
      </c>
      <c r="B30" s="170"/>
      <c r="C30" s="519">
        <v>0</v>
      </c>
      <c r="D30" s="478">
        <v>0</v>
      </c>
      <c r="E30" s="433">
        <v>0</v>
      </c>
      <c r="F30" s="433">
        <v>0</v>
      </c>
      <c r="G30" s="433">
        <v>0</v>
      </c>
      <c r="H30" s="433">
        <v>0</v>
      </c>
      <c r="I30" s="517">
        <v>0</v>
      </c>
      <c r="J30" s="561" t="s">
        <v>1631</v>
      </c>
      <c r="K30" s="516">
        <v>0</v>
      </c>
    </row>
    <row r="31" spans="1:11" ht="12.75" customHeight="1" x14ac:dyDescent="0.2">
      <c r="A31" s="791" t="s">
        <v>586</v>
      </c>
      <c r="B31" s="170"/>
      <c r="C31" s="793"/>
      <c r="D31" s="794"/>
      <c r="E31" s="747"/>
      <c r="F31" s="747"/>
      <c r="G31" s="747"/>
      <c r="H31" s="747"/>
      <c r="I31" s="517">
        <v>0</v>
      </c>
      <c r="J31" s="561" t="s">
        <v>1631</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v>0</v>
      </c>
      <c r="J37" s="125" t="s">
        <v>1631</v>
      </c>
      <c r="K37" s="745"/>
    </row>
    <row r="38" spans="1:11" ht="12.75" customHeight="1" x14ac:dyDescent="0.2">
      <c r="A38" s="567" t="s">
        <v>62</v>
      </c>
      <c r="B38" s="234">
        <v>5</v>
      </c>
      <c r="C38" s="244">
        <f>C30+C27+C20+C8</f>
        <v>994438556</v>
      </c>
      <c r="D38" s="75">
        <f t="shared" ref="D38:H38" si="3">D30+D27+D20+D8</f>
        <v>1039367000</v>
      </c>
      <c r="E38" s="74">
        <f t="shared" si="3"/>
        <v>1039367000</v>
      </c>
      <c r="F38" s="74">
        <f t="shared" si="3"/>
        <v>193765000</v>
      </c>
      <c r="G38" s="74">
        <f t="shared" si="3"/>
        <v>650013001.27879751</v>
      </c>
      <c r="H38" s="74">
        <f t="shared" si="3"/>
        <v>519683500</v>
      </c>
      <c r="I38" s="74">
        <f t="shared" ref="I38" si="4">I14+I26+I32+I35</f>
        <v>-333327.76022247877</v>
      </c>
      <c r="J38" s="307">
        <v>1.4870462029355112</v>
      </c>
      <c r="K38" s="146">
        <f t="shared" ref="K38" si="5">K30+K27+K20+K8</f>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7">
        <f>SUM(E42:E52)</f>
        <v>1267136000</v>
      </c>
      <c r="F41" s="45">
        <f t="shared" ref="F41:K41" si="6">SUM(F42:F52)</f>
        <v>0</v>
      </c>
      <c r="G41" s="45">
        <f t="shared" si="6"/>
        <v>669969998.72120249</v>
      </c>
      <c r="H41" s="45">
        <f t="shared" si="6"/>
        <v>633568000</v>
      </c>
      <c r="I41" s="45">
        <f t="shared" si="6"/>
        <v>125086041.53225446</v>
      </c>
      <c r="J41" s="346">
        <f t="shared" si="6"/>
        <v>3.5703000330587837</v>
      </c>
      <c r="K41" s="145">
        <f t="shared" si="6"/>
        <v>1267136000</v>
      </c>
    </row>
    <row r="42" spans="1:11" ht="12.75" customHeight="1" x14ac:dyDescent="0.2">
      <c r="A42" s="788" t="s">
        <v>1629</v>
      </c>
      <c r="B42" s="170"/>
      <c r="C42" s="789">
        <v>283459000</v>
      </c>
      <c r="D42" s="790">
        <v>0</v>
      </c>
      <c r="E42" s="744">
        <v>0</v>
      </c>
      <c r="F42" s="744">
        <v>0</v>
      </c>
      <c r="G42" s="744">
        <v>0</v>
      </c>
      <c r="H42" s="744">
        <f t="shared" ref="H42:H51" si="7">E42/12*5</f>
        <v>0</v>
      </c>
      <c r="I42" s="517">
        <v>0</v>
      </c>
      <c r="J42" s="561" t="s">
        <v>1631</v>
      </c>
      <c r="K42" s="746">
        <v>0</v>
      </c>
    </row>
    <row r="43" spans="1:11" ht="12.75" customHeight="1" x14ac:dyDescent="0.2">
      <c r="A43" s="788" t="s">
        <v>1454</v>
      </c>
      <c r="B43" s="170"/>
      <c r="C43" s="758">
        <v>361094048.56999999</v>
      </c>
      <c r="D43" s="755">
        <v>159433000</v>
      </c>
      <c r="E43" s="743">
        <v>159433000</v>
      </c>
      <c r="F43" s="743">
        <v>0</v>
      </c>
      <c r="G43" s="743">
        <v>71744983.280667439</v>
      </c>
      <c r="H43" s="743">
        <f>E43/12*6</f>
        <v>79716500</v>
      </c>
      <c r="I43" s="45">
        <v>-2657172.2397775203</v>
      </c>
      <c r="J43" s="125">
        <v>-9.9998328066743525E-2</v>
      </c>
      <c r="K43" s="745">
        <v>159433000</v>
      </c>
    </row>
    <row r="44" spans="1:11" ht="12.75" customHeight="1" x14ac:dyDescent="0.2">
      <c r="A44" s="788" t="s">
        <v>1029</v>
      </c>
      <c r="B44" s="170"/>
      <c r="C44" s="758">
        <v>370505000</v>
      </c>
      <c r="D44" s="755">
        <v>630998000</v>
      </c>
      <c r="E44" s="743">
        <v>630998000</v>
      </c>
      <c r="F44" s="743">
        <v>0</v>
      </c>
      <c r="G44" s="743">
        <v>346346000</v>
      </c>
      <c r="H44" s="743">
        <f t="shared" ref="H44:H48" si="8">E44/12*6</f>
        <v>315499000</v>
      </c>
      <c r="I44" s="45">
        <v>44226666.666666672</v>
      </c>
      <c r="J44" s="125">
        <v>0.42054016019068213</v>
      </c>
      <c r="K44" s="745">
        <v>630998000</v>
      </c>
    </row>
    <row r="45" spans="1:11" ht="12.75" customHeight="1" x14ac:dyDescent="0.2">
      <c r="A45" s="788" t="s">
        <v>1031</v>
      </c>
      <c r="B45" s="170"/>
      <c r="C45" s="758">
        <v>45000000</v>
      </c>
      <c r="D45" s="755">
        <v>40613000</v>
      </c>
      <c r="E45" s="743">
        <v>40613000</v>
      </c>
      <c r="F45" s="743">
        <v>0</v>
      </c>
      <c r="G45" s="743">
        <v>30000000</v>
      </c>
      <c r="H45" s="743">
        <f t="shared" si="8"/>
        <v>20306500</v>
      </c>
      <c r="I45" s="45">
        <v>-3768833.333333333</v>
      </c>
      <c r="J45" s="125">
        <v>-0.55679216014576616</v>
      </c>
      <c r="K45" s="745">
        <v>40613000</v>
      </c>
    </row>
    <row r="46" spans="1:11" ht="12.75" customHeight="1" x14ac:dyDescent="0.2">
      <c r="A46" s="971" t="s">
        <v>1455</v>
      </c>
      <c r="B46" s="170"/>
      <c r="C46" s="758">
        <v>88600000</v>
      </c>
      <c r="D46" s="755">
        <v>94717000</v>
      </c>
      <c r="E46" s="743">
        <v>94717000</v>
      </c>
      <c r="F46" s="743">
        <v>0</v>
      </c>
      <c r="G46" s="743">
        <v>76101900</v>
      </c>
      <c r="H46" s="743">
        <f t="shared" si="8"/>
        <v>47358500</v>
      </c>
      <c r="I46" s="45">
        <v>3157233.333333334</v>
      </c>
      <c r="J46" s="125">
        <v>0.20000000000000004</v>
      </c>
      <c r="K46" s="745">
        <v>94717000</v>
      </c>
    </row>
    <row r="47" spans="1:11" ht="12.75" customHeight="1" x14ac:dyDescent="0.2">
      <c r="A47" s="788" t="s">
        <v>1021</v>
      </c>
      <c r="B47" s="170"/>
      <c r="C47" s="758">
        <v>10000000</v>
      </c>
      <c r="D47" s="755">
        <v>10000000</v>
      </c>
      <c r="E47" s="743">
        <v>10000000</v>
      </c>
      <c r="F47" s="743">
        <v>0</v>
      </c>
      <c r="G47" s="743">
        <v>10000000</v>
      </c>
      <c r="H47" s="743">
        <f t="shared" si="8"/>
        <v>5000000</v>
      </c>
      <c r="I47" s="45">
        <v>3580198.3314969307</v>
      </c>
      <c r="J47" s="125">
        <v>2.1481189988981582</v>
      </c>
      <c r="K47" s="745">
        <v>10000000</v>
      </c>
    </row>
    <row r="48" spans="1:11" ht="12.75" customHeight="1" x14ac:dyDescent="0.2">
      <c r="A48" s="788" t="s">
        <v>1630</v>
      </c>
      <c r="B48" s="170"/>
      <c r="C48" s="758">
        <v>0</v>
      </c>
      <c r="D48" s="755">
        <v>331375000</v>
      </c>
      <c r="E48" s="743">
        <v>331375000</v>
      </c>
      <c r="F48" s="743">
        <v>0</v>
      </c>
      <c r="G48" s="743">
        <v>135777115.44053504</v>
      </c>
      <c r="H48" s="743">
        <f t="shared" si="8"/>
        <v>165687500</v>
      </c>
      <c r="I48" s="45">
        <v>80547948.773868382</v>
      </c>
      <c r="J48" s="125">
        <v>1.458431362182453</v>
      </c>
      <c r="K48" s="745">
        <v>331375000</v>
      </c>
    </row>
    <row r="49" spans="1:11" ht="12.75" customHeight="1" x14ac:dyDescent="0.2">
      <c r="A49" s="788"/>
      <c r="B49" s="170"/>
      <c r="C49" s="758"/>
      <c r="D49" s="755">
        <v>0</v>
      </c>
      <c r="E49" s="743">
        <v>0</v>
      </c>
      <c r="F49" s="743">
        <v>0</v>
      </c>
      <c r="G49" s="743">
        <v>0</v>
      </c>
      <c r="H49" s="743">
        <f t="shared" si="7"/>
        <v>0</v>
      </c>
      <c r="I49" s="45">
        <v>0</v>
      </c>
      <c r="J49" s="125" t="s">
        <v>1631</v>
      </c>
      <c r="K49" s="745">
        <v>0</v>
      </c>
    </row>
    <row r="50" spans="1:11" ht="12.75" customHeight="1" x14ac:dyDescent="0.2">
      <c r="A50" s="788"/>
      <c r="B50" s="170"/>
      <c r="C50" s="758"/>
      <c r="D50" s="755">
        <v>0</v>
      </c>
      <c r="E50" s="743">
        <v>0</v>
      </c>
      <c r="F50" s="743">
        <v>0</v>
      </c>
      <c r="G50" s="743">
        <v>0</v>
      </c>
      <c r="H50" s="743">
        <f t="shared" si="7"/>
        <v>0</v>
      </c>
      <c r="I50" s="45">
        <v>0</v>
      </c>
      <c r="J50" s="125" t="s">
        <v>1631</v>
      </c>
      <c r="K50" s="745">
        <v>0</v>
      </c>
    </row>
    <row r="51" spans="1:11" ht="12.75" customHeight="1" x14ac:dyDescent="0.2">
      <c r="A51" s="788" t="s">
        <v>552</v>
      </c>
      <c r="B51" s="170"/>
      <c r="C51" s="758"/>
      <c r="D51" s="755">
        <v>0</v>
      </c>
      <c r="E51" s="743">
        <v>0</v>
      </c>
      <c r="F51" s="743">
        <v>0</v>
      </c>
      <c r="G51" s="743">
        <v>0</v>
      </c>
      <c r="H51" s="743">
        <f t="shared" si="7"/>
        <v>0</v>
      </c>
      <c r="I51" s="45">
        <v>0</v>
      </c>
      <c r="J51" s="125" t="s">
        <v>1631</v>
      </c>
      <c r="K51" s="745">
        <v>0</v>
      </c>
    </row>
    <row r="52" spans="1:11" ht="12.75" customHeight="1" x14ac:dyDescent="0.2">
      <c r="A52" s="345" t="str">
        <f>A20</f>
        <v>Provincial Government:</v>
      </c>
      <c r="B52" s="170"/>
      <c r="C52" s="519">
        <v>0</v>
      </c>
      <c r="D52" s="478">
        <v>0</v>
      </c>
      <c r="E52" s="433">
        <v>0</v>
      </c>
      <c r="F52" s="433">
        <v>0</v>
      </c>
      <c r="G52" s="433">
        <v>0</v>
      </c>
      <c r="H52" s="433">
        <v>0</v>
      </c>
      <c r="I52" s="517">
        <v>0</v>
      </c>
      <c r="J52" s="561" t="s">
        <v>1631</v>
      </c>
      <c r="K52" s="516">
        <v>0</v>
      </c>
    </row>
    <row r="53" spans="1:11" ht="12.75" customHeight="1" x14ac:dyDescent="0.2">
      <c r="A53" s="791" t="s">
        <v>586</v>
      </c>
      <c r="B53" s="170"/>
      <c r="C53" s="793"/>
      <c r="D53" s="794"/>
      <c r="E53" s="747"/>
      <c r="F53" s="747"/>
      <c r="G53" s="747"/>
      <c r="H53" s="747"/>
      <c r="I53" s="517">
        <v>0</v>
      </c>
      <c r="J53" s="561" t="s">
        <v>1631</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v>0</v>
      </c>
      <c r="J58" s="125" t="s">
        <v>1631</v>
      </c>
      <c r="K58" s="745"/>
    </row>
    <row r="59" spans="1:11" ht="12.75" customHeight="1" x14ac:dyDescent="0.2">
      <c r="A59" s="107" t="str">
        <f>A27</f>
        <v>District Municipality:</v>
      </c>
      <c r="B59" s="170"/>
      <c r="C59" s="519">
        <v>0</v>
      </c>
      <c r="D59" s="478">
        <v>0</v>
      </c>
      <c r="E59" s="433">
        <v>0</v>
      </c>
      <c r="F59" s="433">
        <v>0</v>
      </c>
      <c r="G59" s="433">
        <v>0</v>
      </c>
      <c r="H59" s="433">
        <v>0</v>
      </c>
      <c r="I59" s="517">
        <v>0</v>
      </c>
      <c r="J59" s="561" t="s">
        <v>1631</v>
      </c>
      <c r="K59" s="516">
        <v>0</v>
      </c>
    </row>
    <row r="60" spans="1:11" ht="12.75" customHeight="1" x14ac:dyDescent="0.2">
      <c r="A60" s="791" t="s">
        <v>586</v>
      </c>
      <c r="B60" s="170"/>
      <c r="C60" s="793"/>
      <c r="D60" s="794"/>
      <c r="E60" s="747"/>
      <c r="F60" s="747"/>
      <c r="G60" s="747"/>
      <c r="H60" s="747"/>
      <c r="I60" s="517">
        <v>0</v>
      </c>
      <c r="J60" s="561" t="s">
        <v>1631</v>
      </c>
      <c r="K60" s="748"/>
    </row>
    <row r="61" spans="1:11" ht="12.75" customHeight="1" x14ac:dyDescent="0.2">
      <c r="A61" s="792"/>
      <c r="B61" s="170"/>
      <c r="C61" s="758"/>
      <c r="D61" s="755"/>
      <c r="E61" s="743"/>
      <c r="F61" s="743"/>
      <c r="G61" s="743"/>
      <c r="H61" s="743"/>
      <c r="I61" s="45">
        <v>0</v>
      </c>
      <c r="J61" s="125" t="s">
        <v>1631</v>
      </c>
      <c r="K61" s="745"/>
    </row>
    <row r="62" spans="1:11" ht="12.75" customHeight="1" x14ac:dyDescent="0.2">
      <c r="A62" s="107" t="str">
        <f>A30</f>
        <v>Other grant providers:</v>
      </c>
      <c r="B62" s="170"/>
      <c r="C62" s="519">
        <v>0</v>
      </c>
      <c r="D62" s="478">
        <v>0</v>
      </c>
      <c r="E62" s="433">
        <v>0</v>
      </c>
      <c r="F62" s="433">
        <v>0</v>
      </c>
      <c r="G62" s="433">
        <v>0</v>
      </c>
      <c r="H62" s="433">
        <v>0</v>
      </c>
      <c r="I62" s="517">
        <v>0</v>
      </c>
      <c r="J62" s="561" t="s">
        <v>1631</v>
      </c>
      <c r="K62" s="516">
        <v>0</v>
      </c>
    </row>
    <row r="63" spans="1:11" ht="12.75" customHeight="1" x14ac:dyDescent="0.2">
      <c r="A63" s="791" t="s">
        <v>586</v>
      </c>
      <c r="B63" s="170"/>
      <c r="C63" s="793"/>
      <c r="D63" s="794"/>
      <c r="E63" s="747"/>
      <c r="F63" s="747"/>
      <c r="G63" s="747"/>
      <c r="H63" s="747"/>
      <c r="I63" s="517">
        <v>0</v>
      </c>
      <c r="J63" s="561" t="s">
        <v>1631</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980">
        <v>0</v>
      </c>
      <c r="I68" s="45">
        <v>0</v>
      </c>
      <c r="J68" s="125" t="s">
        <v>1631</v>
      </c>
      <c r="K68" s="745"/>
    </row>
    <row r="69" spans="1:11" ht="12.75" customHeight="1" x14ac:dyDescent="0.2">
      <c r="A69" s="566" t="s">
        <v>64</v>
      </c>
      <c r="B69" s="312">
        <v>5</v>
      </c>
      <c r="C69" s="519">
        <f>C62+C59+C52+C41</f>
        <v>1158658048.5699999</v>
      </c>
      <c r="D69" s="519">
        <f t="shared" ref="D69:I69" si="9">D62+D59+D52+D41</f>
        <v>1267136000</v>
      </c>
      <c r="E69" s="519">
        <f t="shared" si="9"/>
        <v>1267136000</v>
      </c>
      <c r="F69" s="519">
        <f t="shared" si="9"/>
        <v>0</v>
      </c>
      <c r="G69" s="519">
        <f t="shared" si="9"/>
        <v>669969998.72120249</v>
      </c>
      <c r="H69" s="519">
        <f t="shared" si="9"/>
        <v>633568000</v>
      </c>
      <c r="I69" s="519">
        <f t="shared" si="9"/>
        <v>125086041.53225446</v>
      </c>
      <c r="J69" s="562">
        <v>0.59229336803115595</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f>E69+E38</f>
        <v>2306503000</v>
      </c>
      <c r="F71" s="308">
        <f t="shared" ref="F71" si="10">F69+F38</f>
        <v>193765000</v>
      </c>
      <c r="G71" s="309">
        <f>G69+G38</f>
        <v>1319983000</v>
      </c>
      <c r="H71" s="309">
        <f>H69+H38</f>
        <v>1153251500</v>
      </c>
      <c r="I71" s="309">
        <v>382683833.33333337</v>
      </c>
      <c r="J71" s="310">
        <v>0.99549100954995529</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5" activePane="bottomRight" state="frozen"/>
      <selection pane="topRight"/>
      <selection pane="bottomLeft"/>
      <selection pane="bottomRight" activeCell="H44" sqref="H44"/>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"&amp;S71M&amp; " - "&amp;Head57</f>
        <v>LIM354 Polokwane - Supporting Table SC7(1) Monthly Budget Statement - transfers and grant expenditure  - M06 December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1039367000</v>
      </c>
      <c r="F8" s="51">
        <f t="shared" ref="F8:H8" si="0">SUM(F9:F19)</f>
        <v>202650112.21000001</v>
      </c>
      <c r="G8" s="51">
        <f t="shared" si="0"/>
        <v>621017191.66850007</v>
      </c>
      <c r="H8" s="51">
        <f t="shared" si="0"/>
        <v>519683500</v>
      </c>
      <c r="I8" s="51">
        <v>-587318415.42505264</v>
      </c>
      <c r="J8" s="346">
        <v>-0.59123025731367418</v>
      </c>
      <c r="K8" s="195">
        <v>1039367000</v>
      </c>
    </row>
    <row r="9" spans="1:11" x14ac:dyDescent="0.2">
      <c r="A9" s="399" t="str">
        <f>'SC6'!A9</f>
        <v>Local Government Equitable Share</v>
      </c>
      <c r="B9" s="170"/>
      <c r="C9" s="977">
        <f>'SC6'!C9</f>
        <v>831436000</v>
      </c>
      <c r="D9" s="790">
        <f>'SC6'!D9</f>
        <v>922589000</v>
      </c>
      <c r="E9" s="744">
        <v>922589000</v>
      </c>
      <c r="F9" s="744">
        <v>193765000</v>
      </c>
      <c r="G9" s="744">
        <v>578177000</v>
      </c>
      <c r="H9" s="744">
        <f>E9/12*6</f>
        <v>461294500</v>
      </c>
      <c r="I9" s="517">
        <v>-447024000</v>
      </c>
      <c r="J9" s="561">
        <v>-0.53765292818689592</v>
      </c>
      <c r="K9" s="746">
        <v>922589000</v>
      </c>
    </row>
    <row r="10" spans="1:11" ht="12.75" customHeight="1" x14ac:dyDescent="0.2">
      <c r="A10" s="399" t="str">
        <f>'SC6'!A10</f>
        <v>EPWP Incentive</v>
      </c>
      <c r="B10" s="170"/>
      <c r="C10" s="976">
        <f>'SC6'!C10</f>
        <v>5742000</v>
      </c>
      <c r="D10" s="755">
        <f>'SC6'!D10</f>
        <v>4201000</v>
      </c>
      <c r="E10" s="743">
        <v>4201000</v>
      </c>
      <c r="F10" s="743">
        <v>375910.24999999953</v>
      </c>
      <c r="G10" s="743">
        <v>2574267.3599999994</v>
      </c>
      <c r="H10" s="743">
        <f>E10/12*6</f>
        <v>2100500</v>
      </c>
      <c r="I10" s="45">
        <v>-5742000</v>
      </c>
      <c r="J10" s="125">
        <v>-1</v>
      </c>
      <c r="K10" s="745">
        <v>4201000</v>
      </c>
    </row>
    <row r="11" spans="1:11" ht="12.75" customHeight="1" x14ac:dyDescent="0.2">
      <c r="A11" s="399" t="str">
        <f>'SC6'!A11</f>
        <v>Integrated National Electrification Programme</v>
      </c>
      <c r="B11" s="170"/>
      <c r="C11" s="976">
        <f>'SC6'!C11</f>
        <v>28957000</v>
      </c>
      <c r="D11" s="755">
        <f>'SC6'!D11</f>
        <v>28118000</v>
      </c>
      <c r="E11" s="743">
        <v>28118000</v>
      </c>
      <c r="F11" s="743">
        <v>1113913.18</v>
      </c>
      <c r="G11" s="743">
        <v>6845156.3499999978</v>
      </c>
      <c r="H11" s="743">
        <f t="shared" ref="H11:H18" si="1">E11/12*6</f>
        <v>14059000</v>
      </c>
      <c r="I11" s="45">
        <v>-14203864.998163596</v>
      </c>
      <c r="J11" s="125">
        <v>-0.49051576469121788</v>
      </c>
      <c r="K11" s="745">
        <v>28118000</v>
      </c>
    </row>
    <row r="12" spans="1:11" ht="12.75" customHeight="1" x14ac:dyDescent="0.2">
      <c r="A12" s="399" t="str">
        <f>'SC6'!A12</f>
        <v xml:space="preserve">Finance Management </v>
      </c>
      <c r="B12" s="170"/>
      <c r="C12" s="976">
        <f>'SC6'!C12</f>
        <v>3048000</v>
      </c>
      <c r="D12" s="755">
        <f>'SC6'!D12</f>
        <v>2500000</v>
      </c>
      <c r="E12" s="743">
        <v>2500000</v>
      </c>
      <c r="F12" s="743">
        <v>656592.03</v>
      </c>
      <c r="G12" s="743">
        <v>1550189.9885</v>
      </c>
      <c r="H12" s="743">
        <f t="shared" si="1"/>
        <v>1250000</v>
      </c>
      <c r="I12" s="45">
        <v>-3048000</v>
      </c>
      <c r="J12" s="125">
        <v>-1</v>
      </c>
      <c r="K12" s="745">
        <v>2500000</v>
      </c>
    </row>
    <row r="13" spans="1:11" ht="12.75" customHeight="1" x14ac:dyDescent="0.2">
      <c r="A13" s="399" t="str">
        <f>'SC6'!A13</f>
        <v>Municipal Infrastructure Grant (MIG)</v>
      </c>
      <c r="B13" s="170"/>
      <c r="C13" s="976">
        <f>'SC6'!C13</f>
        <v>47418000</v>
      </c>
      <c r="D13" s="755">
        <f>'SC6'!D13</f>
        <v>0</v>
      </c>
      <c r="E13" s="743">
        <v>0</v>
      </c>
      <c r="F13" s="743">
        <v>0</v>
      </c>
      <c r="G13" s="743">
        <v>0</v>
      </c>
      <c r="H13" s="743">
        <f t="shared" si="1"/>
        <v>0</v>
      </c>
      <c r="I13" s="45">
        <v>-8000000</v>
      </c>
      <c r="J13" s="125">
        <v>-1</v>
      </c>
      <c r="K13" s="745">
        <v>0</v>
      </c>
    </row>
    <row r="14" spans="1:11" ht="12.75" customHeight="1" x14ac:dyDescent="0.2">
      <c r="A14" s="399" t="s">
        <v>1444</v>
      </c>
      <c r="B14" s="170"/>
      <c r="C14" s="976">
        <f>'SC6'!C14</f>
        <v>60882556</v>
      </c>
      <c r="D14" s="755">
        <f>'SC6'!D14</f>
        <v>20000000</v>
      </c>
      <c r="E14" s="743">
        <v>20000000</v>
      </c>
      <c r="F14" s="743">
        <v>5312217.3800000008</v>
      </c>
      <c r="G14" s="743">
        <v>16779118.349999998</v>
      </c>
      <c r="H14" s="743">
        <f t="shared" si="1"/>
        <v>10000000</v>
      </c>
      <c r="I14" s="45">
        <v>-44417994.426889144</v>
      </c>
      <c r="J14" s="125">
        <v>-0.93673276871418332</v>
      </c>
      <c r="K14" s="745">
        <v>20000000</v>
      </c>
    </row>
    <row r="15" spans="1:11" ht="12.75" customHeight="1" x14ac:dyDescent="0.2">
      <c r="A15" s="399" t="s">
        <v>1443</v>
      </c>
      <c r="B15" s="170"/>
      <c r="C15" s="976">
        <f>'SC6'!C15</f>
        <v>6500000</v>
      </c>
      <c r="D15" s="755">
        <f>'SC6'!D15</f>
        <v>5111000</v>
      </c>
      <c r="E15" s="743">
        <v>5111000</v>
      </c>
      <c r="F15" s="743">
        <v>0</v>
      </c>
      <c r="G15" s="743">
        <v>0</v>
      </c>
      <c r="H15" s="743">
        <f t="shared" si="1"/>
        <v>2555500</v>
      </c>
      <c r="I15" s="45">
        <v>-58382556</v>
      </c>
      <c r="J15" s="125">
        <v>-0.95893733502253087</v>
      </c>
      <c r="K15" s="745">
        <v>5111000</v>
      </c>
    </row>
    <row r="16" spans="1:11" ht="12.75" customHeight="1" x14ac:dyDescent="0.2">
      <c r="A16" s="399" t="s">
        <v>1020</v>
      </c>
      <c r="B16" s="170"/>
      <c r="C16" s="976">
        <f>'SC6'!C16</f>
        <v>8000000</v>
      </c>
      <c r="D16" s="755">
        <f>'SC6'!D16</f>
        <v>8000000</v>
      </c>
      <c r="E16" s="743">
        <v>8000000</v>
      </c>
      <c r="F16" s="743">
        <v>0</v>
      </c>
      <c r="G16" s="743">
        <v>2812555.98</v>
      </c>
      <c r="H16" s="743">
        <f t="shared" si="1"/>
        <v>4000000</v>
      </c>
      <c r="I16" s="45">
        <v>-6500000</v>
      </c>
      <c r="J16" s="125">
        <v>-1</v>
      </c>
      <c r="K16" s="745">
        <v>8000000</v>
      </c>
    </row>
    <row r="17" spans="1:11" ht="12.75" customHeight="1" x14ac:dyDescent="0.2">
      <c r="A17" s="399" t="s">
        <v>1455</v>
      </c>
      <c r="B17" s="170"/>
      <c r="C17" s="976">
        <f>'SC6'!C17</f>
        <v>1400000</v>
      </c>
      <c r="D17" s="755">
        <f>'SC6'!D17</f>
        <v>1933000</v>
      </c>
      <c r="E17" s="743">
        <v>1933000</v>
      </c>
      <c r="F17" s="743">
        <v>0</v>
      </c>
      <c r="G17" s="743">
        <v>0</v>
      </c>
      <c r="H17" s="743">
        <f t="shared" si="1"/>
        <v>966500</v>
      </c>
      <c r="I17" s="45">
        <v>0</v>
      </c>
      <c r="J17" s="125">
        <v>-1</v>
      </c>
      <c r="K17" s="745">
        <v>1933000</v>
      </c>
    </row>
    <row r="18" spans="1:11" ht="12.75" customHeight="1" x14ac:dyDescent="0.2">
      <c r="A18" s="972" t="str">
        <f>'SC6'!A18</f>
        <v xml:space="preserve">Intergrated Urban Development  Grant (IUDG) </v>
      </c>
      <c r="B18" s="170"/>
      <c r="C18" s="758">
        <f>'SC6'!C18</f>
        <v>0</v>
      </c>
      <c r="D18" s="755">
        <f>'SC6'!D18</f>
        <v>46915000</v>
      </c>
      <c r="E18" s="743">
        <v>46915000</v>
      </c>
      <c r="F18" s="743">
        <v>1426479.3699999936</v>
      </c>
      <c r="G18" s="743">
        <v>12278903.640000025</v>
      </c>
      <c r="H18" s="743">
        <f t="shared" si="1"/>
        <v>23457500</v>
      </c>
      <c r="I18" s="45">
        <v>19222884.559464961</v>
      </c>
      <c r="J18" s="125">
        <v>-1</v>
      </c>
      <c r="K18" s="745">
        <v>46915000</v>
      </c>
    </row>
    <row r="19" spans="1:11" ht="12.75" customHeight="1" x14ac:dyDescent="0.2">
      <c r="A19" s="972" t="s">
        <v>1455</v>
      </c>
      <c r="B19" s="170"/>
      <c r="C19" s="758">
        <f>'SC6'!C19</f>
        <v>1055000</v>
      </c>
      <c r="D19" s="755">
        <f>'SC6'!D19</f>
        <v>0</v>
      </c>
      <c r="E19" s="743">
        <v>0</v>
      </c>
      <c r="F19" s="743">
        <v>0</v>
      </c>
      <c r="G19" s="743">
        <v>0</v>
      </c>
      <c r="H19" s="743">
        <f t="shared" ref="H19" si="2">E19/12*5</f>
        <v>0</v>
      </c>
      <c r="I19" s="45">
        <v>-1400000</v>
      </c>
      <c r="J19" s="125">
        <v>-1</v>
      </c>
      <c r="K19" s="745">
        <v>0</v>
      </c>
    </row>
    <row r="20" spans="1:11" ht="12.75" customHeight="1" x14ac:dyDescent="0.2">
      <c r="A20" s="400" t="str">
        <f>'SC6'!A20</f>
        <v>Provincial Government:</v>
      </c>
      <c r="B20" s="170"/>
      <c r="C20" s="519">
        <f t="shared" ref="C20:I20" si="3">SUM(C21:C25)</f>
        <v>0</v>
      </c>
      <c r="D20" s="478">
        <f t="shared" si="3"/>
        <v>0</v>
      </c>
      <c r="E20" s="433">
        <f t="shared" si="3"/>
        <v>0</v>
      </c>
      <c r="F20" s="433">
        <f t="shared" si="3"/>
        <v>0</v>
      </c>
      <c r="G20" s="433">
        <f t="shared" si="3"/>
        <v>0</v>
      </c>
      <c r="H20" s="433">
        <f t="shared" si="3"/>
        <v>0</v>
      </c>
      <c r="I20" s="433">
        <f t="shared" si="3"/>
        <v>0</v>
      </c>
      <c r="J20" s="562" t="str">
        <f t="shared" ref="J20:J32" si="4">IF(I20=0,"",I20/H20)</f>
        <v/>
      </c>
      <c r="K20" s="516">
        <f>SUM(K21:K25)</f>
        <v>0</v>
      </c>
    </row>
    <row r="21" spans="1:11" ht="12.75" customHeight="1" x14ac:dyDescent="0.2">
      <c r="A21" s="399" t="str">
        <f>'SC6'!A21</f>
        <v>Municipal System Improvemen Grant</v>
      </c>
      <c r="B21" s="170"/>
      <c r="C21" s="789">
        <v>0</v>
      </c>
      <c r="D21" s="790">
        <v>0</v>
      </c>
      <c r="E21" s="744">
        <v>0</v>
      </c>
      <c r="F21" s="744">
        <v>0</v>
      </c>
      <c r="G21" s="744">
        <v>0</v>
      </c>
      <c r="H21" s="744">
        <v>0</v>
      </c>
      <c r="I21" s="517">
        <f t="shared" ref="I21:I31" si="5">G21-H21</f>
        <v>0</v>
      </c>
      <c r="J21" s="561" t="str">
        <f t="shared" si="4"/>
        <v/>
      </c>
      <c r="K21" s="746">
        <f t="shared" ref="K21" si="6">E21</f>
        <v>0</v>
      </c>
    </row>
    <row r="22" spans="1:11" ht="12.75" customHeight="1" x14ac:dyDescent="0.2">
      <c r="A22" s="399">
        <f>'SC6'!A23</f>
        <v>0</v>
      </c>
      <c r="B22" s="170"/>
      <c r="C22" s="758">
        <v>0</v>
      </c>
      <c r="D22" s="755">
        <v>0</v>
      </c>
      <c r="E22" s="743">
        <v>0</v>
      </c>
      <c r="F22" s="743">
        <v>0</v>
      </c>
      <c r="G22" s="743">
        <v>0</v>
      </c>
      <c r="H22" s="743">
        <v>0</v>
      </c>
      <c r="I22" s="45">
        <f t="shared" si="5"/>
        <v>0</v>
      </c>
      <c r="J22" s="125" t="str">
        <f t="shared" si="4"/>
        <v/>
      </c>
      <c r="K22" s="745">
        <v>0</v>
      </c>
    </row>
    <row r="23" spans="1:11" ht="12.75" customHeight="1" x14ac:dyDescent="0.2">
      <c r="A23" s="399" t="s">
        <v>1020</v>
      </c>
      <c r="B23" s="170"/>
      <c r="C23" s="758">
        <v>0</v>
      </c>
      <c r="D23" s="755">
        <v>0</v>
      </c>
      <c r="E23" s="743">
        <v>0</v>
      </c>
      <c r="F23" s="743">
        <v>0</v>
      </c>
      <c r="G23" s="743">
        <v>0</v>
      </c>
      <c r="H23" s="743">
        <v>0</v>
      </c>
      <c r="I23" s="45">
        <f t="shared" si="5"/>
        <v>0</v>
      </c>
      <c r="J23" s="125" t="str">
        <f t="shared" si="4"/>
        <v/>
      </c>
      <c r="K23" s="745">
        <v>0</v>
      </c>
    </row>
    <row r="24" spans="1:11" ht="12.75" customHeight="1" x14ac:dyDescent="0.2">
      <c r="A24" s="399">
        <f>'SC6'!A25</f>
        <v>0</v>
      </c>
      <c r="B24" s="170"/>
      <c r="C24" s="758">
        <v>0</v>
      </c>
      <c r="D24" s="755">
        <v>0</v>
      </c>
      <c r="E24" s="743">
        <v>0</v>
      </c>
      <c r="F24" s="743">
        <v>0</v>
      </c>
      <c r="G24" s="743">
        <v>0</v>
      </c>
      <c r="H24" s="743">
        <v>0</v>
      </c>
      <c r="I24" s="45">
        <f t="shared" si="5"/>
        <v>0</v>
      </c>
      <c r="J24" s="125" t="str">
        <f t="shared" si="4"/>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5"/>
        <v>0</v>
      </c>
      <c r="J25" s="125" t="str">
        <f t="shared" si="4"/>
        <v/>
      </c>
      <c r="K25" s="745">
        <v>0</v>
      </c>
    </row>
    <row r="26" spans="1:11" ht="12.75" customHeight="1" x14ac:dyDescent="0.2">
      <c r="A26" s="400" t="str">
        <f>'SC6'!A27</f>
        <v>District Municipality:</v>
      </c>
      <c r="B26" s="170"/>
      <c r="C26" s="519">
        <f t="shared" ref="C26:H26" si="7">SUM(C27:C28)</f>
        <v>0</v>
      </c>
      <c r="D26" s="478">
        <f t="shared" si="7"/>
        <v>0</v>
      </c>
      <c r="E26" s="433">
        <f t="shared" si="7"/>
        <v>0</v>
      </c>
      <c r="F26" s="433">
        <v>0</v>
      </c>
      <c r="G26" s="433">
        <f t="shared" si="7"/>
        <v>0</v>
      </c>
      <c r="H26" s="433">
        <f t="shared" si="7"/>
        <v>0</v>
      </c>
      <c r="I26" s="517">
        <f t="shared" si="5"/>
        <v>0</v>
      </c>
      <c r="J26" s="561" t="str">
        <f t="shared" si="4"/>
        <v/>
      </c>
      <c r="K26" s="516">
        <f>SUM(K27:K28)</f>
        <v>0</v>
      </c>
    </row>
    <row r="27" spans="1:11" ht="12.75" customHeight="1" x14ac:dyDescent="0.2">
      <c r="A27" s="400"/>
      <c r="B27" s="170"/>
      <c r="C27" s="793">
        <v>0</v>
      </c>
      <c r="D27" s="794">
        <v>0</v>
      </c>
      <c r="E27" s="747"/>
      <c r="F27" s="747">
        <v>0</v>
      </c>
      <c r="G27" s="747">
        <v>0</v>
      </c>
      <c r="H27" s="747">
        <v>0</v>
      </c>
      <c r="I27" s="517">
        <f t="shared" si="5"/>
        <v>0</v>
      </c>
      <c r="J27" s="561" t="str">
        <f t="shared" si="4"/>
        <v/>
      </c>
      <c r="K27" s="748">
        <f t="shared" ref="K27:K28" si="8">E27</f>
        <v>0</v>
      </c>
    </row>
    <row r="28" spans="1:11" ht="12.75" customHeight="1" x14ac:dyDescent="0.2">
      <c r="A28" s="401" t="s">
        <v>1465</v>
      </c>
      <c r="B28" s="170"/>
      <c r="C28" s="758">
        <v>0</v>
      </c>
      <c r="D28" s="755">
        <v>0</v>
      </c>
      <c r="E28" s="743">
        <v>0</v>
      </c>
      <c r="F28" s="743">
        <v>0</v>
      </c>
      <c r="G28" s="743">
        <v>0</v>
      </c>
      <c r="H28" s="743">
        <v>0</v>
      </c>
      <c r="I28" s="45">
        <f t="shared" si="5"/>
        <v>0</v>
      </c>
      <c r="J28" s="125" t="str">
        <f t="shared" si="4"/>
        <v/>
      </c>
      <c r="K28" s="745">
        <f t="shared" si="8"/>
        <v>0</v>
      </c>
    </row>
    <row r="29" spans="1:11" ht="12.75" customHeight="1" x14ac:dyDescent="0.2">
      <c r="A29" s="400" t="str">
        <f>'SC6'!A30</f>
        <v>Other grant providers:</v>
      </c>
      <c r="B29" s="170"/>
      <c r="C29" s="519">
        <f t="shared" ref="C29:H29" si="9">SUM(C30:C31)</f>
        <v>0</v>
      </c>
      <c r="D29" s="478">
        <f t="shared" si="9"/>
        <v>0</v>
      </c>
      <c r="E29" s="433">
        <f t="shared" si="9"/>
        <v>0</v>
      </c>
      <c r="F29" s="433">
        <f t="shared" si="9"/>
        <v>0</v>
      </c>
      <c r="G29" s="433">
        <f t="shared" si="9"/>
        <v>0</v>
      </c>
      <c r="H29" s="433">
        <f t="shared" si="9"/>
        <v>0</v>
      </c>
      <c r="I29" s="517">
        <f t="shared" si="5"/>
        <v>0</v>
      </c>
      <c r="J29" s="561" t="str">
        <f t="shared" si="4"/>
        <v/>
      </c>
      <c r="K29" s="516">
        <f>SUM(K30:K31)</f>
        <v>0</v>
      </c>
    </row>
    <row r="30" spans="1:11" ht="12.75" customHeight="1" x14ac:dyDescent="0.2">
      <c r="A30" s="400"/>
      <c r="B30" s="170"/>
      <c r="C30" s="793">
        <v>0</v>
      </c>
      <c r="D30" s="794">
        <v>0</v>
      </c>
      <c r="E30" s="747">
        <v>0</v>
      </c>
      <c r="F30" s="747">
        <v>0</v>
      </c>
      <c r="G30" s="747">
        <v>0</v>
      </c>
      <c r="H30" s="747">
        <v>0</v>
      </c>
      <c r="I30" s="517">
        <f t="shared" si="5"/>
        <v>0</v>
      </c>
      <c r="J30" s="561" t="str">
        <f t="shared" si="4"/>
        <v/>
      </c>
      <c r="K30" s="748">
        <v>0</v>
      </c>
    </row>
    <row r="31" spans="1:11" ht="12.75" customHeight="1" x14ac:dyDescent="0.2">
      <c r="A31" s="401" t="str">
        <f>'SC6'!A31</f>
        <v>[insert description]</v>
      </c>
      <c r="B31" s="170"/>
      <c r="C31" s="758">
        <v>0</v>
      </c>
      <c r="D31" s="755">
        <v>0</v>
      </c>
      <c r="E31" s="743">
        <v>0</v>
      </c>
      <c r="F31" s="743">
        <v>0</v>
      </c>
      <c r="G31" s="743">
        <v>0</v>
      </c>
      <c r="H31" s="743">
        <v>0</v>
      </c>
      <c r="I31" s="45">
        <f t="shared" si="5"/>
        <v>0</v>
      </c>
      <c r="J31" s="125" t="str">
        <f t="shared" si="4"/>
        <v/>
      </c>
      <c r="K31" s="745">
        <v>0</v>
      </c>
    </row>
    <row r="32" spans="1:11" ht="12.75" customHeight="1" x14ac:dyDescent="0.2">
      <c r="A32" s="567" t="s">
        <v>58</v>
      </c>
      <c r="B32" s="234"/>
      <c r="C32" s="244">
        <f t="shared" ref="C32:H32" si="10">C8+C20+C26+C29</f>
        <v>993383556</v>
      </c>
      <c r="D32" s="75">
        <f t="shared" si="10"/>
        <v>1039367000</v>
      </c>
      <c r="E32" s="74">
        <f t="shared" si="10"/>
        <v>1039367000</v>
      </c>
      <c r="F32" s="74">
        <f t="shared" si="10"/>
        <v>202650112.21000001</v>
      </c>
      <c r="G32" s="74">
        <f t="shared" si="10"/>
        <v>621017191.66850007</v>
      </c>
      <c r="H32" s="74">
        <f t="shared" si="10"/>
        <v>519683500</v>
      </c>
      <c r="I32" s="74"/>
      <c r="J32" s="307" t="str">
        <f t="shared" si="4"/>
        <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1">SUM(C36:C41)</f>
        <v>1062627508.4356489</v>
      </c>
      <c r="D35" s="47">
        <f>SUM(D36:D42)</f>
        <v>1267136000</v>
      </c>
      <c r="E35" s="45">
        <f>SUM(E36:E42)</f>
        <v>1267136000</v>
      </c>
      <c r="F35" s="45">
        <f t="shared" ref="F35:H35" si="12">SUM(F36:F42)</f>
        <v>135213583.99400002</v>
      </c>
      <c r="G35" s="45">
        <f t="shared" si="12"/>
        <v>479559995.40900004</v>
      </c>
      <c r="H35" s="45">
        <f t="shared" si="12"/>
        <v>633568000</v>
      </c>
      <c r="I35" s="45">
        <f>SUM(I36:I42)</f>
        <v>-71901698.233999938</v>
      </c>
      <c r="J35" s="45">
        <f t="shared" ref="J35" si="13">SUM(J36:J42)</f>
        <v>-0.61288632534798826</v>
      </c>
      <c r="K35" s="45">
        <f t="shared" ref="K35" si="14">SUM(K36:K42)</f>
        <v>1267136000</v>
      </c>
    </row>
    <row r="36" spans="1:11" ht="12.75" customHeight="1" x14ac:dyDescent="0.2">
      <c r="A36" s="399" t="str">
        <f>'SC6'!A42</f>
        <v xml:space="preserve"> Municipal Infrastructure Grant (MIG)</v>
      </c>
      <c r="B36" s="170"/>
      <c r="C36" s="975">
        <v>259471880.12099996</v>
      </c>
      <c r="D36" s="790">
        <v>0</v>
      </c>
      <c r="E36" s="744">
        <v>0</v>
      </c>
      <c r="F36" s="744">
        <v>0</v>
      </c>
      <c r="G36" s="744">
        <v>0</v>
      </c>
      <c r="H36" s="744">
        <f t="shared" ref="H36" si="15">E36/12*5</f>
        <v>0</v>
      </c>
      <c r="I36" s="517">
        <f t="shared" ref="I36:I51" si="16">G36-H36</f>
        <v>0</v>
      </c>
      <c r="J36" s="561" t="str">
        <f t="shared" ref="J36:J52" si="17">IF(I36=0,"",I36/H36)</f>
        <v/>
      </c>
      <c r="K36" s="746">
        <v>0</v>
      </c>
    </row>
    <row r="37" spans="1:11" ht="12.75" customHeight="1" x14ac:dyDescent="0.2">
      <c r="A37" s="399" t="s">
        <v>1444</v>
      </c>
      <c r="B37" s="170"/>
      <c r="C37" s="974">
        <v>305655470.95564902</v>
      </c>
      <c r="D37" s="755">
        <v>159433000</v>
      </c>
      <c r="E37" s="743">
        <v>159433000</v>
      </c>
      <c r="F37" s="743">
        <v>5144074.3609999996</v>
      </c>
      <c r="G37" s="743">
        <v>20476044.434500001</v>
      </c>
      <c r="H37" s="743">
        <f t="shared" ref="H37:H40" si="18">E37/12*6</f>
        <v>79716500</v>
      </c>
      <c r="I37" s="45">
        <f t="shared" si="16"/>
        <v>-59240455.565499999</v>
      </c>
      <c r="J37" s="125">
        <f t="shared" si="17"/>
        <v>-0.7431391940877986</v>
      </c>
      <c r="K37" s="745">
        <v>159433000</v>
      </c>
    </row>
    <row r="38" spans="1:11" ht="12.75" customHeight="1" x14ac:dyDescent="0.2">
      <c r="A38" s="399" t="s">
        <v>1029</v>
      </c>
      <c r="B38" s="170"/>
      <c r="C38" s="974">
        <v>368505000</v>
      </c>
      <c r="D38" s="755">
        <v>630998000</v>
      </c>
      <c r="E38" s="743">
        <v>630998000</v>
      </c>
      <c r="F38" s="743">
        <v>100144630.02700002</v>
      </c>
      <c r="G38" s="743">
        <v>316150777.13750005</v>
      </c>
      <c r="H38" s="743">
        <f t="shared" si="18"/>
        <v>315499000</v>
      </c>
      <c r="I38" s="45">
        <f t="shared" si="16"/>
        <v>651777.13750004768</v>
      </c>
      <c r="J38" s="125">
        <f t="shared" si="17"/>
        <v>2.065861183395344E-3</v>
      </c>
      <c r="K38" s="745">
        <v>630998000</v>
      </c>
    </row>
    <row r="39" spans="1:11" ht="12.75" customHeight="1" x14ac:dyDescent="0.2">
      <c r="A39" s="399" t="s">
        <v>1031</v>
      </c>
      <c r="B39" s="170"/>
      <c r="C39" s="974">
        <v>39666042.990500003</v>
      </c>
      <c r="D39" s="755">
        <v>40613000</v>
      </c>
      <c r="E39" s="743">
        <v>40613000</v>
      </c>
      <c r="F39" s="743">
        <v>2207078.1830000002</v>
      </c>
      <c r="G39" s="743">
        <v>8891024.3710000012</v>
      </c>
      <c r="H39" s="743">
        <f t="shared" si="18"/>
        <v>20306500</v>
      </c>
      <c r="I39" s="45">
        <f t="shared" si="16"/>
        <v>-11415475.628999999</v>
      </c>
      <c r="J39" s="125">
        <f t="shared" si="17"/>
        <v>-0.56215869938197127</v>
      </c>
      <c r="K39" s="745">
        <v>40613000</v>
      </c>
    </row>
    <row r="40" spans="1:11" ht="12.75" customHeight="1" x14ac:dyDescent="0.2">
      <c r="A40" s="399" t="s">
        <v>1455</v>
      </c>
      <c r="B40" s="170"/>
      <c r="C40" s="974">
        <v>89329114.368499994</v>
      </c>
      <c r="D40" s="755">
        <v>94717000</v>
      </c>
      <c r="E40" s="743">
        <v>94717000</v>
      </c>
      <c r="F40" s="743">
        <v>380815.87599999999</v>
      </c>
      <c r="G40" s="743">
        <v>41377798.801500008</v>
      </c>
      <c r="H40" s="743">
        <f t="shared" si="18"/>
        <v>47358500</v>
      </c>
      <c r="I40" s="45">
        <f t="shared" si="16"/>
        <v>-5980701.1984999925</v>
      </c>
      <c r="J40" s="125">
        <f t="shared" si="17"/>
        <v>-0.12628569736161391</v>
      </c>
      <c r="K40" s="745">
        <v>94717000</v>
      </c>
    </row>
    <row r="41" spans="1:11" ht="12.75" customHeight="1" x14ac:dyDescent="0.2">
      <c r="A41" s="399" t="str">
        <f>'SC6'!A51</f>
        <v>Other capital transfers [insert description]</v>
      </c>
      <c r="B41" s="170"/>
      <c r="C41" s="974">
        <v>0</v>
      </c>
      <c r="D41" s="755">
        <v>10000000</v>
      </c>
      <c r="E41" s="743">
        <v>10000000</v>
      </c>
      <c r="F41" s="743">
        <v>352977.69949999987</v>
      </c>
      <c r="G41" s="743">
        <v>9083157.0215000007</v>
      </c>
      <c r="H41" s="743">
        <f>E41/12*6</f>
        <v>5000000</v>
      </c>
      <c r="I41" s="45">
        <f t="shared" si="16"/>
        <v>4083157.0215000007</v>
      </c>
      <c r="J41" s="125">
        <f t="shared" si="17"/>
        <v>0.81663140430000014</v>
      </c>
      <c r="K41" s="745">
        <v>10000000</v>
      </c>
    </row>
    <row r="42" spans="1:11" ht="12.75" customHeight="1" x14ac:dyDescent="0.2">
      <c r="A42" s="399"/>
      <c r="B42" s="170"/>
      <c r="C42" s="976">
        <v>0</v>
      </c>
      <c r="D42" s="755">
        <v>331375000</v>
      </c>
      <c r="E42" s="743">
        <v>331375000</v>
      </c>
      <c r="F42" s="743">
        <v>26984007.847499993</v>
      </c>
      <c r="G42" s="743">
        <v>83581193.642999992</v>
      </c>
      <c r="H42" s="743">
        <f>E42/12*6</f>
        <v>165687500</v>
      </c>
      <c r="I42" s="45"/>
      <c r="J42" s="125"/>
      <c r="K42" s="745">
        <v>331375000</v>
      </c>
    </row>
    <row r="43" spans="1:11" ht="12.75" customHeight="1" x14ac:dyDescent="0.2">
      <c r="A43" s="400" t="str">
        <f>'SC6'!A52</f>
        <v>Provincial Government:</v>
      </c>
      <c r="B43" s="170"/>
      <c r="C43" s="519">
        <v>0</v>
      </c>
      <c r="D43" s="478">
        <v>0</v>
      </c>
      <c r="E43" s="433">
        <f t="shared" ref="E43:H43" si="19">SUM(E44:E45)</f>
        <v>0</v>
      </c>
      <c r="F43" s="433">
        <f t="shared" si="19"/>
        <v>0</v>
      </c>
      <c r="G43" s="433">
        <f t="shared" si="19"/>
        <v>0</v>
      </c>
      <c r="H43" s="433">
        <f t="shared" si="19"/>
        <v>0</v>
      </c>
      <c r="I43" s="517">
        <f t="shared" si="16"/>
        <v>0</v>
      </c>
      <c r="J43" s="561" t="str">
        <f t="shared" si="17"/>
        <v/>
      </c>
      <c r="K43" s="516">
        <f>SUM(K44:K45)</f>
        <v>0</v>
      </c>
    </row>
    <row r="44" spans="1:11" ht="12.75" customHeight="1" x14ac:dyDescent="0.2">
      <c r="A44" s="400"/>
      <c r="B44" s="170"/>
      <c r="C44" s="793">
        <v>0</v>
      </c>
      <c r="D44" s="794">
        <v>0</v>
      </c>
      <c r="E44" s="747">
        <v>0</v>
      </c>
      <c r="F44" s="747">
        <v>0</v>
      </c>
      <c r="G44" s="747">
        <v>0</v>
      </c>
      <c r="H44" s="747">
        <v>0</v>
      </c>
      <c r="I44" s="517">
        <f t="shared" si="16"/>
        <v>0</v>
      </c>
      <c r="J44" s="561" t="str">
        <f t="shared" si="17"/>
        <v/>
      </c>
      <c r="K44" s="748">
        <v>0</v>
      </c>
    </row>
    <row r="45" spans="1:11" ht="12.75" customHeight="1" x14ac:dyDescent="0.2">
      <c r="A45" s="399">
        <f>'SC6'!A58</f>
        <v>0</v>
      </c>
      <c r="B45" s="170"/>
      <c r="C45" s="758">
        <v>0</v>
      </c>
      <c r="D45" s="755">
        <v>0</v>
      </c>
      <c r="E45" s="743">
        <v>0</v>
      </c>
      <c r="F45" s="743">
        <v>0</v>
      </c>
      <c r="G45" s="743">
        <v>0</v>
      </c>
      <c r="H45" s="743">
        <v>0</v>
      </c>
      <c r="I45" s="45">
        <f t="shared" si="16"/>
        <v>0</v>
      </c>
      <c r="J45" s="125" t="str">
        <f t="shared" si="17"/>
        <v/>
      </c>
      <c r="K45" s="745">
        <v>0</v>
      </c>
    </row>
    <row r="46" spans="1:11" ht="12.75" customHeight="1" x14ac:dyDescent="0.2">
      <c r="A46" s="400" t="str">
        <f>'SC6'!A59</f>
        <v>District Municipality:</v>
      </c>
      <c r="B46" s="170"/>
      <c r="C46" s="519">
        <f t="shared" ref="C46:H46" si="20">SUM(C47:C48)</f>
        <v>0</v>
      </c>
      <c r="D46" s="478">
        <f t="shared" si="20"/>
        <v>0</v>
      </c>
      <c r="E46" s="433">
        <f t="shared" si="20"/>
        <v>0</v>
      </c>
      <c r="F46" s="433">
        <f t="shared" si="20"/>
        <v>0</v>
      </c>
      <c r="G46" s="433">
        <f t="shared" si="20"/>
        <v>0</v>
      </c>
      <c r="H46" s="433">
        <f t="shared" si="20"/>
        <v>0</v>
      </c>
      <c r="I46" s="517">
        <f t="shared" si="16"/>
        <v>0</v>
      </c>
      <c r="J46" s="561" t="str">
        <f t="shared" si="17"/>
        <v/>
      </c>
      <c r="K46" s="516">
        <f>SUM(K47:K48)</f>
        <v>0</v>
      </c>
    </row>
    <row r="47" spans="1:11" ht="12.75" customHeight="1" x14ac:dyDescent="0.2">
      <c r="A47" s="400"/>
      <c r="B47" s="170"/>
      <c r="C47" s="793">
        <v>0</v>
      </c>
      <c r="D47" s="794">
        <v>0</v>
      </c>
      <c r="E47" s="747">
        <v>0</v>
      </c>
      <c r="F47" s="747">
        <v>0</v>
      </c>
      <c r="G47" s="747">
        <v>0</v>
      </c>
      <c r="H47" s="747">
        <v>0</v>
      </c>
      <c r="I47" s="517">
        <f t="shared" si="16"/>
        <v>0</v>
      </c>
      <c r="J47" s="561" t="str">
        <f t="shared" si="17"/>
        <v/>
      </c>
      <c r="K47" s="748">
        <v>0</v>
      </c>
    </row>
    <row r="48" spans="1:11" ht="12.75" customHeight="1" x14ac:dyDescent="0.2">
      <c r="A48" s="401">
        <f>'SC6'!A61</f>
        <v>0</v>
      </c>
      <c r="B48" s="170"/>
      <c r="C48" s="758">
        <v>0</v>
      </c>
      <c r="D48" s="755">
        <v>0</v>
      </c>
      <c r="E48" s="743">
        <v>0</v>
      </c>
      <c r="F48" s="743">
        <v>0</v>
      </c>
      <c r="G48" s="743">
        <v>0</v>
      </c>
      <c r="H48" s="743">
        <v>0</v>
      </c>
      <c r="I48" s="45">
        <f t="shared" si="16"/>
        <v>0</v>
      </c>
      <c r="J48" s="125" t="str">
        <f t="shared" si="17"/>
        <v/>
      </c>
      <c r="K48" s="745">
        <v>0</v>
      </c>
    </row>
    <row r="49" spans="1:11" ht="12.75" customHeight="1" x14ac:dyDescent="0.2">
      <c r="A49" s="400" t="str">
        <f>'SC6'!A62</f>
        <v>Other grant providers:</v>
      </c>
      <c r="B49" s="170"/>
      <c r="C49" s="519">
        <f t="shared" ref="C49:H49" si="21">SUM(C50:C51)</f>
        <v>0</v>
      </c>
      <c r="D49" s="478">
        <f t="shared" si="21"/>
        <v>0</v>
      </c>
      <c r="E49" s="433">
        <f t="shared" si="21"/>
        <v>0</v>
      </c>
      <c r="F49" s="433">
        <f t="shared" si="21"/>
        <v>0</v>
      </c>
      <c r="G49" s="433">
        <f t="shared" si="21"/>
        <v>0</v>
      </c>
      <c r="H49" s="433">
        <f t="shared" si="21"/>
        <v>0</v>
      </c>
      <c r="I49" s="517">
        <f t="shared" si="16"/>
        <v>0</v>
      </c>
      <c r="J49" s="561" t="str">
        <f t="shared" si="17"/>
        <v/>
      </c>
      <c r="K49" s="516">
        <f>SUM(K50:K51)</f>
        <v>0</v>
      </c>
    </row>
    <row r="50" spans="1:11" ht="12.75" customHeight="1" x14ac:dyDescent="0.2">
      <c r="A50" s="400"/>
      <c r="B50" s="170"/>
      <c r="C50" s="793">
        <v>0</v>
      </c>
      <c r="D50" s="794">
        <v>0</v>
      </c>
      <c r="E50" s="747">
        <v>0</v>
      </c>
      <c r="F50" s="747">
        <v>0</v>
      </c>
      <c r="G50" s="747">
        <v>0</v>
      </c>
      <c r="H50" s="747">
        <v>0</v>
      </c>
      <c r="I50" s="517">
        <f t="shared" si="16"/>
        <v>0</v>
      </c>
      <c r="J50" s="561" t="str">
        <f t="shared" si="17"/>
        <v/>
      </c>
      <c r="K50" s="748">
        <v>0</v>
      </c>
    </row>
    <row r="51" spans="1:11" ht="12.75" customHeight="1" x14ac:dyDescent="0.2">
      <c r="A51" s="401">
        <f>'SC6'!A68</f>
        <v>0</v>
      </c>
      <c r="B51" s="170"/>
      <c r="C51" s="758">
        <v>0</v>
      </c>
      <c r="D51" s="755">
        <v>0</v>
      </c>
      <c r="E51" s="743">
        <v>0</v>
      </c>
      <c r="F51" s="743">
        <v>0</v>
      </c>
      <c r="G51" s="743">
        <v>0</v>
      </c>
      <c r="H51" s="743">
        <v>0</v>
      </c>
      <c r="I51" s="45">
        <f t="shared" si="16"/>
        <v>0</v>
      </c>
      <c r="J51" s="125" t="str">
        <f t="shared" si="17"/>
        <v/>
      </c>
      <c r="K51" s="745">
        <v>0</v>
      </c>
    </row>
    <row r="52" spans="1:11" ht="12.75" customHeight="1" x14ac:dyDescent="0.2">
      <c r="A52" s="566" t="s">
        <v>60</v>
      </c>
      <c r="B52" s="234"/>
      <c r="C52" s="244">
        <f t="shared" ref="C52:I52" si="22">C35+C43+C46+C49</f>
        <v>1062627508.4356489</v>
      </c>
      <c r="D52" s="75">
        <f t="shared" si="22"/>
        <v>1267136000</v>
      </c>
      <c r="E52" s="74">
        <f t="shared" si="22"/>
        <v>1267136000</v>
      </c>
      <c r="F52" s="74">
        <f t="shared" si="22"/>
        <v>135213583.99400002</v>
      </c>
      <c r="G52" s="74">
        <f t="shared" si="22"/>
        <v>479559995.40900004</v>
      </c>
      <c r="H52" s="74">
        <f t="shared" si="22"/>
        <v>633568000</v>
      </c>
      <c r="I52" s="74">
        <f t="shared" si="22"/>
        <v>-71901698.233999938</v>
      </c>
      <c r="J52" s="307">
        <f t="shared" si="17"/>
        <v>-0.11348694731110147</v>
      </c>
      <c r="K52" s="146">
        <f>K35+K43+K46+K49</f>
        <v>1267136000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C32+C52</f>
        <v>2056011064.4356489</v>
      </c>
      <c r="D54" s="57">
        <f t="shared" ref="D54:I54" si="23">D32+D52</f>
        <v>2306503000</v>
      </c>
      <c r="E54" s="56">
        <f t="shared" si="23"/>
        <v>2306503000</v>
      </c>
      <c r="F54" s="56">
        <f>F32+F52</f>
        <v>337863696.204</v>
      </c>
      <c r="G54" s="56">
        <f>G32+G52</f>
        <v>1100577187.0775001</v>
      </c>
      <c r="H54" s="56">
        <f t="shared" si="23"/>
        <v>1153251500</v>
      </c>
      <c r="I54" s="56">
        <f t="shared" si="23"/>
        <v>-71901698.233999938</v>
      </c>
      <c r="J54" s="293">
        <f>IF(I54=0,"",I54/H54)</f>
        <v>-6.2346936669061291E-2</v>
      </c>
      <c r="K54" s="236">
        <f>K32+K52</f>
        <v>2306503000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11" activePane="bottomRight" state="frozen"/>
      <selection pane="topRight"/>
      <selection pane="bottomLeft"/>
      <selection pane="bottomRight" activeCell="K14" sqref="K14"/>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2" t="str">
        <f>muni&amp; " - "&amp;S71T&amp; " - "&amp;Head57</f>
        <v>LIM354 Polokwane - Supporting Table SC7(2) Monthly Budget Statement - Expenditure against approved rollovers - M06 December</v>
      </c>
      <c r="B1" s="1042"/>
      <c r="C1" s="1042"/>
      <c r="D1" s="1042"/>
      <c r="E1" s="1042"/>
      <c r="F1" s="1042"/>
      <c r="G1" s="1042"/>
    </row>
    <row r="2" spans="1:7" ht="21.75" customHeight="1" x14ac:dyDescent="0.2">
      <c r="A2" s="1031" t="str">
        <f>desc</f>
        <v>Description</v>
      </c>
      <c r="B2" s="1024" t="str">
        <f>head27</f>
        <v>Ref</v>
      </c>
      <c r="C2" s="1026" t="str">
        <f>Head2</f>
        <v>Budget Year 2019/20</v>
      </c>
      <c r="D2" s="1027"/>
      <c r="E2" s="1027"/>
      <c r="F2" s="1027"/>
      <c r="G2" s="1028"/>
    </row>
    <row r="3" spans="1:7" ht="39.75" customHeight="1" x14ac:dyDescent="0.2">
      <c r="A3" s="1032"/>
      <c r="B3" s="1035"/>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
      <c r="A4" s="294" t="s">
        <v>687</v>
      </c>
      <c r="B4" s="249"/>
      <c r="C4" s="296"/>
      <c r="D4" s="298"/>
      <c r="E4" s="913"/>
      <c r="F4" s="298"/>
      <c r="G4" s="915"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v>0</v>
      </c>
      <c r="D9" s="744">
        <v>0</v>
      </c>
      <c r="E9" s="744">
        <v>0</v>
      </c>
      <c r="F9" s="517">
        <f>E9-C9</f>
        <v>0</v>
      </c>
      <c r="G9" s="917"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t="str">
        <f>'SC6'!A21</f>
        <v>Municipal System Improvemen Grant</v>
      </c>
      <c r="B17" s="170"/>
      <c r="C17" s="790">
        <v>0</v>
      </c>
      <c r="D17" s="744">
        <v>0</v>
      </c>
      <c r="E17" s="744">
        <v>0</v>
      </c>
      <c r="F17" s="517">
        <f>C17-E17</f>
        <v>0</v>
      </c>
      <c r="G17" s="917"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v>0</v>
      </c>
      <c r="D23" s="747">
        <v>0</v>
      </c>
      <c r="E23" s="747">
        <v>0</v>
      </c>
      <c r="F23" s="517">
        <f>C23-E23</f>
        <v>0</v>
      </c>
      <c r="G23" s="917"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v>0</v>
      </c>
      <c r="D26" s="747">
        <v>0</v>
      </c>
      <c r="E26" s="747">
        <v>0</v>
      </c>
      <c r="F26" s="517">
        <f>C26-E26</f>
        <v>0</v>
      </c>
      <c r="G26" s="917"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v>0</v>
      </c>
      <c r="D39" s="747">
        <v>0</v>
      </c>
      <c r="E39" s="747">
        <v>0</v>
      </c>
      <c r="F39" s="517">
        <f>C39-E39</f>
        <v>0</v>
      </c>
      <c r="G39" s="917"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v>0</v>
      </c>
      <c r="D42" s="747">
        <v>0</v>
      </c>
      <c r="E42" s="747">
        <v>0</v>
      </c>
      <c r="F42" s="517">
        <f>C42-E42</f>
        <v>0</v>
      </c>
      <c r="G42" s="917"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v>0</v>
      </c>
      <c r="D45" s="747">
        <v>0</v>
      </c>
      <c r="E45" s="747">
        <v>0</v>
      </c>
      <c r="F45" s="517">
        <f>C45-E45</f>
        <v>0</v>
      </c>
      <c r="G45" s="917"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17" activePane="bottomRight" state="frozen"/>
      <selection pane="topRight"/>
      <selection pane="bottomLeft"/>
      <selection pane="bottomRight" activeCell="M112" sqref="M112"/>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"&amp;S71N&amp; " - "&amp;Head57</f>
        <v>LIM354 Polokwane - Supporting Table SC8 Monthly Budget Statement - councillor and staff benefits  - M06 December</v>
      </c>
      <c r="B1" s="1042"/>
      <c r="C1" s="1042"/>
      <c r="D1" s="1042"/>
      <c r="E1" s="1042"/>
      <c r="F1" s="1042"/>
      <c r="G1" s="1042"/>
      <c r="H1" s="1042"/>
      <c r="I1" s="1042"/>
      <c r="J1" s="1042"/>
      <c r="K1" s="1042"/>
    </row>
    <row r="2" spans="1:11" x14ac:dyDescent="0.2">
      <c r="A2" s="1031" t="s">
        <v>670</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23648000</v>
      </c>
      <c r="E7" s="743">
        <v>23648000</v>
      </c>
      <c r="F7" s="743">
        <v>1794338.64</v>
      </c>
      <c r="G7" s="743">
        <v>10930454.540000001</v>
      </c>
      <c r="H7" s="743">
        <f t="shared" ref="H7:H10" si="0">E7/12*6</f>
        <v>11824000</v>
      </c>
      <c r="I7" s="45">
        <f t="shared" ref="I7:I14" si="1">G7-H7</f>
        <v>-893545.45999999903</v>
      </c>
      <c r="J7" s="333">
        <f t="shared" ref="J7:J14" si="2">IF(I7=0,"",I7/H7)</f>
        <v>-7.5570488836265146E-2</v>
      </c>
      <c r="K7" s="745">
        <f>D7</f>
        <v>23648000</v>
      </c>
    </row>
    <row r="8" spans="1:11" ht="12.75" customHeight="1" x14ac:dyDescent="0.2">
      <c r="A8" s="521" t="s">
        <v>1066</v>
      </c>
      <c r="B8" s="170"/>
      <c r="C8" s="758">
        <v>3296043.9200000004</v>
      </c>
      <c r="D8" s="755">
        <v>3549000</v>
      </c>
      <c r="E8" s="743">
        <v>3549000</v>
      </c>
      <c r="F8" s="743">
        <v>268680.06</v>
      </c>
      <c r="G8" s="743">
        <v>1620814.22</v>
      </c>
      <c r="H8" s="743">
        <f t="shared" si="0"/>
        <v>1774500</v>
      </c>
      <c r="I8" s="45">
        <f t="shared" si="1"/>
        <v>-153685.78000000003</v>
      </c>
      <c r="J8" s="333">
        <f t="shared" si="2"/>
        <v>-8.660793462947311E-2</v>
      </c>
      <c r="K8" s="745">
        <f t="shared" ref="K8:K13" si="3">D8</f>
        <v>3549000</v>
      </c>
    </row>
    <row r="9" spans="1:11" ht="12.75" customHeight="1" x14ac:dyDescent="0.2">
      <c r="A9" s="521" t="s">
        <v>436</v>
      </c>
      <c r="B9" s="170"/>
      <c r="C9" s="758">
        <v>849833.04</v>
      </c>
      <c r="D9" s="755">
        <v>499000</v>
      </c>
      <c r="E9" s="743">
        <v>499000</v>
      </c>
      <c r="F9" s="743">
        <v>112073.34</v>
      </c>
      <c r="G9" s="743">
        <v>657446.69999999995</v>
      </c>
      <c r="H9" s="743">
        <f t="shared" si="0"/>
        <v>249500</v>
      </c>
      <c r="I9" s="45">
        <f t="shared" si="1"/>
        <v>407946.69999999995</v>
      </c>
      <c r="J9" s="333">
        <f t="shared" si="2"/>
        <v>1.6350569138276552</v>
      </c>
      <c r="K9" s="745">
        <f t="shared" si="3"/>
        <v>499000</v>
      </c>
    </row>
    <row r="10" spans="1:11" ht="12.75" customHeight="1" x14ac:dyDescent="0.2">
      <c r="A10" s="521" t="s">
        <v>1067</v>
      </c>
      <c r="B10" s="170"/>
      <c r="C10" s="758">
        <v>7685845.1200000001</v>
      </c>
      <c r="D10" s="755">
        <v>8405000</v>
      </c>
      <c r="E10" s="743">
        <v>8405000</v>
      </c>
      <c r="F10" s="743">
        <v>649158.39</v>
      </c>
      <c r="G10" s="743">
        <v>3881675.72</v>
      </c>
      <c r="H10" s="743">
        <f t="shared" si="0"/>
        <v>4202500</v>
      </c>
      <c r="I10" s="45">
        <f>G10-H10</f>
        <v>-320824.2799999998</v>
      </c>
      <c r="J10" s="333">
        <f>IF(I10=0,"",I10/H10)</f>
        <v>-7.6341292088042786E-2</v>
      </c>
      <c r="K10" s="745">
        <f t="shared" si="3"/>
        <v>8405000</v>
      </c>
    </row>
    <row r="11" spans="1:11" ht="12.75" customHeight="1" x14ac:dyDescent="0.2">
      <c r="A11" s="40" t="s">
        <v>1068</v>
      </c>
      <c r="B11" s="170"/>
      <c r="C11" s="758">
        <v>3887641.6</v>
      </c>
      <c r="D11" s="755">
        <v>3673000</v>
      </c>
      <c r="E11" s="743">
        <v>3673000</v>
      </c>
      <c r="F11" s="743">
        <v>316200</v>
      </c>
      <c r="G11" s="743">
        <v>1932505.6</v>
      </c>
      <c r="H11" s="743">
        <f>E11/12*6</f>
        <v>1836500</v>
      </c>
      <c r="I11" s="45">
        <f>G11-H11</f>
        <v>96005.600000000093</v>
      </c>
      <c r="J11" s="333">
        <f>IF(I11=0,"",I11/H11)</f>
        <v>5.2276395317179467E-2</v>
      </c>
      <c r="K11" s="745">
        <f t="shared" si="3"/>
        <v>3673000</v>
      </c>
    </row>
    <row r="12" spans="1:11" ht="12.75" customHeight="1" x14ac:dyDescent="0.2">
      <c r="A12" s="40" t="s">
        <v>1069</v>
      </c>
      <c r="B12" s="170"/>
      <c r="C12" s="758">
        <v>0</v>
      </c>
      <c r="D12" s="755">
        <v>0</v>
      </c>
      <c r="E12" s="743">
        <v>0</v>
      </c>
      <c r="F12" s="743"/>
      <c r="G12" s="743">
        <v>0</v>
      </c>
      <c r="H12" s="743">
        <f t="shared" ref="H12" si="4">E12/12*5</f>
        <v>0</v>
      </c>
      <c r="I12" s="45">
        <f>G12-H12</f>
        <v>0</v>
      </c>
      <c r="J12" s="333" t="str">
        <f>IF(I12=0,"",I12/H12)</f>
        <v/>
      </c>
      <c r="K12" s="745">
        <f t="shared" si="3"/>
        <v>0</v>
      </c>
    </row>
    <row r="13" spans="1:11" ht="12.75" customHeight="1" x14ac:dyDescent="0.2">
      <c r="A13" s="40" t="s">
        <v>1070</v>
      </c>
      <c r="B13" s="170"/>
      <c r="C13" s="758">
        <v>625098.77</v>
      </c>
      <c r="D13" s="755">
        <v>326000</v>
      </c>
      <c r="E13" s="743">
        <v>326000</v>
      </c>
      <c r="F13" s="743">
        <v>51507.270000000004</v>
      </c>
      <c r="G13" s="743">
        <v>285161.23000000004</v>
      </c>
      <c r="H13" s="743">
        <f>E13/12*6</f>
        <v>163000</v>
      </c>
      <c r="I13" s="45">
        <f t="shared" si="1"/>
        <v>122161.23000000004</v>
      </c>
      <c r="J13" s="333">
        <f t="shared" si="2"/>
        <v>0.74945539877300638</v>
      </c>
      <c r="K13" s="745">
        <f t="shared" si="3"/>
        <v>326000</v>
      </c>
    </row>
    <row r="14" spans="1:11" ht="12.75" customHeight="1" x14ac:dyDescent="0.2">
      <c r="A14" s="88" t="s">
        <v>437</v>
      </c>
      <c r="B14" s="170"/>
      <c r="C14" s="519">
        <f t="shared" ref="C14:K14" si="5">SUM(C7:C13)</f>
        <v>38359893.650000006</v>
      </c>
      <c r="D14" s="478">
        <f t="shared" si="5"/>
        <v>40100000</v>
      </c>
      <c r="E14" s="433">
        <f t="shared" si="5"/>
        <v>40100000</v>
      </c>
      <c r="F14" s="433">
        <f t="shared" si="5"/>
        <v>3191957.7</v>
      </c>
      <c r="G14" s="433">
        <f t="shared" si="5"/>
        <v>19308058.010000002</v>
      </c>
      <c r="H14" s="433">
        <f t="shared" si="5"/>
        <v>20050000</v>
      </c>
      <c r="I14" s="433">
        <f t="shared" si="1"/>
        <v>-741941.98999999836</v>
      </c>
      <c r="J14" s="434">
        <f t="shared" si="2"/>
        <v>-3.7004588029925102E-2</v>
      </c>
      <c r="K14" s="516">
        <f t="shared" si="5"/>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14678820.530000001</v>
      </c>
      <c r="F18" s="743">
        <v>773922.52</v>
      </c>
      <c r="G18" s="743">
        <v>4174491.1199999996</v>
      </c>
      <c r="H18" s="743">
        <f>E18/12*6</f>
        <v>7339410.2650000006</v>
      </c>
      <c r="I18" s="45">
        <f t="shared" ref="I18:I30" si="6">G18-H18</f>
        <v>-3164919.1450000009</v>
      </c>
      <c r="J18" s="333">
        <f t="shared" ref="J18:J29" si="7">IF(I18=0,"",I18/H18)</f>
        <v>-0.43122254114786163</v>
      </c>
      <c r="K18" s="745">
        <v>14678820.530000001</v>
      </c>
    </row>
    <row r="19" spans="1:11" ht="12.75" customHeight="1" x14ac:dyDescent="0.2">
      <c r="A19" s="40" t="s">
        <v>1066</v>
      </c>
      <c r="B19" s="170"/>
      <c r="C19" s="758">
        <v>1299445.49</v>
      </c>
      <c r="D19" s="755">
        <v>1224118</v>
      </c>
      <c r="E19" s="743">
        <v>1224118</v>
      </c>
      <c r="F19" s="743">
        <v>111415.08</v>
      </c>
      <c r="G19" s="743">
        <v>583318.98</v>
      </c>
      <c r="H19" s="743">
        <f>E19/12*6</f>
        <v>612059</v>
      </c>
      <c r="I19" s="45">
        <f t="shared" si="6"/>
        <v>-28740.020000000019</v>
      </c>
      <c r="J19" s="333">
        <f t="shared" si="7"/>
        <v>-4.6956290161569422E-2</v>
      </c>
      <c r="K19" s="745">
        <v>1224118</v>
      </c>
    </row>
    <row r="20" spans="1:11" ht="12.75" customHeight="1" x14ac:dyDescent="0.2">
      <c r="A20" s="40" t="s">
        <v>436</v>
      </c>
      <c r="B20" s="170"/>
      <c r="C20" s="758">
        <v>165275.08000000005</v>
      </c>
      <c r="D20" s="755">
        <v>115051.51</v>
      </c>
      <c r="E20" s="743">
        <v>115051.51</v>
      </c>
      <c r="F20" s="743">
        <v>13463.92</v>
      </c>
      <c r="G20" s="743">
        <v>58319.92</v>
      </c>
      <c r="H20" s="743">
        <f t="shared" ref="H20:H26" si="8">E20/12*6</f>
        <v>57525.755000000005</v>
      </c>
      <c r="I20" s="45">
        <f t="shared" si="6"/>
        <v>794.1649999999936</v>
      </c>
      <c r="J20" s="333">
        <f t="shared" si="7"/>
        <v>1.3805381606899267E-2</v>
      </c>
      <c r="K20" s="745">
        <v>115051.51</v>
      </c>
    </row>
    <row r="21" spans="1:11" ht="12.75" customHeight="1" x14ac:dyDescent="0.2">
      <c r="A21" s="40" t="s">
        <v>558</v>
      </c>
      <c r="B21" s="170"/>
      <c r="C21" s="758">
        <v>0</v>
      </c>
      <c r="D21" s="755">
        <v>0</v>
      </c>
      <c r="E21" s="743">
        <v>0</v>
      </c>
      <c r="F21" s="743"/>
      <c r="G21" s="743">
        <v>0</v>
      </c>
      <c r="H21" s="743">
        <f t="shared" si="8"/>
        <v>0</v>
      </c>
      <c r="I21" s="45">
        <f t="shared" si="6"/>
        <v>0</v>
      </c>
      <c r="J21" s="333" t="str">
        <f t="shared" si="7"/>
        <v/>
      </c>
      <c r="K21" s="745">
        <v>0</v>
      </c>
    </row>
    <row r="22" spans="1:11" ht="12.75" customHeight="1" x14ac:dyDescent="0.2">
      <c r="A22" s="40" t="s">
        <v>438</v>
      </c>
      <c r="B22" s="170"/>
      <c r="C22" s="758">
        <v>0</v>
      </c>
      <c r="D22" s="755">
        <v>0</v>
      </c>
      <c r="E22" s="743">
        <v>0</v>
      </c>
      <c r="F22" s="743"/>
      <c r="G22" s="743">
        <v>0</v>
      </c>
      <c r="H22" s="743">
        <f t="shared" si="8"/>
        <v>0</v>
      </c>
      <c r="I22" s="45">
        <f>G22-H22</f>
        <v>0</v>
      </c>
      <c r="J22" s="333" t="str">
        <f>IF(I22=0,"",I22/H22)</f>
        <v/>
      </c>
      <c r="K22" s="745">
        <v>0</v>
      </c>
    </row>
    <row r="23" spans="1:11" ht="12.75" customHeight="1" x14ac:dyDescent="0.2">
      <c r="A23" s="40" t="s">
        <v>1067</v>
      </c>
      <c r="B23" s="170"/>
      <c r="C23" s="758">
        <v>1921305.7900000003</v>
      </c>
      <c r="D23" s="755">
        <v>1862797.45</v>
      </c>
      <c r="E23" s="743">
        <v>1862797.45</v>
      </c>
      <c r="F23" s="743">
        <v>159727.57999999999</v>
      </c>
      <c r="G23" s="743">
        <v>888365.47999999986</v>
      </c>
      <c r="H23" s="743">
        <f t="shared" si="8"/>
        <v>931398.72499999986</v>
      </c>
      <c r="I23" s="45">
        <f>G23-H23</f>
        <v>-43033.244999999995</v>
      </c>
      <c r="J23" s="333">
        <f>IF(I23=0,"",I23/H23)</f>
        <v>-4.6202817166192706E-2</v>
      </c>
      <c r="K23" s="745">
        <v>1862797.45</v>
      </c>
    </row>
    <row r="24" spans="1:11" ht="12.75" customHeight="1" x14ac:dyDescent="0.2">
      <c r="A24" s="40" t="s">
        <v>1068</v>
      </c>
      <c r="B24" s="170"/>
      <c r="C24" s="758">
        <v>0</v>
      </c>
      <c r="D24" s="755">
        <v>0</v>
      </c>
      <c r="E24" s="743">
        <v>0</v>
      </c>
      <c r="F24" s="743"/>
      <c r="G24" s="743">
        <v>0</v>
      </c>
      <c r="H24" s="743">
        <f t="shared" si="8"/>
        <v>0</v>
      </c>
      <c r="I24" s="45">
        <f>G24-H24</f>
        <v>0</v>
      </c>
      <c r="J24" s="333" t="str">
        <f>IF(I24=0,"",I24/H24)</f>
        <v/>
      </c>
      <c r="K24" s="745">
        <v>0</v>
      </c>
    </row>
    <row r="25" spans="1:11" ht="12.75" customHeight="1" x14ac:dyDescent="0.2">
      <c r="A25" s="40" t="s">
        <v>1069</v>
      </c>
      <c r="B25" s="170"/>
      <c r="C25" s="758">
        <v>1705480.9999999995</v>
      </c>
      <c r="D25" s="755">
        <v>0</v>
      </c>
      <c r="E25" s="743">
        <v>0</v>
      </c>
      <c r="F25" s="743">
        <v>174665.65</v>
      </c>
      <c r="G25" s="743">
        <v>330136.53000000003</v>
      </c>
      <c r="H25" s="743">
        <f t="shared" si="8"/>
        <v>0</v>
      </c>
      <c r="I25" s="45">
        <f>G25-H25</f>
        <v>330136.53000000003</v>
      </c>
      <c r="J25" s="333" t="e">
        <f>IF(I25=0,"",I25/H25)</f>
        <v>#DIV/0!</v>
      </c>
      <c r="K25" s="745">
        <v>0</v>
      </c>
    </row>
    <row r="26" spans="1:11" ht="12.75" customHeight="1" x14ac:dyDescent="0.2">
      <c r="A26" s="40" t="s">
        <v>1070</v>
      </c>
      <c r="B26" s="170"/>
      <c r="C26" s="758">
        <v>240142.53</v>
      </c>
      <c r="D26" s="755">
        <v>624814.55874999822</v>
      </c>
      <c r="E26" s="743">
        <v>624814.55874999822</v>
      </c>
      <c r="F26" s="743">
        <v>10305.620000000001</v>
      </c>
      <c r="G26" s="743">
        <v>679814.25</v>
      </c>
      <c r="H26" s="743">
        <f t="shared" si="8"/>
        <v>312407.27937499911</v>
      </c>
      <c r="I26" s="45">
        <f t="shared" si="6"/>
        <v>367406.97062500089</v>
      </c>
      <c r="J26" s="333">
        <f t="shared" si="7"/>
        <v>1.1760512474614355</v>
      </c>
      <c r="K26" s="745">
        <v>624814.55874999822</v>
      </c>
    </row>
    <row r="27" spans="1:11" ht="12.75" customHeight="1" x14ac:dyDescent="0.2">
      <c r="A27" s="40" t="s">
        <v>1071</v>
      </c>
      <c r="B27" s="170"/>
      <c r="C27" s="758">
        <v>35566</v>
      </c>
      <c r="D27" s="755"/>
      <c r="E27" s="743">
        <v>0</v>
      </c>
      <c r="F27" s="743"/>
      <c r="G27" s="743">
        <v>0</v>
      </c>
      <c r="H27" s="743">
        <f t="shared" ref="H27:H29" si="9">E27/12*5</f>
        <v>0</v>
      </c>
      <c r="I27" s="45">
        <f t="shared" si="6"/>
        <v>0</v>
      </c>
      <c r="J27" s="333" t="str">
        <f t="shared" si="7"/>
        <v/>
      </c>
      <c r="K27" s="745">
        <v>0</v>
      </c>
    </row>
    <row r="28" spans="1:11" ht="12.75" customHeight="1" x14ac:dyDescent="0.2">
      <c r="A28" s="40" t="s">
        <v>1072</v>
      </c>
      <c r="B28" s="170"/>
      <c r="C28" s="758">
        <v>0</v>
      </c>
      <c r="D28" s="755">
        <v>0</v>
      </c>
      <c r="E28" s="743">
        <v>0</v>
      </c>
      <c r="F28" s="743"/>
      <c r="G28" s="743">
        <v>0</v>
      </c>
      <c r="H28" s="743">
        <f t="shared" si="9"/>
        <v>0</v>
      </c>
      <c r="I28" s="45">
        <f t="shared" si="6"/>
        <v>0</v>
      </c>
      <c r="J28" s="333" t="str">
        <f t="shared" si="7"/>
        <v/>
      </c>
      <c r="K28" s="745">
        <f t="shared" ref="K28:K29" si="10">D28</f>
        <v>0</v>
      </c>
    </row>
    <row r="29" spans="1:11" ht="12.75" customHeight="1" x14ac:dyDescent="0.2">
      <c r="A29" s="40" t="s">
        <v>1073</v>
      </c>
      <c r="B29" s="170">
        <v>2</v>
      </c>
      <c r="C29" s="758">
        <v>339068.94999999995</v>
      </c>
      <c r="D29" s="755">
        <v>0</v>
      </c>
      <c r="E29" s="743">
        <v>0</v>
      </c>
      <c r="F29" s="743">
        <v>0</v>
      </c>
      <c r="G29" s="743">
        <v>0</v>
      </c>
      <c r="H29" s="743">
        <f t="shared" si="9"/>
        <v>0</v>
      </c>
      <c r="I29" s="45">
        <f t="shared" si="6"/>
        <v>0</v>
      </c>
      <c r="J29" s="333" t="str">
        <f t="shared" si="7"/>
        <v/>
      </c>
      <c r="K29" s="745">
        <f t="shared" si="10"/>
        <v>0</v>
      </c>
    </row>
    <row r="30" spans="1:11" ht="12.75" customHeight="1" x14ac:dyDescent="0.2">
      <c r="A30" s="88" t="s">
        <v>439</v>
      </c>
      <c r="B30" s="170"/>
      <c r="C30" s="519">
        <f t="shared" ref="C30:K30" si="11">SUM(C18:C29)</f>
        <v>14787728.98</v>
      </c>
      <c r="D30" s="478">
        <f t="shared" si="11"/>
        <v>20502002.048750002</v>
      </c>
      <c r="E30" s="433">
        <f t="shared" si="11"/>
        <v>18505602.048750002</v>
      </c>
      <c r="F30" s="433">
        <f>SUM(F18:F29)</f>
        <v>1243500.3700000001</v>
      </c>
      <c r="G30" s="433">
        <f>SUM(G18:G29)</f>
        <v>6714446.2799999993</v>
      </c>
      <c r="H30" s="433">
        <f>SUM(H18:H29)</f>
        <v>9252801.024375001</v>
      </c>
      <c r="I30" s="433">
        <f t="shared" si="6"/>
        <v>-2538354.7443750016</v>
      </c>
      <c r="J30" s="434">
        <f>IF(I30=0,"",I30/H30)</f>
        <v>-0.27433365720154562</v>
      </c>
      <c r="K30" s="516">
        <f t="shared" si="11"/>
        <v>18505602.048750002</v>
      </c>
    </row>
    <row r="31" spans="1:11" ht="12.75" customHeight="1" x14ac:dyDescent="0.2">
      <c r="A31" s="574" t="s">
        <v>744</v>
      </c>
      <c r="B31" s="170">
        <v>4</v>
      </c>
      <c r="C31" s="174"/>
      <c r="D31" s="306">
        <f>IF(D30=0,"",(D30/C30)-1)</f>
        <v>0.3864199213062669</v>
      </c>
      <c r="E31" s="306">
        <f>IF(E30=0,"",(E30/C30)-1)</f>
        <v>0.25141609464024683</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549934094.47000003</v>
      </c>
      <c r="F34" s="743">
        <v>38480859.359999999</v>
      </c>
      <c r="G34" s="743">
        <v>233602676.70999998</v>
      </c>
      <c r="H34" s="743">
        <f>E34/12*6</f>
        <v>274967047.23500001</v>
      </c>
      <c r="I34" s="45">
        <f t="shared" ref="I34:I46" si="12">G34-H34</f>
        <v>-41364370.525000036</v>
      </c>
      <c r="J34" s="333">
        <f t="shared" ref="J34:J45" si="13">IF(I34=0,"",I34/H34)</f>
        <v>-0.15043391904939091</v>
      </c>
      <c r="K34" s="745">
        <v>549934094.47000003</v>
      </c>
    </row>
    <row r="35" spans="1:11" ht="12.75" customHeight="1" x14ac:dyDescent="0.2">
      <c r="A35" s="521" t="s">
        <v>1066</v>
      </c>
      <c r="B35" s="170"/>
      <c r="C35" s="758">
        <v>90293160.780000016</v>
      </c>
      <c r="D35" s="755">
        <v>117333467</v>
      </c>
      <c r="E35" s="743">
        <v>117333467</v>
      </c>
      <c r="F35" s="743">
        <v>7958169.3100000005</v>
      </c>
      <c r="G35" s="743">
        <v>47748294.359999999</v>
      </c>
      <c r="H35" s="743">
        <f t="shared" ref="H35:H44" si="14">E35/12*6</f>
        <v>58666733.5</v>
      </c>
      <c r="I35" s="45">
        <f t="shared" si="12"/>
        <v>-10918439.140000001</v>
      </c>
      <c r="J35" s="333">
        <f t="shared" si="13"/>
        <v>-0.186109546051341</v>
      </c>
      <c r="K35" s="745">
        <v>117333467</v>
      </c>
    </row>
    <row r="36" spans="1:11" ht="12.75" customHeight="1" x14ac:dyDescent="0.2">
      <c r="A36" s="521" t="s">
        <v>436</v>
      </c>
      <c r="B36" s="170"/>
      <c r="C36" s="758">
        <v>31993546.749999996</v>
      </c>
      <c r="D36" s="755">
        <v>34197048.490000002</v>
      </c>
      <c r="E36" s="743">
        <v>34197048.490000002</v>
      </c>
      <c r="F36" s="743">
        <v>2815118.4299999997</v>
      </c>
      <c r="G36" s="743">
        <v>16858388.579999998</v>
      </c>
      <c r="H36" s="743">
        <f t="shared" si="14"/>
        <v>17098524.245000001</v>
      </c>
      <c r="I36" s="45">
        <f t="shared" si="12"/>
        <v>-240135.66500000283</v>
      </c>
      <c r="J36" s="333">
        <f t="shared" si="13"/>
        <v>-1.4044233382902853E-2</v>
      </c>
      <c r="K36" s="745">
        <v>34197048.490000002</v>
      </c>
    </row>
    <row r="37" spans="1:11" ht="12.75" customHeight="1" x14ac:dyDescent="0.2">
      <c r="A37" s="521" t="s">
        <v>558</v>
      </c>
      <c r="B37" s="170"/>
      <c r="C37" s="758">
        <v>86359385.25</v>
      </c>
      <c r="D37" s="755">
        <v>41380000</v>
      </c>
      <c r="E37" s="743">
        <v>41380000</v>
      </c>
      <c r="F37" s="743">
        <v>7534287.0299999993</v>
      </c>
      <c r="G37" s="743">
        <v>39918806.350000001</v>
      </c>
      <c r="H37" s="743">
        <f t="shared" si="14"/>
        <v>20690000</v>
      </c>
      <c r="I37" s="45">
        <f t="shared" si="12"/>
        <v>19228806.350000001</v>
      </c>
      <c r="J37" s="333">
        <f t="shared" si="13"/>
        <v>0.929376817303045</v>
      </c>
      <c r="K37" s="745">
        <v>41380000</v>
      </c>
    </row>
    <row r="38" spans="1:11" ht="12.75" customHeight="1" x14ac:dyDescent="0.2">
      <c r="A38" s="521" t="s">
        <v>438</v>
      </c>
      <c r="B38" s="170"/>
      <c r="C38" s="758">
        <v>0</v>
      </c>
      <c r="D38" s="755">
        <v>0</v>
      </c>
      <c r="E38" s="743">
        <v>0</v>
      </c>
      <c r="F38" s="743"/>
      <c r="G38" s="743">
        <v>0</v>
      </c>
      <c r="H38" s="743">
        <f t="shared" si="14"/>
        <v>0</v>
      </c>
      <c r="I38" s="45">
        <f t="shared" si="12"/>
        <v>0</v>
      </c>
      <c r="J38" s="333" t="str">
        <f t="shared" si="13"/>
        <v/>
      </c>
      <c r="K38" s="745">
        <v>0</v>
      </c>
    </row>
    <row r="39" spans="1:11" ht="12.75" customHeight="1" x14ac:dyDescent="0.2">
      <c r="A39" s="521" t="s">
        <v>1067</v>
      </c>
      <c r="B39" s="170"/>
      <c r="C39" s="758">
        <v>48985477.559999995</v>
      </c>
      <c r="D39" s="755">
        <v>63952883.549999997</v>
      </c>
      <c r="E39" s="743">
        <v>63952883.549999997</v>
      </c>
      <c r="F39" s="743">
        <v>4273958.32</v>
      </c>
      <c r="G39" s="743">
        <v>25724798.299999997</v>
      </c>
      <c r="H39" s="743">
        <f t="shared" si="14"/>
        <v>31976441.774999999</v>
      </c>
      <c r="I39" s="45">
        <f>G39-H39</f>
        <v>-6251643.4750000015</v>
      </c>
      <c r="J39" s="333">
        <f>IF(I39=0,"",I39/H39)</f>
        <v>-0.19550779035982974</v>
      </c>
      <c r="K39" s="745">
        <v>63952883.549999997</v>
      </c>
    </row>
    <row r="40" spans="1:11" ht="12.75" customHeight="1" x14ac:dyDescent="0.2">
      <c r="A40" s="521" t="s">
        <v>1068</v>
      </c>
      <c r="B40" s="170"/>
      <c r="C40" s="758">
        <v>229200.22999999995</v>
      </c>
      <c r="D40" s="755">
        <v>299900</v>
      </c>
      <c r="E40" s="743">
        <v>299900</v>
      </c>
      <c r="F40" s="743">
        <v>9398.16</v>
      </c>
      <c r="G40" s="743">
        <v>60167.81</v>
      </c>
      <c r="H40" s="743">
        <f t="shared" si="14"/>
        <v>149950</v>
      </c>
      <c r="I40" s="45">
        <f>G40-H40</f>
        <v>-89782.19</v>
      </c>
      <c r="J40" s="333">
        <f>IF(I40=0,"",I40/H40)</f>
        <v>-0.59874751583861285</v>
      </c>
      <c r="K40" s="745">
        <v>299900</v>
      </c>
    </row>
    <row r="41" spans="1:11" ht="12.75" customHeight="1" x14ac:dyDescent="0.2">
      <c r="A41" s="521" t="s">
        <v>1069</v>
      </c>
      <c r="B41" s="170"/>
      <c r="C41" s="758">
        <v>6759917.4700000007</v>
      </c>
      <c r="D41" s="755">
        <v>10366500</v>
      </c>
      <c r="E41" s="743">
        <v>10366500</v>
      </c>
      <c r="F41" s="743">
        <v>637051.32000000007</v>
      </c>
      <c r="G41" s="743">
        <v>3525476.0100000007</v>
      </c>
      <c r="H41" s="743">
        <f t="shared" si="14"/>
        <v>5183250</v>
      </c>
      <c r="I41" s="45">
        <f>G41-H41</f>
        <v>-1657773.9899999993</v>
      </c>
      <c r="J41" s="333">
        <f>IF(I41=0,"",I41/H41)</f>
        <v>-0.31983292142960484</v>
      </c>
      <c r="K41" s="745">
        <v>10366500</v>
      </c>
    </row>
    <row r="42" spans="1:11" ht="12.75" customHeight="1" x14ac:dyDescent="0.2">
      <c r="A42" s="521" t="s">
        <v>1070</v>
      </c>
      <c r="B42" s="170"/>
      <c r="C42" s="758">
        <v>28163747.189999998</v>
      </c>
      <c r="D42" s="755">
        <v>61248504.441250004</v>
      </c>
      <c r="E42" s="743">
        <v>61248504.441250004</v>
      </c>
      <c r="F42" s="743">
        <v>2253285.6199999996</v>
      </c>
      <c r="G42" s="743">
        <v>14132958.289999999</v>
      </c>
      <c r="H42" s="743">
        <f t="shared" si="14"/>
        <v>30624252.220625002</v>
      </c>
      <c r="I42" s="45">
        <f t="shared" si="12"/>
        <v>-16491293.930625003</v>
      </c>
      <c r="J42" s="333">
        <f t="shared" si="13"/>
        <v>-0.53850437920304051</v>
      </c>
      <c r="K42" s="745">
        <v>61248504.441250004</v>
      </c>
    </row>
    <row r="43" spans="1:11" ht="12.75" customHeight="1" x14ac:dyDescent="0.2">
      <c r="A43" s="521" t="s">
        <v>1071</v>
      </c>
      <c r="B43" s="170"/>
      <c r="C43" s="758">
        <v>15999898.889999999</v>
      </c>
      <c r="D43" s="755">
        <v>15015400</v>
      </c>
      <c r="E43" s="743">
        <v>15015400</v>
      </c>
      <c r="F43" s="743">
        <v>1226833.06</v>
      </c>
      <c r="G43" s="743">
        <v>9817190.2700000014</v>
      </c>
      <c r="H43" s="743">
        <f t="shared" si="14"/>
        <v>7507700</v>
      </c>
      <c r="I43" s="45">
        <f t="shared" si="12"/>
        <v>2309490.2700000014</v>
      </c>
      <c r="J43" s="333">
        <f t="shared" si="13"/>
        <v>0.30761621668420441</v>
      </c>
      <c r="K43" s="745">
        <v>15015400</v>
      </c>
    </row>
    <row r="44" spans="1:11" ht="12.75" customHeight="1" x14ac:dyDescent="0.2">
      <c r="A44" s="521" t="s">
        <v>1072</v>
      </c>
      <c r="B44" s="170"/>
      <c r="C44" s="758">
        <v>1305354.3499999999</v>
      </c>
      <c r="D44" s="755">
        <v>6963200</v>
      </c>
      <c r="E44" s="743">
        <v>6963200</v>
      </c>
      <c r="F44" s="743">
        <v>62344.84</v>
      </c>
      <c r="G44" s="743">
        <v>377836.92000000004</v>
      </c>
      <c r="H44" s="743">
        <f t="shared" si="14"/>
        <v>3481600</v>
      </c>
      <c r="I44" s="45">
        <f t="shared" si="12"/>
        <v>-3103763.08</v>
      </c>
      <c r="J44" s="333">
        <f t="shared" si="13"/>
        <v>-0.89147606847426475</v>
      </c>
      <c r="K44" s="745">
        <v>6963200</v>
      </c>
    </row>
    <row r="45" spans="1:11" ht="12.75" customHeight="1" x14ac:dyDescent="0.2">
      <c r="A45" s="521" t="s">
        <v>1073</v>
      </c>
      <c r="B45" s="170">
        <v>2</v>
      </c>
      <c r="C45" s="758">
        <v>2942756.86</v>
      </c>
      <c r="D45" s="755">
        <v>0</v>
      </c>
      <c r="E45" s="743">
        <v>2566004</v>
      </c>
      <c r="F45" s="743">
        <v>330181.51</v>
      </c>
      <c r="G45" s="743">
        <v>1879908.96</v>
      </c>
      <c r="H45" s="743">
        <f>E45/12*6</f>
        <v>1283002</v>
      </c>
      <c r="I45" s="45">
        <f t="shared" si="12"/>
        <v>596906.96</v>
      </c>
      <c r="J45" s="333">
        <f t="shared" si="13"/>
        <v>0.46524242362833412</v>
      </c>
      <c r="K45" s="745">
        <v>2566004</v>
      </c>
    </row>
    <row r="46" spans="1:11" ht="12.75" customHeight="1" x14ac:dyDescent="0.2">
      <c r="A46" s="88" t="s">
        <v>441</v>
      </c>
      <c r="B46" s="170"/>
      <c r="C46" s="519">
        <f t="shared" ref="C46:K46" si="15">SUM(C34:C45)</f>
        <v>748964109.89999998</v>
      </c>
      <c r="D46" s="478">
        <f t="shared" si="15"/>
        <v>900690997.95124996</v>
      </c>
      <c r="E46" s="433">
        <f t="shared" si="15"/>
        <v>903257001.95124996</v>
      </c>
      <c r="F46" s="433">
        <f>SUM(F34:F45)</f>
        <v>65581486.960000001</v>
      </c>
      <c r="G46" s="433">
        <f>SUM(G34:G45)</f>
        <v>393646502.56</v>
      </c>
      <c r="H46" s="433">
        <f>SUM(H34:H45)</f>
        <v>451628500.97562498</v>
      </c>
      <c r="I46" s="433">
        <f t="shared" si="12"/>
        <v>-57981998.415624976</v>
      </c>
      <c r="J46" s="434">
        <f>IF(I46=0,"",I46/H46)</f>
        <v>-0.12838427665740773</v>
      </c>
      <c r="K46" s="516">
        <f t="shared" si="15"/>
        <v>903257001.95124996</v>
      </c>
    </row>
    <row r="47" spans="1:11" ht="12.75" customHeight="1" x14ac:dyDescent="0.2">
      <c r="A47" s="574" t="s">
        <v>744</v>
      </c>
      <c r="B47" s="170">
        <v>4</v>
      </c>
      <c r="C47" s="402"/>
      <c r="D47" s="306">
        <f>IF(D46=0,"",(D46/C46)-1)</f>
        <v>0.20258232142993893</v>
      </c>
      <c r="E47" s="306">
        <f>IF(E46=0,"",(E46/C46)-1)</f>
        <v>0.20600839214024669</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6">D14+D30+D46</f>
        <v>961293000</v>
      </c>
      <c r="E49" s="74">
        <f t="shared" si="16"/>
        <v>961862604</v>
      </c>
      <c r="F49" s="74">
        <f t="shared" si="16"/>
        <v>70016945.030000001</v>
      </c>
      <c r="G49" s="74">
        <f t="shared" si="16"/>
        <v>419669006.85000002</v>
      </c>
      <c r="H49" s="74">
        <f t="shared" si="16"/>
        <v>480931302</v>
      </c>
      <c r="I49" s="74">
        <f>G49-H49</f>
        <v>-61262295.149999976</v>
      </c>
      <c r="J49" s="334">
        <f>IF(I49=0,"",I49/H49)</f>
        <v>-0.12738263218724735</v>
      </c>
      <c r="K49" s="146">
        <f t="shared" si="16"/>
        <v>961862604</v>
      </c>
    </row>
    <row r="50" spans="1:11" ht="5.0999999999999996" customHeight="1" x14ac:dyDescent="0.2">
      <c r="A50" s="43"/>
      <c r="B50" s="170"/>
      <c r="C50" s="174"/>
      <c r="D50" s="306">
        <f>IF(D49=0,"",(D49/C49)-1)</f>
        <v>0.19845273546606101</v>
      </c>
      <c r="E50" s="306">
        <f>IF(E49=0,"",(E49/C49)-1)</f>
        <v>0.19916286595898303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7">E54/12*5</f>
        <v>0</v>
      </c>
      <c r="I54" s="45">
        <f t="shared" ref="I54:I67" si="18">G54-H54</f>
        <v>0</v>
      </c>
      <c r="J54" s="333" t="str">
        <f t="shared" ref="J54:J66" si="19">IF(I54=0,"",I54/H54)</f>
        <v/>
      </c>
      <c r="K54" s="745">
        <f>D54</f>
        <v>0</v>
      </c>
    </row>
    <row r="55" spans="1:11" ht="12.75" customHeight="1" x14ac:dyDescent="0.2">
      <c r="A55" s="40" t="s">
        <v>1066</v>
      </c>
      <c r="B55" s="170"/>
      <c r="C55" s="758">
        <v>328487.86000000004</v>
      </c>
      <c r="D55" s="755">
        <v>0</v>
      </c>
      <c r="E55" s="743">
        <v>0</v>
      </c>
      <c r="F55" s="743">
        <v>0</v>
      </c>
      <c r="G55" s="743">
        <v>0</v>
      </c>
      <c r="H55" s="743">
        <f t="shared" si="17"/>
        <v>0</v>
      </c>
      <c r="I55" s="45">
        <f t="shared" si="18"/>
        <v>0</v>
      </c>
      <c r="J55" s="333" t="str">
        <f t="shared" si="19"/>
        <v/>
      </c>
      <c r="K55" s="745">
        <f t="shared" ref="K55:K66" si="20">D55</f>
        <v>0</v>
      </c>
    </row>
    <row r="56" spans="1:11" ht="12.75" customHeight="1" x14ac:dyDescent="0.2">
      <c r="A56" s="40" t="s">
        <v>436</v>
      </c>
      <c r="B56" s="170"/>
      <c r="C56" s="758">
        <v>0</v>
      </c>
      <c r="D56" s="755">
        <v>0</v>
      </c>
      <c r="E56" s="743">
        <v>0</v>
      </c>
      <c r="F56" s="743">
        <v>0</v>
      </c>
      <c r="G56" s="743">
        <v>0</v>
      </c>
      <c r="H56" s="973">
        <f t="shared" si="17"/>
        <v>0</v>
      </c>
      <c r="I56" s="45">
        <f t="shared" si="18"/>
        <v>0</v>
      </c>
      <c r="J56" s="333" t="str">
        <f t="shared" si="19"/>
        <v/>
      </c>
      <c r="K56" s="745">
        <f t="shared" si="20"/>
        <v>0</v>
      </c>
    </row>
    <row r="57" spans="1:11" ht="12.75" customHeight="1" x14ac:dyDescent="0.2">
      <c r="A57" s="40" t="s">
        <v>558</v>
      </c>
      <c r="B57" s="170"/>
      <c r="C57" s="758">
        <v>0</v>
      </c>
      <c r="D57" s="755">
        <v>0</v>
      </c>
      <c r="E57" s="743">
        <v>0</v>
      </c>
      <c r="F57" s="743">
        <v>0</v>
      </c>
      <c r="G57" s="743">
        <v>0</v>
      </c>
      <c r="H57" s="973">
        <f t="shared" si="17"/>
        <v>0</v>
      </c>
      <c r="I57" s="45">
        <f>G57-H57</f>
        <v>0</v>
      </c>
      <c r="J57" s="333" t="str">
        <f>IF(I57=0,"",I57/H57)</f>
        <v/>
      </c>
      <c r="K57" s="745">
        <f t="shared" si="20"/>
        <v>0</v>
      </c>
    </row>
    <row r="58" spans="1:11" ht="12.75" customHeight="1" x14ac:dyDescent="0.2">
      <c r="A58" s="40" t="s">
        <v>438</v>
      </c>
      <c r="B58" s="170"/>
      <c r="C58" s="758">
        <v>0</v>
      </c>
      <c r="D58" s="755">
        <v>0</v>
      </c>
      <c r="E58" s="743">
        <v>0</v>
      </c>
      <c r="F58" s="743">
        <v>0</v>
      </c>
      <c r="G58" s="743">
        <v>0</v>
      </c>
      <c r="H58" s="973">
        <f t="shared" si="17"/>
        <v>0</v>
      </c>
      <c r="I58" s="45">
        <f>G58-H58</f>
        <v>0</v>
      </c>
      <c r="J58" s="333" t="str">
        <f>IF(I58=0,"",I58/H58)</f>
        <v/>
      </c>
      <c r="K58" s="745">
        <f t="shared" si="20"/>
        <v>0</v>
      </c>
    </row>
    <row r="59" spans="1:11" ht="12.75" customHeight="1" x14ac:dyDescent="0.2">
      <c r="A59" s="40" t="s">
        <v>1067</v>
      </c>
      <c r="B59" s="170"/>
      <c r="C59" s="758">
        <v>0</v>
      </c>
      <c r="D59" s="755">
        <v>0</v>
      </c>
      <c r="E59" s="743">
        <v>0</v>
      </c>
      <c r="F59" s="743">
        <v>0</v>
      </c>
      <c r="G59" s="743">
        <v>0</v>
      </c>
      <c r="H59" s="973">
        <f t="shared" si="17"/>
        <v>0</v>
      </c>
      <c r="I59" s="45">
        <f>G59-H59</f>
        <v>0</v>
      </c>
      <c r="J59" s="333" t="str">
        <f>IF(I59=0,"",I59/H59)</f>
        <v/>
      </c>
      <c r="K59" s="745">
        <f t="shared" si="20"/>
        <v>0</v>
      </c>
    </row>
    <row r="60" spans="1:11" ht="12.75" customHeight="1" x14ac:dyDescent="0.2">
      <c r="A60" s="40" t="s">
        <v>1068</v>
      </c>
      <c r="B60" s="170"/>
      <c r="C60" s="758">
        <v>0</v>
      </c>
      <c r="D60" s="755">
        <v>0</v>
      </c>
      <c r="E60" s="743">
        <v>0</v>
      </c>
      <c r="F60" s="743">
        <v>0</v>
      </c>
      <c r="G60" s="743">
        <v>0</v>
      </c>
      <c r="H60" s="973">
        <f t="shared" si="17"/>
        <v>0</v>
      </c>
      <c r="I60" s="45">
        <f>G60-H60</f>
        <v>0</v>
      </c>
      <c r="J60" s="333" t="str">
        <f>IF(I60=0,"",I60/H60)</f>
        <v/>
      </c>
      <c r="K60" s="745">
        <f t="shared" si="20"/>
        <v>0</v>
      </c>
    </row>
    <row r="61" spans="1:11" ht="12.75" customHeight="1" x14ac:dyDescent="0.2">
      <c r="A61" s="40" t="s">
        <v>1069</v>
      </c>
      <c r="B61" s="170"/>
      <c r="C61" s="758">
        <v>0</v>
      </c>
      <c r="D61" s="755">
        <v>0</v>
      </c>
      <c r="E61" s="743">
        <v>0</v>
      </c>
      <c r="F61" s="743">
        <v>0</v>
      </c>
      <c r="G61" s="743">
        <v>0</v>
      </c>
      <c r="H61" s="973">
        <f t="shared" si="17"/>
        <v>0</v>
      </c>
      <c r="I61" s="45">
        <f>G61-H61</f>
        <v>0</v>
      </c>
      <c r="J61" s="333" t="str">
        <f>IF(I61=0,"",I61/H61)</f>
        <v/>
      </c>
      <c r="K61" s="745">
        <f t="shared" si="20"/>
        <v>0</v>
      </c>
    </row>
    <row r="62" spans="1:11" ht="12.75" customHeight="1" x14ac:dyDescent="0.2">
      <c r="A62" s="40" t="s">
        <v>1070</v>
      </c>
      <c r="B62" s="170"/>
      <c r="C62" s="758">
        <v>0</v>
      </c>
      <c r="D62" s="755">
        <v>0</v>
      </c>
      <c r="E62" s="743">
        <v>0</v>
      </c>
      <c r="F62" s="743">
        <v>0</v>
      </c>
      <c r="G62" s="743">
        <v>0</v>
      </c>
      <c r="H62" s="973">
        <f t="shared" si="17"/>
        <v>0</v>
      </c>
      <c r="I62" s="45">
        <f t="shared" si="18"/>
        <v>0</v>
      </c>
      <c r="J62" s="333" t="str">
        <f t="shared" si="19"/>
        <v/>
      </c>
      <c r="K62" s="745">
        <f t="shared" si="20"/>
        <v>0</v>
      </c>
    </row>
    <row r="63" spans="1:11" ht="12.75" customHeight="1" x14ac:dyDescent="0.2">
      <c r="A63" s="40" t="s">
        <v>576</v>
      </c>
      <c r="B63" s="170"/>
      <c r="C63" s="758">
        <v>0</v>
      </c>
      <c r="D63" s="755">
        <v>0</v>
      </c>
      <c r="E63" s="743">
        <v>0</v>
      </c>
      <c r="F63" s="743">
        <v>0</v>
      </c>
      <c r="G63" s="743">
        <v>0</v>
      </c>
      <c r="H63" s="973">
        <f t="shared" si="17"/>
        <v>0</v>
      </c>
      <c r="I63" s="45">
        <f>G63-H63</f>
        <v>0</v>
      </c>
      <c r="J63" s="333" t="str">
        <f>IF(I63=0,"",I63/H63)</f>
        <v/>
      </c>
      <c r="K63" s="745">
        <f t="shared" si="20"/>
        <v>0</v>
      </c>
    </row>
    <row r="64" spans="1:11" ht="12.75" customHeight="1" x14ac:dyDescent="0.2">
      <c r="A64" s="40" t="s">
        <v>1071</v>
      </c>
      <c r="B64" s="170"/>
      <c r="C64" s="758">
        <v>0</v>
      </c>
      <c r="D64" s="755">
        <v>0</v>
      </c>
      <c r="E64" s="743">
        <v>0</v>
      </c>
      <c r="F64" s="743">
        <v>0</v>
      </c>
      <c r="G64" s="743">
        <v>0</v>
      </c>
      <c r="H64" s="973">
        <f t="shared" si="17"/>
        <v>0</v>
      </c>
      <c r="I64" s="45">
        <f t="shared" si="18"/>
        <v>0</v>
      </c>
      <c r="J64" s="333" t="str">
        <f t="shared" si="19"/>
        <v/>
      </c>
      <c r="K64" s="745">
        <f t="shared" si="20"/>
        <v>0</v>
      </c>
    </row>
    <row r="65" spans="1:11" ht="12.75" customHeight="1" x14ac:dyDescent="0.2">
      <c r="A65" s="40" t="s">
        <v>1072</v>
      </c>
      <c r="B65" s="170"/>
      <c r="C65" s="758">
        <v>0</v>
      </c>
      <c r="D65" s="755">
        <v>0</v>
      </c>
      <c r="E65" s="743">
        <v>0</v>
      </c>
      <c r="F65" s="743">
        <v>0</v>
      </c>
      <c r="G65" s="743">
        <v>0</v>
      </c>
      <c r="H65" s="973">
        <f t="shared" si="17"/>
        <v>0</v>
      </c>
      <c r="I65" s="45">
        <f t="shared" si="18"/>
        <v>0</v>
      </c>
      <c r="J65" s="333" t="str">
        <f t="shared" si="19"/>
        <v/>
      </c>
      <c r="K65" s="745">
        <f t="shared" si="20"/>
        <v>0</v>
      </c>
    </row>
    <row r="66" spans="1:11" ht="12.75" customHeight="1" x14ac:dyDescent="0.2">
      <c r="A66" s="40" t="s">
        <v>1073</v>
      </c>
      <c r="B66" s="170"/>
      <c r="C66" s="758">
        <v>0</v>
      </c>
      <c r="D66" s="755">
        <v>0</v>
      </c>
      <c r="E66" s="743">
        <v>0</v>
      </c>
      <c r="F66" s="743">
        <v>0</v>
      </c>
      <c r="G66" s="743">
        <v>0</v>
      </c>
      <c r="H66" s="973">
        <f t="shared" si="17"/>
        <v>0</v>
      </c>
      <c r="I66" s="45">
        <f t="shared" si="18"/>
        <v>0</v>
      </c>
      <c r="J66" s="333" t="str">
        <f t="shared" si="19"/>
        <v/>
      </c>
      <c r="K66" s="745">
        <f t="shared" si="20"/>
        <v>0</v>
      </c>
    </row>
    <row r="67" spans="1:11" ht="12.75" customHeight="1" x14ac:dyDescent="0.2">
      <c r="A67" s="88" t="s">
        <v>792</v>
      </c>
      <c r="B67" s="170">
        <v>2</v>
      </c>
      <c r="C67" s="519">
        <f t="shared" ref="C67:K67" si="21">SUM(C54:C66)</f>
        <v>2121636.66</v>
      </c>
      <c r="D67" s="478">
        <f t="shared" si="21"/>
        <v>0</v>
      </c>
      <c r="E67" s="433">
        <f t="shared" si="21"/>
        <v>0</v>
      </c>
      <c r="F67" s="433">
        <f>SUM(F54:F66)</f>
        <v>0</v>
      </c>
      <c r="G67" s="433">
        <f>SUM(G54:G66)</f>
        <v>0</v>
      </c>
      <c r="H67" s="433">
        <f>SUM(H54:H66)</f>
        <v>0</v>
      </c>
      <c r="I67" s="433">
        <f t="shared" si="18"/>
        <v>0</v>
      </c>
      <c r="J67" s="434" t="str">
        <f>IF(I67=0,"",I67/H67)</f>
        <v/>
      </c>
      <c r="K67" s="516">
        <f t="shared" si="21"/>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743">
        <v>0</v>
      </c>
      <c r="I71" s="45">
        <f t="shared" ref="I71:I83" si="22">G71-H71</f>
        <v>0</v>
      </c>
      <c r="J71" s="333" t="str">
        <f t="shared" ref="J71:J82" si="23">IF(I71=0,"",I71/H71)</f>
        <v/>
      </c>
      <c r="K71" s="745">
        <f>D71</f>
        <v>0</v>
      </c>
    </row>
    <row r="72" spans="1:11" ht="12.75" customHeight="1" x14ac:dyDescent="0.2">
      <c r="A72" s="521" t="s">
        <v>1066</v>
      </c>
      <c r="B72" s="170"/>
      <c r="C72" s="758">
        <v>0</v>
      </c>
      <c r="D72" s="755">
        <v>0</v>
      </c>
      <c r="E72" s="743">
        <v>0</v>
      </c>
      <c r="F72" s="743">
        <v>0</v>
      </c>
      <c r="G72" s="743">
        <v>0</v>
      </c>
      <c r="H72" s="743">
        <f t="shared" ref="H72:H77" si="24">E72/12*11</f>
        <v>0</v>
      </c>
      <c r="I72" s="45">
        <f t="shared" si="22"/>
        <v>0</v>
      </c>
      <c r="J72" s="333" t="str">
        <f t="shared" si="23"/>
        <v/>
      </c>
      <c r="K72" s="745">
        <f t="shared" ref="K72:K82" si="25">D72</f>
        <v>0</v>
      </c>
    </row>
    <row r="73" spans="1:11" ht="12.75" customHeight="1" x14ac:dyDescent="0.2">
      <c r="A73" s="521" t="s">
        <v>436</v>
      </c>
      <c r="B73" s="170"/>
      <c r="C73" s="758">
        <v>0</v>
      </c>
      <c r="D73" s="755">
        <v>0</v>
      </c>
      <c r="E73" s="743">
        <v>0</v>
      </c>
      <c r="F73" s="743">
        <v>0</v>
      </c>
      <c r="G73" s="743">
        <v>0</v>
      </c>
      <c r="H73" s="973">
        <f t="shared" si="24"/>
        <v>0</v>
      </c>
      <c r="I73" s="45">
        <f t="shared" si="22"/>
        <v>0</v>
      </c>
      <c r="J73" s="333" t="str">
        <f t="shared" si="23"/>
        <v/>
      </c>
      <c r="K73" s="745">
        <f t="shared" si="25"/>
        <v>0</v>
      </c>
    </row>
    <row r="74" spans="1:11" ht="12.75" customHeight="1" x14ac:dyDescent="0.2">
      <c r="A74" s="521" t="s">
        <v>558</v>
      </c>
      <c r="B74" s="170"/>
      <c r="C74" s="758">
        <v>0</v>
      </c>
      <c r="D74" s="755">
        <v>0</v>
      </c>
      <c r="E74" s="743">
        <v>0</v>
      </c>
      <c r="F74" s="743">
        <v>0</v>
      </c>
      <c r="G74" s="743">
        <v>0</v>
      </c>
      <c r="H74" s="973">
        <f t="shared" si="24"/>
        <v>0</v>
      </c>
      <c r="I74" s="45">
        <f t="shared" si="22"/>
        <v>0</v>
      </c>
      <c r="J74" s="333" t="str">
        <f t="shared" si="23"/>
        <v/>
      </c>
      <c r="K74" s="745">
        <f t="shared" si="25"/>
        <v>0</v>
      </c>
    </row>
    <row r="75" spans="1:11" ht="12.75" customHeight="1" x14ac:dyDescent="0.2">
      <c r="A75" s="521" t="s">
        <v>438</v>
      </c>
      <c r="B75" s="170"/>
      <c r="C75" s="758">
        <v>0</v>
      </c>
      <c r="D75" s="755">
        <v>0</v>
      </c>
      <c r="E75" s="743">
        <v>0</v>
      </c>
      <c r="F75" s="743">
        <v>0</v>
      </c>
      <c r="G75" s="743">
        <v>0</v>
      </c>
      <c r="H75" s="973">
        <f t="shared" si="24"/>
        <v>0</v>
      </c>
      <c r="I75" s="45">
        <f>G75-H75</f>
        <v>0</v>
      </c>
      <c r="J75" s="333" t="str">
        <f>IF(I75=0,"",I75/H75)</f>
        <v/>
      </c>
      <c r="K75" s="745">
        <f t="shared" si="25"/>
        <v>0</v>
      </c>
    </row>
    <row r="76" spans="1:11" ht="12.75" customHeight="1" x14ac:dyDescent="0.2">
      <c r="A76" s="521" t="s">
        <v>1067</v>
      </c>
      <c r="B76" s="170"/>
      <c r="C76" s="758">
        <v>0</v>
      </c>
      <c r="D76" s="755">
        <v>0</v>
      </c>
      <c r="E76" s="743">
        <v>0</v>
      </c>
      <c r="F76" s="743">
        <v>0</v>
      </c>
      <c r="G76" s="743">
        <v>0</v>
      </c>
      <c r="H76" s="973">
        <f t="shared" si="24"/>
        <v>0</v>
      </c>
      <c r="I76" s="45">
        <f>G76-H76</f>
        <v>0</v>
      </c>
      <c r="J76" s="333" t="str">
        <f>IF(I76=0,"",I76/H76)</f>
        <v/>
      </c>
      <c r="K76" s="745">
        <f t="shared" si="25"/>
        <v>0</v>
      </c>
    </row>
    <row r="77" spans="1:11" ht="12.75" customHeight="1" x14ac:dyDescent="0.2">
      <c r="A77" s="521" t="s">
        <v>1068</v>
      </c>
      <c r="B77" s="170"/>
      <c r="C77" s="758">
        <v>0</v>
      </c>
      <c r="D77" s="755">
        <v>0</v>
      </c>
      <c r="E77" s="743">
        <v>0</v>
      </c>
      <c r="F77" s="743">
        <v>0</v>
      </c>
      <c r="G77" s="743">
        <v>0</v>
      </c>
      <c r="H77" s="973">
        <f t="shared" si="24"/>
        <v>0</v>
      </c>
      <c r="I77" s="45">
        <f>G77-H77</f>
        <v>0</v>
      </c>
      <c r="J77" s="333" t="str">
        <f>IF(I77=0,"",I77/H77)</f>
        <v/>
      </c>
      <c r="K77" s="745">
        <f t="shared" si="25"/>
        <v>0</v>
      </c>
    </row>
    <row r="78" spans="1:11" ht="12.75" customHeight="1" x14ac:dyDescent="0.2">
      <c r="A78" s="521" t="s">
        <v>1069</v>
      </c>
      <c r="B78" s="170"/>
      <c r="C78" s="758">
        <v>0</v>
      </c>
      <c r="D78" s="755">
        <v>0</v>
      </c>
      <c r="E78" s="743">
        <v>0</v>
      </c>
      <c r="F78" s="743">
        <v>0</v>
      </c>
      <c r="G78" s="743">
        <v>0</v>
      </c>
      <c r="H78" s="973">
        <f t="shared" ref="H78:H82" si="26">E78/12*10</f>
        <v>0</v>
      </c>
      <c r="I78" s="45">
        <f>G78-H78</f>
        <v>0</v>
      </c>
      <c r="J78" s="333" t="str">
        <f>IF(I78=0,"",I78/H78)</f>
        <v/>
      </c>
      <c r="K78" s="745">
        <f t="shared" si="25"/>
        <v>0</v>
      </c>
    </row>
    <row r="79" spans="1:11" ht="12.75" customHeight="1" x14ac:dyDescent="0.2">
      <c r="A79" s="521" t="s">
        <v>1070</v>
      </c>
      <c r="B79" s="170"/>
      <c r="C79" s="758">
        <v>0</v>
      </c>
      <c r="D79" s="755">
        <v>0</v>
      </c>
      <c r="E79" s="743">
        <v>0</v>
      </c>
      <c r="F79" s="743">
        <v>0</v>
      </c>
      <c r="G79" s="743">
        <v>0</v>
      </c>
      <c r="H79" s="973">
        <f t="shared" si="26"/>
        <v>0</v>
      </c>
      <c r="I79" s="45">
        <f t="shared" si="22"/>
        <v>0</v>
      </c>
      <c r="J79" s="333" t="str">
        <f t="shared" si="23"/>
        <v/>
      </c>
      <c r="K79" s="745">
        <f t="shared" si="25"/>
        <v>0</v>
      </c>
    </row>
    <row r="80" spans="1:11" ht="12.75" customHeight="1" x14ac:dyDescent="0.2">
      <c r="A80" s="521" t="s">
        <v>1071</v>
      </c>
      <c r="B80" s="170"/>
      <c r="C80" s="758">
        <v>0</v>
      </c>
      <c r="D80" s="755">
        <v>0</v>
      </c>
      <c r="E80" s="743">
        <v>0</v>
      </c>
      <c r="F80" s="743">
        <v>0</v>
      </c>
      <c r="G80" s="743">
        <v>0</v>
      </c>
      <c r="H80" s="973">
        <f t="shared" si="26"/>
        <v>0</v>
      </c>
      <c r="I80" s="45">
        <f t="shared" si="22"/>
        <v>0</v>
      </c>
      <c r="J80" s="333" t="str">
        <f t="shared" si="23"/>
        <v/>
      </c>
      <c r="K80" s="745">
        <f t="shared" si="25"/>
        <v>0</v>
      </c>
    </row>
    <row r="81" spans="1:11" ht="12.75" customHeight="1" x14ac:dyDescent="0.2">
      <c r="A81" s="521" t="s">
        <v>1072</v>
      </c>
      <c r="B81" s="170"/>
      <c r="C81" s="758">
        <v>0</v>
      </c>
      <c r="D81" s="755">
        <v>0</v>
      </c>
      <c r="E81" s="743">
        <v>0</v>
      </c>
      <c r="F81" s="743">
        <v>0</v>
      </c>
      <c r="G81" s="743">
        <v>0</v>
      </c>
      <c r="H81" s="973">
        <f t="shared" si="26"/>
        <v>0</v>
      </c>
      <c r="I81" s="45">
        <f t="shared" si="22"/>
        <v>0</v>
      </c>
      <c r="J81" s="333" t="str">
        <f t="shared" si="23"/>
        <v/>
      </c>
      <c r="K81" s="745">
        <f t="shared" si="25"/>
        <v>0</v>
      </c>
    </row>
    <row r="82" spans="1:11" ht="12.75" customHeight="1" x14ac:dyDescent="0.2">
      <c r="A82" s="521" t="s">
        <v>1073</v>
      </c>
      <c r="B82" s="170">
        <v>2</v>
      </c>
      <c r="C82" s="758">
        <v>0</v>
      </c>
      <c r="D82" s="755">
        <v>0</v>
      </c>
      <c r="E82" s="743">
        <v>0</v>
      </c>
      <c r="F82" s="743"/>
      <c r="G82" s="743"/>
      <c r="H82" s="973">
        <f t="shared" si="26"/>
        <v>0</v>
      </c>
      <c r="I82" s="45">
        <f t="shared" si="22"/>
        <v>0</v>
      </c>
      <c r="J82" s="333" t="str">
        <f t="shared" si="23"/>
        <v/>
      </c>
      <c r="K82" s="745">
        <f t="shared" si="25"/>
        <v>0</v>
      </c>
    </row>
    <row r="83" spans="1:11" ht="12.75" customHeight="1" x14ac:dyDescent="0.2">
      <c r="A83" s="88" t="s">
        <v>853</v>
      </c>
      <c r="B83" s="170"/>
      <c r="C83" s="519">
        <f t="shared" ref="C83:K83" si="27">SUM(C71:C82)</f>
        <v>1195432.5333333334</v>
      </c>
      <c r="D83" s="478">
        <f t="shared" si="27"/>
        <v>0</v>
      </c>
      <c r="E83" s="433">
        <f t="shared" si="27"/>
        <v>0</v>
      </c>
      <c r="F83" s="433">
        <f>SUM(F71:F82)</f>
        <v>0</v>
      </c>
      <c r="G83" s="433">
        <f>SUM(G71:G82)</f>
        <v>0</v>
      </c>
      <c r="H83" s="433">
        <f>SUM(H71:H82)</f>
        <v>0</v>
      </c>
      <c r="I83" s="433">
        <f t="shared" si="22"/>
        <v>0</v>
      </c>
      <c r="J83" s="434" t="str">
        <f>IF(I83=0,"",I83/H83)</f>
        <v/>
      </c>
      <c r="K83" s="516">
        <f t="shared" si="27"/>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c r="E87" s="743"/>
      <c r="F87" s="743"/>
      <c r="G87" s="743"/>
      <c r="H87" s="743"/>
      <c r="I87" s="45">
        <f t="shared" ref="I87:I99" si="28">G87-H87</f>
        <v>0</v>
      </c>
      <c r="J87" s="333" t="str">
        <f t="shared" ref="J87:J98" si="29">IF(I87=0,"",I87/H87)</f>
        <v/>
      </c>
      <c r="K87" s="745">
        <f>D87</f>
        <v>0</v>
      </c>
    </row>
    <row r="88" spans="1:11" ht="12.75" customHeight="1" x14ac:dyDescent="0.2">
      <c r="A88" s="521" t="s">
        <v>1066</v>
      </c>
      <c r="B88" s="170"/>
      <c r="C88" s="758">
        <v>0</v>
      </c>
      <c r="D88" s="755"/>
      <c r="E88" s="743"/>
      <c r="F88" s="743"/>
      <c r="G88" s="743"/>
      <c r="H88" s="743"/>
      <c r="I88" s="45">
        <f t="shared" si="28"/>
        <v>0</v>
      </c>
      <c r="J88" s="333" t="str">
        <f t="shared" si="29"/>
        <v/>
      </c>
      <c r="K88" s="745">
        <f t="shared" ref="K88:K98" si="30">D88</f>
        <v>0</v>
      </c>
    </row>
    <row r="89" spans="1:11" ht="12.75" customHeight="1" x14ac:dyDescent="0.2">
      <c r="A89" s="521" t="s">
        <v>436</v>
      </c>
      <c r="B89" s="170"/>
      <c r="C89" s="758">
        <v>0</v>
      </c>
      <c r="D89" s="755"/>
      <c r="E89" s="743"/>
      <c r="F89" s="743"/>
      <c r="G89" s="743"/>
      <c r="H89" s="743"/>
      <c r="I89" s="45">
        <f>G89-H89</f>
        <v>0</v>
      </c>
      <c r="J89" s="333" t="str">
        <f>IF(I89=0,"",I89/H89)</f>
        <v/>
      </c>
      <c r="K89" s="745">
        <f t="shared" si="30"/>
        <v>0</v>
      </c>
    </row>
    <row r="90" spans="1:11" ht="12.75" customHeight="1" x14ac:dyDescent="0.2">
      <c r="A90" s="521" t="s">
        <v>558</v>
      </c>
      <c r="B90" s="170"/>
      <c r="C90" s="758">
        <v>0</v>
      </c>
      <c r="D90" s="755"/>
      <c r="E90" s="743"/>
      <c r="F90" s="743"/>
      <c r="G90" s="743"/>
      <c r="H90" s="743"/>
      <c r="I90" s="45">
        <f>G90-H90</f>
        <v>0</v>
      </c>
      <c r="J90" s="333" t="str">
        <f>IF(I90=0,"",I90/H90)</f>
        <v/>
      </c>
      <c r="K90" s="745">
        <f t="shared" si="30"/>
        <v>0</v>
      </c>
    </row>
    <row r="91" spans="1:11" ht="12.75" customHeight="1" x14ac:dyDescent="0.2">
      <c r="A91" s="521" t="s">
        <v>438</v>
      </c>
      <c r="B91" s="170"/>
      <c r="C91" s="758">
        <v>0</v>
      </c>
      <c r="D91" s="755"/>
      <c r="E91" s="743"/>
      <c r="F91" s="743"/>
      <c r="G91" s="743"/>
      <c r="H91" s="743"/>
      <c r="I91" s="45">
        <f>G91-H91</f>
        <v>0</v>
      </c>
      <c r="J91" s="333" t="str">
        <f>IF(I91=0,"",I91/H91)</f>
        <v/>
      </c>
      <c r="K91" s="745">
        <f t="shared" si="30"/>
        <v>0</v>
      </c>
    </row>
    <row r="92" spans="1:11" ht="12.75" customHeight="1" x14ac:dyDescent="0.2">
      <c r="A92" s="521" t="s">
        <v>1067</v>
      </c>
      <c r="B92" s="170"/>
      <c r="C92" s="758">
        <v>0</v>
      </c>
      <c r="D92" s="755"/>
      <c r="E92" s="743"/>
      <c r="F92" s="743"/>
      <c r="G92" s="743"/>
      <c r="H92" s="743"/>
      <c r="I92" s="45">
        <f>G92-H92</f>
        <v>0</v>
      </c>
      <c r="J92" s="333" t="str">
        <f>IF(I92=0,"",I92/H92)</f>
        <v/>
      </c>
      <c r="K92" s="745">
        <f t="shared" si="30"/>
        <v>0</v>
      </c>
    </row>
    <row r="93" spans="1:11" ht="12.75" customHeight="1" x14ac:dyDescent="0.2">
      <c r="A93" s="521" t="s">
        <v>1068</v>
      </c>
      <c r="B93" s="170"/>
      <c r="C93" s="758">
        <v>0</v>
      </c>
      <c r="D93" s="755"/>
      <c r="E93" s="743"/>
      <c r="F93" s="743"/>
      <c r="G93" s="743"/>
      <c r="H93" s="743"/>
      <c r="I93" s="45">
        <f t="shared" si="28"/>
        <v>0</v>
      </c>
      <c r="J93" s="333" t="str">
        <f t="shared" si="29"/>
        <v/>
      </c>
      <c r="K93" s="745">
        <f t="shared" si="30"/>
        <v>0</v>
      </c>
    </row>
    <row r="94" spans="1:11" ht="12.75" customHeight="1" x14ac:dyDescent="0.2">
      <c r="A94" s="521" t="s">
        <v>1069</v>
      </c>
      <c r="B94" s="170"/>
      <c r="C94" s="758">
        <v>0</v>
      </c>
      <c r="D94" s="755"/>
      <c r="E94" s="743"/>
      <c r="F94" s="743"/>
      <c r="G94" s="743"/>
      <c r="H94" s="743"/>
      <c r="I94" s="45">
        <f t="shared" si="28"/>
        <v>0</v>
      </c>
      <c r="J94" s="333" t="str">
        <f t="shared" si="29"/>
        <v/>
      </c>
      <c r="K94" s="745">
        <f t="shared" si="30"/>
        <v>0</v>
      </c>
    </row>
    <row r="95" spans="1:11" ht="12.75" customHeight="1" x14ac:dyDescent="0.2">
      <c r="A95" s="521" t="s">
        <v>1070</v>
      </c>
      <c r="B95" s="170"/>
      <c r="C95" s="758">
        <v>0</v>
      </c>
      <c r="D95" s="755"/>
      <c r="E95" s="743"/>
      <c r="F95" s="743"/>
      <c r="G95" s="743"/>
      <c r="H95" s="973"/>
      <c r="I95" s="45">
        <f t="shared" si="28"/>
        <v>0</v>
      </c>
      <c r="J95" s="333" t="str">
        <f t="shared" si="29"/>
        <v/>
      </c>
      <c r="K95" s="745">
        <f t="shared" si="30"/>
        <v>0</v>
      </c>
    </row>
    <row r="96" spans="1:11" ht="12.75" customHeight="1" x14ac:dyDescent="0.2">
      <c r="A96" s="521" t="s">
        <v>1071</v>
      </c>
      <c r="B96" s="170"/>
      <c r="C96" s="758">
        <v>0</v>
      </c>
      <c r="D96" s="755"/>
      <c r="E96" s="743"/>
      <c r="F96" s="743"/>
      <c r="G96" s="743"/>
      <c r="H96" s="973"/>
      <c r="I96" s="45">
        <f t="shared" si="28"/>
        <v>0</v>
      </c>
      <c r="J96" s="333" t="str">
        <f t="shared" si="29"/>
        <v/>
      </c>
      <c r="K96" s="745">
        <f t="shared" si="30"/>
        <v>0</v>
      </c>
    </row>
    <row r="97" spans="1:14" ht="12.75" customHeight="1" x14ac:dyDescent="0.2">
      <c r="A97" s="521" t="s">
        <v>1072</v>
      </c>
      <c r="B97" s="170"/>
      <c r="C97" s="758">
        <v>0</v>
      </c>
      <c r="D97" s="755"/>
      <c r="E97" s="743"/>
      <c r="F97" s="743"/>
      <c r="G97" s="743"/>
      <c r="H97" s="973"/>
      <c r="I97" s="45">
        <f t="shared" si="28"/>
        <v>0</v>
      </c>
      <c r="J97" s="333" t="str">
        <f t="shared" si="29"/>
        <v/>
      </c>
      <c r="K97" s="745">
        <v>0</v>
      </c>
    </row>
    <row r="98" spans="1:14" ht="12.75" customHeight="1" x14ac:dyDescent="0.2">
      <c r="A98" s="521" t="s">
        <v>1073</v>
      </c>
      <c r="B98" s="170"/>
      <c r="C98" s="758">
        <v>0</v>
      </c>
      <c r="D98" s="755"/>
      <c r="E98" s="743"/>
      <c r="F98" s="743"/>
      <c r="G98" s="743"/>
      <c r="H98" s="973"/>
      <c r="I98" s="45">
        <f t="shared" si="28"/>
        <v>0</v>
      </c>
      <c r="J98" s="333" t="str">
        <f t="shared" si="29"/>
        <v/>
      </c>
      <c r="K98" s="745">
        <f t="shared" si="30"/>
        <v>0</v>
      </c>
    </row>
    <row r="99" spans="1:14" ht="12.75" customHeight="1" x14ac:dyDescent="0.2">
      <c r="A99" s="88" t="s">
        <v>524</v>
      </c>
      <c r="B99" s="170"/>
      <c r="C99" s="519">
        <f t="shared" ref="C99:H99" si="31">SUM(C87:C98)</f>
        <v>0</v>
      </c>
      <c r="D99" s="478">
        <f t="shared" si="31"/>
        <v>0</v>
      </c>
      <c r="E99" s="433">
        <f t="shared" si="31"/>
        <v>0</v>
      </c>
      <c r="F99" s="433">
        <f t="shared" si="31"/>
        <v>0</v>
      </c>
      <c r="G99" s="433">
        <f t="shared" si="31"/>
        <v>0</v>
      </c>
      <c r="H99" s="433">
        <f t="shared" si="31"/>
        <v>0</v>
      </c>
      <c r="I99" s="433">
        <f t="shared" si="28"/>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2">C67+C83+C99</f>
        <v>3317069.1933333334</v>
      </c>
      <c r="D102" s="478">
        <f t="shared" si="32"/>
        <v>0</v>
      </c>
      <c r="E102" s="433">
        <f t="shared" si="32"/>
        <v>0</v>
      </c>
      <c r="F102" s="433">
        <f t="shared" si="32"/>
        <v>0</v>
      </c>
      <c r="G102" s="433">
        <f t="shared" si="32"/>
        <v>0</v>
      </c>
      <c r="H102" s="433">
        <f t="shared" si="32"/>
        <v>0</v>
      </c>
      <c r="I102" s="433">
        <f>G102-H102</f>
        <v>0</v>
      </c>
      <c r="J102" s="434" t="str">
        <f>IF(I102=0,"",I102/H102)</f>
        <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3">C49+C102</f>
        <v>805428801.72333336</v>
      </c>
      <c r="D104" s="57">
        <f t="shared" si="33"/>
        <v>961293000</v>
      </c>
      <c r="E104" s="56">
        <f t="shared" si="33"/>
        <v>961862604</v>
      </c>
      <c r="F104" s="56">
        <f t="shared" si="33"/>
        <v>70016945.030000001</v>
      </c>
      <c r="G104" s="56">
        <f t="shared" si="33"/>
        <v>419669006.85000002</v>
      </c>
      <c r="H104" s="56">
        <f t="shared" si="33"/>
        <v>480931302</v>
      </c>
      <c r="I104" s="56">
        <f>G104-H104</f>
        <v>-61262295.149999976</v>
      </c>
      <c r="J104" s="335">
        <f>IF(I104=0,"",I104/H104)</f>
        <v>-0.12738263218724735</v>
      </c>
      <c r="K104" s="236">
        <f>K49+K102</f>
        <v>961862604</v>
      </c>
    </row>
    <row r="105" spans="1:14" ht="12.75" customHeight="1" x14ac:dyDescent="0.2">
      <c r="A105" s="574" t="s">
        <v>744</v>
      </c>
      <c r="B105" s="170">
        <v>4</v>
      </c>
      <c r="C105" s="402"/>
      <c r="D105" s="306">
        <f>IF(D104=0,"",(D104/C104)-1)</f>
        <v>0.19351704079016319</v>
      </c>
      <c r="E105" s="306">
        <f>IF(E104=0,"",(E104/C104)-1)</f>
        <v>0.19422424668940752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34">C30+C46+C83+C99</f>
        <v>764947271.4133333</v>
      </c>
      <c r="D106" s="57">
        <f t="shared" si="34"/>
        <v>921193000</v>
      </c>
      <c r="E106" s="56">
        <f t="shared" si="34"/>
        <v>921762604</v>
      </c>
      <c r="F106" s="56">
        <f t="shared" si="34"/>
        <v>66824987.329999998</v>
      </c>
      <c r="G106" s="56">
        <f t="shared" si="34"/>
        <v>400360948.83999997</v>
      </c>
      <c r="H106" s="56">
        <f t="shared" si="34"/>
        <v>460881302</v>
      </c>
      <c r="I106" s="56">
        <f t="shared" si="34"/>
        <v>-60520353.159999982</v>
      </c>
      <c r="J106" s="895">
        <f>IF(I106=0,"",I106/H106)</f>
        <v>-0.1313144032907631</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C19" sqref="C19:H19"/>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M06 December</v>
      </c>
      <c r="B1" s="69"/>
    </row>
    <row r="2" spans="1:17" ht="25.5" customHeight="1" x14ac:dyDescent="0.2">
      <c r="A2" s="1031" t="str">
        <f>desc</f>
        <v>Description</v>
      </c>
      <c r="B2" s="1024" t="str">
        <f>head27</f>
        <v>Ref</v>
      </c>
      <c r="C2" s="1026" t="str">
        <f>Head2</f>
        <v>Budget Year 2019/20</v>
      </c>
      <c r="D2" s="1027"/>
      <c r="E2" s="1027"/>
      <c r="F2" s="1027"/>
      <c r="G2" s="1027"/>
      <c r="H2" s="1027"/>
      <c r="I2" s="1027"/>
      <c r="J2" s="1027"/>
      <c r="K2" s="1027"/>
      <c r="L2" s="1027"/>
      <c r="M2" s="1027"/>
      <c r="N2" s="1077"/>
      <c r="O2" s="1026" t="str">
        <f>'Template names'!B5</f>
        <v>2019/20 Medium Term Revenue &amp; Expenditure Framework</v>
      </c>
      <c r="P2" s="1027"/>
      <c r="Q2" s="1028"/>
    </row>
    <row r="3" spans="1:17" ht="12.75" customHeight="1" x14ac:dyDescent="0.2">
      <c r="A3" s="1032"/>
      <c r="B3" s="1035"/>
      <c r="C3" s="144" t="s">
        <v>804</v>
      </c>
      <c r="D3" s="27" t="s">
        <v>935</v>
      </c>
      <c r="E3" s="27" t="s">
        <v>3</v>
      </c>
      <c r="F3" s="27" t="s">
        <v>936</v>
      </c>
      <c r="G3" s="27" t="s">
        <v>4</v>
      </c>
      <c r="H3" s="27" t="s">
        <v>5</v>
      </c>
      <c r="I3" s="27" t="s">
        <v>939</v>
      </c>
      <c r="J3" s="27" t="s">
        <v>6</v>
      </c>
      <c r="K3" s="27" t="s">
        <v>941</v>
      </c>
      <c r="L3" s="27" t="s">
        <v>942</v>
      </c>
      <c r="M3" s="27" t="s">
        <v>943</v>
      </c>
      <c r="N3" s="164" t="s">
        <v>944</v>
      </c>
      <c r="O3" s="1075" t="str">
        <f>Head9</f>
        <v>Budget Year 2019/20</v>
      </c>
      <c r="P3" s="1071" t="str">
        <f>Head10</f>
        <v>Budget Year +1 2020/21</v>
      </c>
      <c r="Q3" s="1073" t="str">
        <f>Head11</f>
        <v>Budget Year +2 2021/22</v>
      </c>
    </row>
    <row r="4" spans="1:17" ht="13.5" customHeight="1" x14ac:dyDescent="0.2">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76"/>
      <c r="P4" s="1072"/>
      <c r="Q4" s="1074"/>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23955112.77</v>
      </c>
      <c r="E6" s="743">
        <v>30559775.499999888</v>
      </c>
      <c r="F6" s="743">
        <v>57249953.220000014</v>
      </c>
      <c r="G6" s="743">
        <v>42126851.800000079</v>
      </c>
      <c r="H6" s="743">
        <v>30084955.300000019</v>
      </c>
      <c r="I6" s="743">
        <v>0</v>
      </c>
      <c r="J6" s="743">
        <v>0</v>
      </c>
      <c r="K6" s="743">
        <v>0</v>
      </c>
      <c r="L6" s="743">
        <v>0</v>
      </c>
      <c r="M6" s="743">
        <v>0</v>
      </c>
      <c r="N6" s="109">
        <f t="shared" ref="N6:N20" si="0">O6-SUM(C6:M6)</f>
        <v>216895702.25000009</v>
      </c>
      <c r="O6" s="755">
        <v>422400000</v>
      </c>
      <c r="P6" s="743">
        <v>407040000</v>
      </c>
      <c r="Q6" s="745">
        <v>431462400</v>
      </c>
    </row>
    <row r="7" spans="1:17" ht="12.75" customHeight="1" x14ac:dyDescent="0.2">
      <c r="A7" s="40" t="s">
        <v>856</v>
      </c>
      <c r="B7" s="41"/>
      <c r="C7" s="763">
        <v>69387857.930000037</v>
      </c>
      <c r="D7" s="743">
        <v>57583427.490000039</v>
      </c>
      <c r="E7" s="743">
        <v>86864322.189999938</v>
      </c>
      <c r="F7" s="743">
        <v>134146364.0699999</v>
      </c>
      <c r="G7" s="743">
        <v>77072488.37000002</v>
      </c>
      <c r="H7" s="743">
        <v>71961391.940000027</v>
      </c>
      <c r="I7" s="743">
        <v>0</v>
      </c>
      <c r="J7" s="743">
        <v>0</v>
      </c>
      <c r="K7" s="743">
        <v>0</v>
      </c>
      <c r="L7" s="743">
        <v>0</v>
      </c>
      <c r="M7" s="743">
        <v>0</v>
      </c>
      <c r="N7" s="109">
        <f t="shared" si="0"/>
        <v>588459448.00999999</v>
      </c>
      <c r="O7" s="755">
        <v>1085475300</v>
      </c>
      <c r="P7" s="743">
        <v>1193051200</v>
      </c>
      <c r="Q7" s="745">
        <v>1313724720</v>
      </c>
    </row>
    <row r="8" spans="1:17" ht="12.75" customHeight="1" x14ac:dyDescent="0.2">
      <c r="A8" s="40" t="s">
        <v>857</v>
      </c>
      <c r="B8" s="41"/>
      <c r="C8" s="763">
        <v>15311806.950000059</v>
      </c>
      <c r="D8" s="743">
        <v>12881437.919999957</v>
      </c>
      <c r="E8" s="743">
        <v>13688499.829999998</v>
      </c>
      <c r="F8" s="743">
        <v>25821457.569999978</v>
      </c>
      <c r="G8" s="743">
        <v>19660671.390000075</v>
      </c>
      <c r="H8" s="743">
        <v>17679995.130000055</v>
      </c>
      <c r="I8" s="743">
        <v>0</v>
      </c>
      <c r="J8" s="743">
        <v>0</v>
      </c>
      <c r="K8" s="743">
        <v>0</v>
      </c>
      <c r="L8" s="743">
        <v>0</v>
      </c>
      <c r="M8" s="743">
        <v>0</v>
      </c>
      <c r="N8" s="109">
        <f t="shared" si="0"/>
        <v>177821441.20999986</v>
      </c>
      <c r="O8" s="755">
        <v>282865310</v>
      </c>
      <c r="P8" s="743">
        <v>289952960</v>
      </c>
      <c r="Q8" s="745">
        <v>307348800</v>
      </c>
    </row>
    <row r="9" spans="1:17" ht="12.75" customHeight="1" x14ac:dyDescent="0.2">
      <c r="A9" s="40" t="s">
        <v>858</v>
      </c>
      <c r="B9" s="41"/>
      <c r="C9" s="763">
        <v>6170739.5499999635</v>
      </c>
      <c r="D9" s="743">
        <v>6214892.5799999796</v>
      </c>
      <c r="E9" s="743">
        <v>10885635.300000021</v>
      </c>
      <c r="F9" s="743">
        <v>7060800.139999995</v>
      </c>
      <c r="G9" s="743">
        <v>10024146.799999993</v>
      </c>
      <c r="H9" s="743">
        <v>7415152.2400000105</v>
      </c>
      <c r="I9" s="743">
        <v>0</v>
      </c>
      <c r="J9" s="743">
        <v>0</v>
      </c>
      <c r="K9" s="743">
        <v>0</v>
      </c>
      <c r="L9" s="743">
        <v>0</v>
      </c>
      <c r="M9" s="743">
        <v>0</v>
      </c>
      <c r="N9" s="109">
        <f t="shared" si="0"/>
        <v>73962063.390000045</v>
      </c>
      <c r="O9" s="755">
        <v>121733430</v>
      </c>
      <c r="P9" s="743">
        <v>124784000</v>
      </c>
      <c r="Q9" s="745">
        <v>132271920</v>
      </c>
    </row>
    <row r="10" spans="1:17" ht="12.75" customHeight="1" x14ac:dyDescent="0.2">
      <c r="A10" s="40" t="s">
        <v>498</v>
      </c>
      <c r="B10" s="41"/>
      <c r="C10" s="763">
        <v>6459479.520000007</v>
      </c>
      <c r="D10" s="743">
        <v>5984146.1099999845</v>
      </c>
      <c r="E10" s="743">
        <v>8187231.8100000042</v>
      </c>
      <c r="F10" s="743">
        <v>9718358.5199999996</v>
      </c>
      <c r="G10" s="743">
        <v>8938643.7100000065</v>
      </c>
      <c r="H10" s="743">
        <v>8358947.8700000066</v>
      </c>
      <c r="I10" s="743">
        <v>0</v>
      </c>
      <c r="J10" s="743">
        <v>0</v>
      </c>
      <c r="K10" s="743">
        <v>0</v>
      </c>
      <c r="L10" s="743">
        <v>0</v>
      </c>
      <c r="M10" s="743">
        <v>0</v>
      </c>
      <c r="N10" s="109">
        <f t="shared" si="0"/>
        <v>69403762.459999993</v>
      </c>
      <c r="O10" s="755">
        <v>117050570</v>
      </c>
      <c r="P10" s="743">
        <v>119956320</v>
      </c>
      <c r="Q10" s="743">
        <v>127128320</v>
      </c>
    </row>
    <row r="11" spans="1:17" ht="12.75" customHeight="1" x14ac:dyDescent="0.2">
      <c r="A11" s="40" t="s">
        <v>859</v>
      </c>
      <c r="B11" s="41"/>
      <c r="C11" s="743"/>
      <c r="D11" s="743">
        <v>0</v>
      </c>
      <c r="E11" s="743">
        <v>0</v>
      </c>
      <c r="F11" s="743">
        <v>0</v>
      </c>
      <c r="G11" s="743"/>
      <c r="H11" s="743"/>
      <c r="I11" s="743">
        <v>0</v>
      </c>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2626829.48</v>
      </c>
      <c r="E12" s="743">
        <v>577277.94999999995</v>
      </c>
      <c r="F12" s="743">
        <v>696796.46</v>
      </c>
      <c r="G12" s="743">
        <v>613820.54</v>
      </c>
      <c r="H12" s="743">
        <v>587341.81000000006</v>
      </c>
      <c r="I12" s="743">
        <v>0</v>
      </c>
      <c r="J12" s="743">
        <v>0</v>
      </c>
      <c r="K12" s="743">
        <v>0</v>
      </c>
      <c r="L12" s="743">
        <v>0</v>
      </c>
      <c r="M12" s="743">
        <v>0</v>
      </c>
      <c r="N12" s="109">
        <f t="shared" si="0"/>
        <v>30092359.71999998</v>
      </c>
      <c r="O12" s="755">
        <v>35980490</v>
      </c>
      <c r="P12" s="743">
        <v>36881680</v>
      </c>
      <c r="Q12" s="745">
        <v>39089600</v>
      </c>
    </row>
    <row r="13" spans="1:17" ht="12.75" customHeight="1" x14ac:dyDescent="0.2">
      <c r="A13" s="40" t="s">
        <v>862</v>
      </c>
      <c r="B13" s="41"/>
      <c r="C13" s="763">
        <v>1551166.67</v>
      </c>
      <c r="D13" s="743">
        <v>957401.92999999993</v>
      </c>
      <c r="E13" s="743">
        <v>796040.7300000001</v>
      </c>
      <c r="F13" s="743">
        <v>1196243.1599999999</v>
      </c>
      <c r="G13" s="743">
        <v>1061679.7</v>
      </c>
      <c r="H13" s="743">
        <v>1285991.19</v>
      </c>
      <c r="I13" s="743">
        <v>0</v>
      </c>
      <c r="J13" s="743">
        <v>0</v>
      </c>
      <c r="K13" s="743">
        <v>0</v>
      </c>
      <c r="L13" s="743">
        <v>0</v>
      </c>
      <c r="M13" s="743">
        <v>0</v>
      </c>
      <c r="N13" s="109">
        <f t="shared" si="0"/>
        <v>19466856.620000001</v>
      </c>
      <c r="O13" s="755">
        <v>26315380</v>
      </c>
      <c r="P13" s="743">
        <v>26974640</v>
      </c>
      <c r="Q13" s="745">
        <v>28592960</v>
      </c>
    </row>
    <row r="14" spans="1:17" ht="12.75" customHeight="1" x14ac:dyDescent="0.2">
      <c r="A14" s="40" t="s">
        <v>863</v>
      </c>
      <c r="B14" s="41"/>
      <c r="C14" s="763">
        <v>8662844.0399999991</v>
      </c>
      <c r="D14" s="743">
        <v>8435584.2300000004</v>
      </c>
      <c r="E14" s="743">
        <v>8891258.2300000004</v>
      </c>
      <c r="F14" s="743">
        <v>7651317.6299999999</v>
      </c>
      <c r="G14" s="743">
        <v>8669434.870000001</v>
      </c>
      <c r="H14" s="743">
        <v>8973100.5099999998</v>
      </c>
      <c r="I14" s="743">
        <v>0</v>
      </c>
      <c r="J14" s="743">
        <v>0</v>
      </c>
      <c r="K14" s="743">
        <v>0</v>
      </c>
      <c r="L14" s="743">
        <v>0</v>
      </c>
      <c r="M14" s="743">
        <v>0</v>
      </c>
      <c r="N14" s="109">
        <f t="shared" si="0"/>
        <v>25884460.490000002</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568136.31000000006</v>
      </c>
      <c r="E16" s="743">
        <v>550665.78</v>
      </c>
      <c r="F16" s="743">
        <v>270136.93</v>
      </c>
      <c r="G16" s="743">
        <v>625543.33000000007</v>
      </c>
      <c r="H16" s="743">
        <v>689726.69</v>
      </c>
      <c r="I16" s="743">
        <v>0</v>
      </c>
      <c r="J16" s="743">
        <v>0</v>
      </c>
      <c r="K16" s="743">
        <v>0</v>
      </c>
      <c r="L16" s="743">
        <v>0</v>
      </c>
      <c r="M16" s="743">
        <v>0</v>
      </c>
      <c r="N16" s="109">
        <f t="shared" si="0"/>
        <v>12631170.35</v>
      </c>
      <c r="O16" s="755">
        <v>15433600</v>
      </c>
      <c r="P16" s="743">
        <v>15822400</v>
      </c>
      <c r="Q16" s="745">
        <v>16772800</v>
      </c>
    </row>
    <row r="17" spans="1:17" ht="12.75" customHeight="1" x14ac:dyDescent="0.2">
      <c r="A17" s="40" t="s">
        <v>864</v>
      </c>
      <c r="B17" s="41"/>
      <c r="C17" s="763">
        <v>1108559.28</v>
      </c>
      <c r="D17" s="743">
        <v>919130.65999999992</v>
      </c>
      <c r="E17" s="743">
        <v>697870.83</v>
      </c>
      <c r="F17" s="743">
        <v>890638.92</v>
      </c>
      <c r="G17" s="743">
        <v>898500.68</v>
      </c>
      <c r="H17" s="743">
        <v>758624.83000000007</v>
      </c>
      <c r="I17" s="743">
        <v>0</v>
      </c>
      <c r="J17" s="743">
        <v>0</v>
      </c>
      <c r="K17" s="743">
        <v>0</v>
      </c>
      <c r="L17" s="743">
        <v>0</v>
      </c>
      <c r="M17" s="743">
        <v>0</v>
      </c>
      <c r="N17" s="109">
        <f t="shared" si="0"/>
        <v>8616594.8000000007</v>
      </c>
      <c r="O17" s="755">
        <v>13889920</v>
      </c>
      <c r="P17" s="743">
        <v>14725040</v>
      </c>
      <c r="Q17" s="745">
        <v>15605040</v>
      </c>
    </row>
    <row r="18" spans="1:17" ht="12.75" customHeight="1" x14ac:dyDescent="0.2">
      <c r="A18" s="40" t="s">
        <v>600</v>
      </c>
      <c r="B18" s="41"/>
      <c r="C18" s="763">
        <v>9933007.4700000007</v>
      </c>
      <c r="D18" s="743">
        <v>8183838.04</v>
      </c>
      <c r="E18" s="743">
        <v>7924379.9900000002</v>
      </c>
      <c r="F18" s="743">
        <v>10967617.220000001</v>
      </c>
      <c r="G18" s="743">
        <v>7220463.46</v>
      </c>
      <c r="H18" s="743">
        <v>6084031.4000000004</v>
      </c>
      <c r="I18" s="743">
        <v>0</v>
      </c>
      <c r="J18" s="743">
        <v>0</v>
      </c>
      <c r="K18" s="743">
        <v>0</v>
      </c>
      <c r="L18" s="743">
        <v>0</v>
      </c>
      <c r="M18" s="743">
        <v>0</v>
      </c>
      <c r="N18" s="109">
        <f t="shared" si="0"/>
        <v>-26993337.579999998</v>
      </c>
      <c r="O18" s="755">
        <v>23320000</v>
      </c>
      <c r="P18" s="743">
        <v>24719200</v>
      </c>
      <c r="Q18" s="745">
        <v>26202000</v>
      </c>
    </row>
    <row r="19" spans="1:17" ht="12.75" customHeight="1" x14ac:dyDescent="0.2">
      <c r="A19" s="40" t="s">
        <v>138</v>
      </c>
      <c r="B19" s="41"/>
      <c r="C19" s="763">
        <v>391834885</v>
      </c>
      <c r="D19" s="743">
        <v>6937600</v>
      </c>
      <c r="E19" s="743">
        <v>9809537.1899999995</v>
      </c>
      <c r="F19" s="743">
        <v>3000000</v>
      </c>
      <c r="G19" s="743">
        <v>22422376.144385308</v>
      </c>
      <c r="H19" s="743">
        <v>193765000</v>
      </c>
      <c r="I19" s="743">
        <v>0</v>
      </c>
      <c r="J19" s="743">
        <v>0</v>
      </c>
      <c r="K19" s="743">
        <v>0</v>
      </c>
      <c r="L19" s="743">
        <v>0</v>
      </c>
      <c r="M19" s="743">
        <v>0</v>
      </c>
      <c r="N19" s="109">
        <f t="shared" si="0"/>
        <v>411597601.66561472</v>
      </c>
      <c r="O19" s="755">
        <v>1039367000</v>
      </c>
      <c r="P19" s="743">
        <v>1149693000</v>
      </c>
      <c r="Q19" s="745">
        <v>1228909640</v>
      </c>
    </row>
    <row r="20" spans="1:17" ht="12.75" customHeight="1" x14ac:dyDescent="0.2">
      <c r="A20" s="40" t="s">
        <v>463</v>
      </c>
      <c r="B20" s="41"/>
      <c r="C20" s="763">
        <v>6262715.2300000191</v>
      </c>
      <c r="D20" s="743">
        <v>17190165.100000024</v>
      </c>
      <c r="E20" s="743">
        <v>37916019.970000178</v>
      </c>
      <c r="F20" s="743">
        <v>11375300.870000094</v>
      </c>
      <c r="G20" s="743">
        <v>21271304.899999917</v>
      </c>
      <c r="H20" s="743">
        <v>22187937.450000044</v>
      </c>
      <c r="I20" s="743">
        <v>0</v>
      </c>
      <c r="J20" s="743">
        <v>0</v>
      </c>
      <c r="K20" s="743">
        <v>0</v>
      </c>
      <c r="L20" s="743">
        <v>0</v>
      </c>
      <c r="M20" s="743">
        <v>0</v>
      </c>
      <c r="N20" s="109">
        <f t="shared" si="0"/>
        <v>145903676.47999972</v>
      </c>
      <c r="O20" s="755">
        <v>262107120</v>
      </c>
      <c r="P20" s="743">
        <v>189945360</v>
      </c>
      <c r="Q20" s="745">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369832196.36000013</v>
      </c>
      <c r="I21" s="433">
        <f t="shared" si="1"/>
        <v>0</v>
      </c>
      <c r="J21" s="433">
        <f t="shared" si="1"/>
        <v>0</v>
      </c>
      <c r="K21" s="433">
        <f t="shared" si="1"/>
        <v>0</v>
      </c>
      <c r="L21" s="433">
        <f t="shared" si="1"/>
        <v>0</v>
      </c>
      <c r="M21" s="433">
        <f t="shared" si="1"/>
        <v>0</v>
      </c>
      <c r="N21" s="511">
        <f t="shared" si="1"/>
        <v>1753741799.8656147</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168336400</v>
      </c>
      <c r="E24" s="743">
        <v>14000000</v>
      </c>
      <c r="F24" s="743">
        <v>0</v>
      </c>
      <c r="G24" s="743">
        <v>319694623.85561472</v>
      </c>
      <c r="H24" s="743">
        <v>0</v>
      </c>
      <c r="I24" s="743">
        <v>0</v>
      </c>
      <c r="J24" s="743">
        <v>0</v>
      </c>
      <c r="K24" s="743">
        <v>0</v>
      </c>
      <c r="L24" s="743">
        <v>0</v>
      </c>
      <c r="M24" s="743">
        <v>0</v>
      </c>
      <c r="N24" s="109">
        <f t="shared" si="2"/>
        <v>565112861.14438534</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-215246.38</v>
      </c>
      <c r="I26" s="743">
        <v>0</v>
      </c>
      <c r="J26" s="743">
        <v>0</v>
      </c>
      <c r="K26" s="743">
        <v>0</v>
      </c>
      <c r="L26" s="743">
        <v>0</v>
      </c>
      <c r="M26" s="743">
        <v>0</v>
      </c>
      <c r="N26" s="109">
        <f t="shared" si="2"/>
        <v>215246.38</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-632116.77</v>
      </c>
      <c r="E28" s="743">
        <v>-632116.76999999979</v>
      </c>
      <c r="F28" s="743">
        <v>-632116.77000000025</v>
      </c>
      <c r="G28" s="743">
        <v>-610319.63999999966</v>
      </c>
      <c r="H28" s="743">
        <v>-639382.48000000045</v>
      </c>
      <c r="I28" s="743">
        <v>0</v>
      </c>
      <c r="J28" s="743">
        <v>0</v>
      </c>
      <c r="K28" s="743">
        <v>0</v>
      </c>
      <c r="L28" s="743">
        <v>0</v>
      </c>
      <c r="M28" s="743">
        <v>0</v>
      </c>
      <c r="N28" s="109">
        <f t="shared" si="2"/>
        <v>303146052.43000001</v>
      </c>
      <c r="O28" s="755">
        <v>300000000</v>
      </c>
      <c r="P28" s="743">
        <v>65000000</v>
      </c>
      <c r="Q28" s="745">
        <v>65000000</v>
      </c>
    </row>
    <row r="29" spans="1:17" ht="12.75" customHeight="1" x14ac:dyDescent="0.2">
      <c r="A29" s="40" t="s">
        <v>861</v>
      </c>
      <c r="B29" s="41"/>
      <c r="C29" s="763">
        <v>0</v>
      </c>
      <c r="D29" s="743">
        <v>67693.199999928474</v>
      </c>
      <c r="E29" s="743">
        <v>-328316.36999994516</v>
      </c>
      <c r="F29" s="743">
        <v>-146242.87</v>
      </c>
      <c r="G29" s="743">
        <v>-521856.96000008285</v>
      </c>
      <c r="H29" s="743">
        <v>-36583.310000000056</v>
      </c>
      <c r="I29" s="743">
        <v>0</v>
      </c>
      <c r="J29" s="743">
        <v>0</v>
      </c>
      <c r="K29" s="743">
        <v>0</v>
      </c>
      <c r="L29" s="743">
        <v>0</v>
      </c>
      <c r="M29" s="743">
        <v>0</v>
      </c>
      <c r="N29" s="109">
        <f t="shared" si="2"/>
        <v>965306.31000009959</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368940984.19000012</v>
      </c>
      <c r="I33" s="74">
        <f t="shared" si="3"/>
        <v>0</v>
      </c>
      <c r="J33" s="74">
        <f t="shared" si="3"/>
        <v>0</v>
      </c>
      <c r="K33" s="74">
        <f t="shared" si="3"/>
        <v>0</v>
      </c>
      <c r="L33" s="74">
        <f t="shared" si="3"/>
        <v>0</v>
      </c>
      <c r="M33" s="74">
        <f t="shared" si="3"/>
        <v>0</v>
      </c>
      <c r="N33" s="323">
        <f t="shared" si="3"/>
        <v>2504788125.1199999</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71495657.640000015</v>
      </c>
      <c r="E36" s="743">
        <v>76564945.070000023</v>
      </c>
      <c r="F36" s="743">
        <v>72621812.949999943</v>
      </c>
      <c r="G36" s="743">
        <v>69988557.760000065</v>
      </c>
      <c r="H36" s="743">
        <v>72309450.720000058</v>
      </c>
      <c r="I36" s="743">
        <v>0</v>
      </c>
      <c r="J36" s="743">
        <v>0</v>
      </c>
      <c r="K36" s="743">
        <v>0</v>
      </c>
      <c r="L36" s="743">
        <v>0</v>
      </c>
      <c r="M36" s="743">
        <v>0</v>
      </c>
      <c r="N36" s="109">
        <f t="shared" si="4"/>
        <v>488711607.12999988</v>
      </c>
      <c r="O36" s="755">
        <v>918429421</v>
      </c>
      <c r="P36" s="743">
        <v>976585428</v>
      </c>
      <c r="Q36" s="745">
        <v>1038294000</v>
      </c>
    </row>
    <row r="37" spans="1:17" ht="12.75" customHeight="1" x14ac:dyDescent="0.2">
      <c r="A37" s="40" t="s">
        <v>489</v>
      </c>
      <c r="B37" s="41"/>
      <c r="C37" s="763">
        <v>3220210.82</v>
      </c>
      <c r="D37" s="743">
        <v>3159634.04</v>
      </c>
      <c r="E37" s="743">
        <v>6311341.4100000001</v>
      </c>
      <c r="F37" s="743">
        <v>3148682.07</v>
      </c>
      <c r="G37" s="743">
        <v>3232173.23</v>
      </c>
      <c r="H37" s="743">
        <v>3124241.19</v>
      </c>
      <c r="I37" s="743">
        <v>0</v>
      </c>
      <c r="J37" s="743">
        <v>0</v>
      </c>
      <c r="K37" s="743">
        <v>0</v>
      </c>
      <c r="L37" s="743">
        <v>0</v>
      </c>
      <c r="M37" s="743">
        <v>0</v>
      </c>
      <c r="N37" s="109">
        <f t="shared" si="4"/>
        <v>17903717.239999998</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
      <c r="A39" s="40" t="s">
        <v>945</v>
      </c>
      <c r="B39" s="41"/>
      <c r="C39" s="763">
        <v>90160964.450000003</v>
      </c>
      <c r="D39" s="743">
        <v>89134350.040000007</v>
      </c>
      <c r="E39" s="743">
        <v>61775535</v>
      </c>
      <c r="F39" s="743">
        <v>53773684.609999999</v>
      </c>
      <c r="G39" s="743">
        <v>55391071.119999997</v>
      </c>
      <c r="H39" s="743">
        <v>52088460.880000003</v>
      </c>
      <c r="I39" s="743">
        <v>0</v>
      </c>
      <c r="J39" s="743">
        <v>0</v>
      </c>
      <c r="K39" s="743">
        <v>0</v>
      </c>
      <c r="L39" s="743">
        <v>0</v>
      </c>
      <c r="M39" s="743">
        <v>0</v>
      </c>
      <c r="N39" s="109">
        <f t="shared" si="4"/>
        <v>334038133.89999998</v>
      </c>
      <c r="O39" s="755">
        <v>736362200</v>
      </c>
      <c r="P39" s="743">
        <v>809997734</v>
      </c>
      <c r="Q39" s="745">
        <v>900362199.24000013</v>
      </c>
    </row>
    <row r="40" spans="1:17" ht="12.75" customHeight="1" x14ac:dyDescent="0.2">
      <c r="A40" s="87" t="s">
        <v>948</v>
      </c>
      <c r="B40" s="41"/>
      <c r="C40" s="763">
        <v>18296875.210000001</v>
      </c>
      <c r="D40" s="743">
        <v>14724197.029999999</v>
      </c>
      <c r="E40" s="743">
        <v>17186729.710000001</v>
      </c>
      <c r="F40" s="743">
        <v>13445905.869999999</v>
      </c>
      <c r="G40" s="743">
        <v>15036077.65</v>
      </c>
      <c r="H40" s="743">
        <v>17075895.870000001</v>
      </c>
      <c r="I40" s="743">
        <v>0</v>
      </c>
      <c r="J40" s="743">
        <v>0</v>
      </c>
      <c r="K40" s="743">
        <v>0</v>
      </c>
      <c r="L40" s="743">
        <v>0</v>
      </c>
      <c r="M40" s="743">
        <v>0</v>
      </c>
      <c r="N40" s="109">
        <f t="shared" si="4"/>
        <v>117048178.66</v>
      </c>
      <c r="O40" s="755">
        <v>212813860</v>
      </c>
      <c r="P40" s="743">
        <v>234095246.00000003</v>
      </c>
      <c r="Q40" s="745">
        <v>248140960.76000002</v>
      </c>
    </row>
    <row r="41" spans="1:17" ht="12.75" customHeight="1" x14ac:dyDescent="0.2">
      <c r="A41" s="87" t="s">
        <v>950</v>
      </c>
      <c r="B41" s="41"/>
      <c r="C41" s="763">
        <v>0</v>
      </c>
      <c r="D41" s="743">
        <v>2752021.21</v>
      </c>
      <c r="E41" s="743">
        <v>3479882.2200000007</v>
      </c>
      <c r="F41" s="743">
        <v>3445952.1799999997</v>
      </c>
      <c r="G41" s="743">
        <v>5076892.9099999992</v>
      </c>
      <c r="H41" s="743">
        <v>3134801.5</v>
      </c>
      <c r="I41" s="743">
        <v>0</v>
      </c>
      <c r="J41" s="743">
        <v>0</v>
      </c>
      <c r="K41" s="743">
        <v>0</v>
      </c>
      <c r="L41" s="743">
        <v>0</v>
      </c>
      <c r="M41" s="743">
        <v>0</v>
      </c>
      <c r="N41" s="109">
        <f t="shared" si="4"/>
        <v>67441685.980000004</v>
      </c>
      <c r="O41" s="755">
        <v>85331236</v>
      </c>
      <c r="P41" s="743">
        <v>114556000</v>
      </c>
      <c r="Q41" s="745">
        <v>116824000</v>
      </c>
    </row>
    <row r="42" spans="1:17" ht="12.75" customHeight="1" x14ac:dyDescent="0.2">
      <c r="A42" s="87" t="s">
        <v>870</v>
      </c>
      <c r="B42" s="41"/>
      <c r="C42" s="763">
        <v>703715.47</v>
      </c>
      <c r="D42" s="743">
        <v>61350778.960000008</v>
      </c>
      <c r="E42" s="743">
        <v>53423253.480000004</v>
      </c>
      <c r="F42" s="743">
        <v>67025594.569999993</v>
      </c>
      <c r="G42" s="743">
        <v>71055255.200000003</v>
      </c>
      <c r="H42" s="743">
        <v>66374649.670000009</v>
      </c>
      <c r="I42" s="743">
        <v>0</v>
      </c>
      <c r="J42" s="743">
        <v>0</v>
      </c>
      <c r="K42" s="743">
        <v>0</v>
      </c>
      <c r="L42" s="743">
        <v>0</v>
      </c>
      <c r="M42" s="743">
        <v>0</v>
      </c>
      <c r="N42" s="109">
        <f t="shared" si="4"/>
        <v>434851584.64999998</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
      <c r="A44" s="87" t="s">
        <v>955</v>
      </c>
      <c r="B44" s="41"/>
      <c r="C44" s="763">
        <v>1140000</v>
      </c>
      <c r="D44" s="743">
        <v>40000</v>
      </c>
      <c r="E44" s="743">
        <v>40000</v>
      </c>
      <c r="F44" s="743">
        <v>1140000</v>
      </c>
      <c r="G44" s="743">
        <v>580000</v>
      </c>
      <c r="H44" s="743">
        <v>0</v>
      </c>
      <c r="I44" s="743"/>
      <c r="J44" s="743">
        <v>0</v>
      </c>
      <c r="K44" s="743">
        <v>0</v>
      </c>
      <c r="L44" s="743">
        <v>0</v>
      </c>
      <c r="M44" s="743">
        <v>0</v>
      </c>
      <c r="N44" s="109">
        <f t="shared" si="4"/>
        <v>8560000</v>
      </c>
      <c r="O44" s="755">
        <v>11500000</v>
      </c>
      <c r="P44" s="743">
        <v>11500000</v>
      </c>
      <c r="Q44" s="745">
        <v>11500000</v>
      </c>
    </row>
    <row r="45" spans="1:17" ht="12.75" customHeight="1" x14ac:dyDescent="0.2">
      <c r="A45" s="87" t="s">
        <v>871</v>
      </c>
      <c r="B45" s="41"/>
      <c r="C45" s="763">
        <v>0</v>
      </c>
      <c r="D45" s="743">
        <v>63478183.719999984</v>
      </c>
      <c r="E45" s="743">
        <v>20283052.819999933</v>
      </c>
      <c r="F45" s="743">
        <v>19256746.75</v>
      </c>
      <c r="G45" s="743">
        <v>66126153.019999981</v>
      </c>
      <c r="H45" s="743">
        <v>121661064.19</v>
      </c>
      <c r="I45" s="743">
        <v>0</v>
      </c>
      <c r="J45" s="743">
        <v>0</v>
      </c>
      <c r="K45" s="743">
        <v>0</v>
      </c>
      <c r="L45" s="743">
        <v>0</v>
      </c>
      <c r="M45" s="743">
        <v>0</v>
      </c>
      <c r="N45" s="109">
        <f t="shared" si="4"/>
        <v>-47712672.499999881</v>
      </c>
      <c r="O45" s="755">
        <v>243092528</v>
      </c>
      <c r="P45" s="743">
        <v>252282874</v>
      </c>
      <c r="Q45" s="745">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335768564.0200001</v>
      </c>
      <c r="I46" s="433">
        <f t="shared" si="5"/>
        <v>0</v>
      </c>
      <c r="J46" s="433">
        <f t="shared" si="5"/>
        <v>0</v>
      </c>
      <c r="K46" s="433">
        <f t="shared" si="5"/>
        <v>0</v>
      </c>
      <c r="L46" s="433">
        <f t="shared" si="5"/>
        <v>0</v>
      </c>
      <c r="M46" s="433">
        <f t="shared" si="5"/>
        <v>0</v>
      </c>
      <c r="N46" s="511">
        <f t="shared" si="5"/>
        <v>1473244806.4899998</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45515291.329999998</v>
      </c>
      <c r="E49" s="743">
        <v>63024485</v>
      </c>
      <c r="F49" s="743">
        <v>63068303.311999999</v>
      </c>
      <c r="G49" s="743">
        <v>124247725.67</v>
      </c>
      <c r="H49" s="743">
        <f>'SC12'!E11</f>
        <v>152138184.78950003</v>
      </c>
      <c r="I49" s="743">
        <v>0</v>
      </c>
      <c r="J49" s="743">
        <v>0</v>
      </c>
      <c r="K49" s="743"/>
      <c r="L49" s="743">
        <v>0</v>
      </c>
      <c r="M49" s="743">
        <v>0</v>
      </c>
      <c r="N49" s="109">
        <f>O49-SUM(C49:M49)</f>
        <v>1283088154.2184997</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v>23819077.469999999</v>
      </c>
      <c r="I50" s="743">
        <v>0</v>
      </c>
      <c r="J50" s="743">
        <v>0</v>
      </c>
      <c r="K50" s="743">
        <v>0</v>
      </c>
      <c r="L50" s="743">
        <v>0</v>
      </c>
      <c r="M50" s="743">
        <v>0</v>
      </c>
      <c r="N50" s="109">
        <f>O50-SUM(C50:M50)</f>
        <v>19752303.660000004</v>
      </c>
      <c r="O50" s="755">
        <v>60000000</v>
      </c>
      <c r="P50" s="743">
        <v>64205000</v>
      </c>
      <c r="Q50" s="745">
        <v>262760000</v>
      </c>
    </row>
    <row r="51" spans="1:17" ht="12.75" customHeight="1" x14ac:dyDescent="0.2">
      <c r="A51" s="87" t="s">
        <v>2</v>
      </c>
      <c r="B51" s="41"/>
      <c r="C51" s="763">
        <v>356024819.66999739</v>
      </c>
      <c r="D51" s="743">
        <v>-42945703.180000007</v>
      </c>
      <c r="E51" s="743">
        <v>-74545348.130000025</v>
      </c>
      <c r="F51" s="743">
        <v>13869936.7079999</v>
      </c>
      <c r="G51" s="743">
        <v>-47476295.553333402</v>
      </c>
      <c r="H51" s="743">
        <v>-12797220.7261662</v>
      </c>
      <c r="I51" s="743">
        <v>0</v>
      </c>
      <c r="J51" s="743">
        <v>0</v>
      </c>
      <c r="K51" s="743">
        <v>0</v>
      </c>
      <c r="L51" s="743">
        <v>0</v>
      </c>
      <c r="M51" s="743">
        <v>0</v>
      </c>
      <c r="N51" s="109">
        <f>O51-SUM(C51:M51)</f>
        <v>-72130188.788497686</v>
      </c>
      <c r="O51" s="755">
        <v>120000000</v>
      </c>
      <c r="P51" s="743">
        <v>30000000</v>
      </c>
      <c r="Q51" s="745">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498928605.55333394</v>
      </c>
      <c r="I52" s="74">
        <f t="shared" si="6"/>
        <v>0</v>
      </c>
      <c r="J52" s="74">
        <f t="shared" si="6"/>
        <v>0</v>
      </c>
      <c r="K52" s="74">
        <f t="shared" si="6"/>
        <v>0</v>
      </c>
      <c r="L52" s="74">
        <f t="shared" si="6"/>
        <v>0</v>
      </c>
      <c r="M52" s="74">
        <f t="shared" si="6"/>
        <v>0</v>
      </c>
      <c r="N52" s="323">
        <f t="shared" si="6"/>
        <v>2703955075.5800018</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-129987621.36333382</v>
      </c>
      <c r="I54" s="51">
        <f t="shared" si="7"/>
        <v>0</v>
      </c>
      <c r="J54" s="51">
        <f t="shared" si="7"/>
        <v>0</v>
      </c>
      <c r="K54" s="51">
        <f t="shared" si="7"/>
        <v>0</v>
      </c>
      <c r="L54" s="51">
        <f t="shared" si="7"/>
        <v>0</v>
      </c>
      <c r="M54" s="51">
        <f t="shared" si="7"/>
        <v>0</v>
      </c>
      <c r="N54" s="111">
        <f t="shared" si="7"/>
        <v>-199166950.46000195</v>
      </c>
      <c r="O54" s="52">
        <f t="shared" si="7"/>
        <v>6581595.5600004196</v>
      </c>
      <c r="P54" s="51">
        <f t="shared" si="7"/>
        <v>81606605.920000076</v>
      </c>
      <c r="Q54" s="195">
        <f t="shared" si="7"/>
        <v>-77069522.554400444</v>
      </c>
    </row>
    <row r="55" spans="1:17" ht="12.75" customHeight="1" x14ac:dyDescent="0.2">
      <c r="A55" s="87" t="s">
        <v>587</v>
      </c>
      <c r="B55" s="41"/>
      <c r="C55" s="763">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267383630.01999992</v>
      </c>
      <c r="J55" s="45">
        <f t="shared" si="8"/>
        <v>267383630.01999992</v>
      </c>
      <c r="K55" s="45">
        <f t="shared" si="8"/>
        <v>267383630.01999992</v>
      </c>
      <c r="L55" s="45">
        <f t="shared" si="8"/>
        <v>267383630.01999992</v>
      </c>
      <c r="M55" s="45">
        <f t="shared" si="8"/>
        <v>267383630.01999992</v>
      </c>
      <c r="N55" s="109">
        <f t="shared" si="8"/>
        <v>267383630.01999992</v>
      </c>
      <c r="O55" s="47">
        <f>C55</f>
        <v>61635083.999997444</v>
      </c>
      <c r="P55" s="45">
        <f>O56</f>
        <v>68216679.559997857</v>
      </c>
      <c r="Q55" s="145">
        <f>P56</f>
        <v>149823285.47999793</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267383630.01999992</v>
      </c>
      <c r="I56" s="116">
        <f t="shared" si="9"/>
        <v>267383630.01999992</v>
      </c>
      <c r="J56" s="116">
        <f t="shared" si="9"/>
        <v>267383630.01999992</v>
      </c>
      <c r="K56" s="116">
        <f t="shared" si="9"/>
        <v>267383630.01999992</v>
      </c>
      <c r="L56" s="116">
        <f t="shared" si="9"/>
        <v>267383630.01999992</v>
      </c>
      <c r="M56" s="116">
        <f t="shared" si="9"/>
        <v>267383630.01999992</v>
      </c>
      <c r="N56" s="320">
        <f t="shared" si="9"/>
        <v>68216679.559997976</v>
      </c>
      <c r="O56" s="117">
        <f>O54+O55</f>
        <v>68216679.559997857</v>
      </c>
      <c r="P56" s="116">
        <f>P54+P55</f>
        <v>149823285.47999793</v>
      </c>
      <c r="Q56" s="191">
        <f>Q54+Q55</f>
        <v>72753762.925597489</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335768564.0200001</v>
      </c>
      <c r="I65" s="86">
        <f t="shared" si="10"/>
        <v>0</v>
      </c>
      <c r="J65" s="86">
        <f t="shared" si="10"/>
        <v>0</v>
      </c>
      <c r="K65" s="86">
        <f t="shared" si="10"/>
        <v>0</v>
      </c>
      <c r="L65" s="86">
        <f t="shared" si="10"/>
        <v>0</v>
      </c>
      <c r="M65" s="86"/>
      <c r="N65" s="86">
        <f>N46+N64</f>
        <v>1473244806.4899998</v>
      </c>
      <c r="O65" s="86">
        <f t="shared" si="10"/>
        <v>3087280711</v>
      </c>
      <c r="P65" s="86">
        <f t="shared" si="10"/>
        <v>3317305046</v>
      </c>
    </row>
    <row r="66" spans="5:16" x14ac:dyDescent="0.2">
      <c r="E66" s="86">
        <f t="shared" ref="E66:P66" si="11">E54-E64</f>
        <v>2844205.5800001025</v>
      </c>
      <c r="F66" s="86">
        <f t="shared" si="11"/>
        <v>-41529993.949999809</v>
      </c>
      <c r="G66" s="86">
        <f t="shared" si="11"/>
        <v>175910761.94333351</v>
      </c>
      <c r="H66" s="86">
        <f t="shared" si="11"/>
        <v>-129987621.36333382</v>
      </c>
      <c r="I66" s="86">
        <f t="shared" si="11"/>
        <v>0</v>
      </c>
      <c r="J66" s="86">
        <f t="shared" si="11"/>
        <v>0</v>
      </c>
      <c r="K66" s="86">
        <f t="shared" si="11"/>
        <v>0</v>
      </c>
      <c r="L66" s="86">
        <f t="shared" si="11"/>
        <v>0</v>
      </c>
      <c r="M66" s="86">
        <f>M54-M64</f>
        <v>0</v>
      </c>
      <c r="N66" s="86">
        <f>N54-N64</f>
        <v>-199166950.46000195</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L39" sqref="K39:L40"/>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"&amp;S71P&amp; " - "&amp;Head57</f>
        <v>LIM354 Polokwane - NOT REQUIRED - municipality does not have entities or this is the parent municipality's budget - M06 December</v>
      </c>
      <c r="B1" s="1042"/>
      <c r="C1" s="1042"/>
      <c r="D1" s="1042"/>
      <c r="E1" s="1042"/>
      <c r="F1" s="1042"/>
      <c r="G1" s="1042"/>
      <c r="H1" s="1042"/>
      <c r="I1" s="1042"/>
      <c r="J1" s="1042"/>
      <c r="K1" s="1042"/>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f>D6/12*4</f>
        <v>0</v>
      </c>
      <c r="I6" s="45">
        <f t="shared" ref="I6:I21" si="0">G6-H6</f>
        <v>0</v>
      </c>
      <c r="J6" s="333" t="str">
        <f>IF(I6=0,"",I6/H6)</f>
        <v/>
      </c>
      <c r="K6" s="745">
        <f>D6</f>
        <v>0</v>
      </c>
    </row>
    <row r="7" spans="1:11" ht="12.75" customHeight="1" x14ac:dyDescent="0.2">
      <c r="A7" s="40" t="str">
        <f>'C4-FinPerf RE'!A7</f>
        <v>Service charges - electricity revenue</v>
      </c>
      <c r="B7" s="170"/>
      <c r="C7" s="758"/>
      <c r="D7" s="755"/>
      <c r="E7" s="743"/>
      <c r="F7" s="743"/>
      <c r="G7" s="743"/>
      <c r="H7" s="743">
        <f t="shared" ref="H7:H20" si="1">D7/12*4</f>
        <v>0</v>
      </c>
      <c r="I7" s="45">
        <f t="shared" si="0"/>
        <v>0</v>
      </c>
      <c r="J7" s="333" t="str">
        <f t="shared" ref="J7:J22" si="2">IF(I7=0,"",I7/H7)</f>
        <v/>
      </c>
      <c r="K7" s="745">
        <f t="shared" ref="K7:K20" si="3">D7</f>
        <v>0</v>
      </c>
    </row>
    <row r="8" spans="1:11" ht="12.75" customHeight="1" x14ac:dyDescent="0.2">
      <c r="A8" s="87" t="str">
        <f>'C4-FinPerf RE'!A8</f>
        <v>Service charges - water revenue</v>
      </c>
      <c r="B8" s="172"/>
      <c r="C8" s="758"/>
      <c r="D8" s="755"/>
      <c r="E8" s="743"/>
      <c r="F8" s="743"/>
      <c r="G8" s="743"/>
      <c r="H8" s="743">
        <f t="shared" si="1"/>
        <v>0</v>
      </c>
      <c r="I8" s="45">
        <f t="shared" si="0"/>
        <v>0</v>
      </c>
      <c r="J8" s="333" t="str">
        <f t="shared" si="2"/>
        <v/>
      </c>
      <c r="K8" s="745">
        <f t="shared" si="3"/>
        <v>0</v>
      </c>
    </row>
    <row r="9" spans="1:11" ht="12.75" customHeight="1" x14ac:dyDescent="0.2">
      <c r="A9" s="87" t="str">
        <f>'C4-FinPerf RE'!A9</f>
        <v>Service charges - sanitation revenue</v>
      </c>
      <c r="B9" s="172"/>
      <c r="C9" s="758"/>
      <c r="D9" s="755"/>
      <c r="E9" s="743"/>
      <c r="F9" s="743"/>
      <c r="G9" s="743"/>
      <c r="H9" s="743">
        <f t="shared" si="1"/>
        <v>0</v>
      </c>
      <c r="I9" s="45">
        <f t="shared" si="0"/>
        <v>0</v>
      </c>
      <c r="J9" s="333" t="str">
        <f t="shared" si="2"/>
        <v/>
      </c>
      <c r="K9" s="745">
        <f t="shared" si="3"/>
        <v>0</v>
      </c>
    </row>
    <row r="10" spans="1:11" ht="12.75" customHeight="1" x14ac:dyDescent="0.2">
      <c r="A10" s="87" t="str">
        <f>'C4-FinPerf RE'!A10</f>
        <v>Service charges - refuse revenue</v>
      </c>
      <c r="B10" s="172"/>
      <c r="C10" s="758"/>
      <c r="D10" s="755"/>
      <c r="E10" s="743"/>
      <c r="F10" s="743"/>
      <c r="G10" s="743"/>
      <c r="H10" s="743">
        <f t="shared" si="1"/>
        <v>0</v>
      </c>
      <c r="I10" s="45">
        <f t="shared" si="0"/>
        <v>0</v>
      </c>
      <c r="J10" s="333" t="str">
        <f t="shared" si="2"/>
        <v/>
      </c>
      <c r="K10" s="745">
        <f t="shared" si="3"/>
        <v>0</v>
      </c>
    </row>
    <row r="11" spans="1:11" ht="12.75" customHeight="1" x14ac:dyDescent="0.2">
      <c r="A11" s="87" t="str">
        <f>'C4-FinPerf RE'!A11</f>
        <v>Service charges - other</v>
      </c>
      <c r="B11" s="172"/>
      <c r="C11" s="758"/>
      <c r="D11" s="755"/>
      <c r="E11" s="743"/>
      <c r="F11" s="743"/>
      <c r="G11" s="743"/>
      <c r="H11" s="743">
        <f t="shared" si="1"/>
        <v>0</v>
      </c>
      <c r="I11" s="45">
        <f t="shared" si="0"/>
        <v>0</v>
      </c>
      <c r="J11" s="333" t="str">
        <f t="shared" si="2"/>
        <v/>
      </c>
      <c r="K11" s="745">
        <f t="shared" si="3"/>
        <v>0</v>
      </c>
    </row>
    <row r="12" spans="1:11" ht="12.75" customHeight="1" x14ac:dyDescent="0.2">
      <c r="A12" s="87" t="str">
        <f>'C4-FinPerf RE'!A12</f>
        <v>Rental of facilities and equipment</v>
      </c>
      <c r="B12" s="172"/>
      <c r="C12" s="758"/>
      <c r="D12" s="755"/>
      <c r="E12" s="743"/>
      <c r="F12" s="743"/>
      <c r="G12" s="743"/>
      <c r="H12" s="743">
        <f t="shared" si="1"/>
        <v>0</v>
      </c>
      <c r="I12" s="45">
        <f t="shared" si="0"/>
        <v>0</v>
      </c>
      <c r="J12" s="333" t="str">
        <f t="shared" si="2"/>
        <v/>
      </c>
      <c r="K12" s="745">
        <f t="shared" si="3"/>
        <v>0</v>
      </c>
    </row>
    <row r="13" spans="1:11" ht="12.75" customHeight="1" x14ac:dyDescent="0.2">
      <c r="A13" s="87" t="str">
        <f>'C4-FinPerf RE'!A13</f>
        <v>Interest earned - external investments</v>
      </c>
      <c r="B13" s="172"/>
      <c r="C13" s="758"/>
      <c r="D13" s="755"/>
      <c r="E13" s="743"/>
      <c r="F13" s="743"/>
      <c r="G13" s="743"/>
      <c r="H13" s="743">
        <f t="shared" si="1"/>
        <v>0</v>
      </c>
      <c r="I13" s="45">
        <f t="shared" si="0"/>
        <v>0</v>
      </c>
      <c r="J13" s="333" t="str">
        <f t="shared" si="2"/>
        <v/>
      </c>
      <c r="K13" s="745">
        <f t="shared" si="3"/>
        <v>0</v>
      </c>
    </row>
    <row r="14" spans="1:11" ht="12.75" customHeight="1" x14ac:dyDescent="0.2">
      <c r="A14" s="87" t="str">
        <f>'C4-FinPerf RE'!A14</f>
        <v>Interest earned - outstanding debtors</v>
      </c>
      <c r="B14" s="172"/>
      <c r="C14" s="758"/>
      <c r="D14" s="755"/>
      <c r="E14" s="743"/>
      <c r="F14" s="743"/>
      <c r="G14" s="743"/>
      <c r="H14" s="743">
        <f t="shared" si="1"/>
        <v>0</v>
      </c>
      <c r="I14" s="45">
        <f t="shared" si="0"/>
        <v>0</v>
      </c>
      <c r="J14" s="333" t="str">
        <f t="shared" si="2"/>
        <v/>
      </c>
      <c r="K14" s="745">
        <f t="shared" si="3"/>
        <v>0</v>
      </c>
    </row>
    <row r="15" spans="1:11" ht="12.75" customHeight="1" x14ac:dyDescent="0.2">
      <c r="A15" s="87" t="str">
        <f>'C4-FinPerf RE'!A15</f>
        <v>Dividends received</v>
      </c>
      <c r="B15" s="172"/>
      <c r="C15" s="758"/>
      <c r="D15" s="755"/>
      <c r="E15" s="743"/>
      <c r="F15" s="743"/>
      <c r="G15" s="743"/>
      <c r="H15" s="743">
        <f t="shared" si="1"/>
        <v>0</v>
      </c>
      <c r="I15" s="45">
        <f t="shared" si="0"/>
        <v>0</v>
      </c>
      <c r="J15" s="333" t="str">
        <f t="shared" si="2"/>
        <v/>
      </c>
      <c r="K15" s="745">
        <f t="shared" si="3"/>
        <v>0</v>
      </c>
    </row>
    <row r="16" spans="1:11" ht="12.75" customHeight="1" x14ac:dyDescent="0.2">
      <c r="A16" s="87" t="str">
        <f>'C4-FinPerf RE'!A16</f>
        <v>Fines, penalties and forfeits</v>
      </c>
      <c r="B16" s="172"/>
      <c r="C16" s="758"/>
      <c r="D16" s="755"/>
      <c r="E16" s="743"/>
      <c r="F16" s="743"/>
      <c r="G16" s="743"/>
      <c r="H16" s="743">
        <f t="shared" si="1"/>
        <v>0</v>
      </c>
      <c r="I16" s="45">
        <f t="shared" si="0"/>
        <v>0</v>
      </c>
      <c r="J16" s="333" t="str">
        <f t="shared" si="2"/>
        <v/>
      </c>
      <c r="K16" s="745">
        <f t="shared" si="3"/>
        <v>0</v>
      </c>
    </row>
    <row r="17" spans="1:11" ht="12.75" customHeight="1" x14ac:dyDescent="0.2">
      <c r="A17" s="87" t="str">
        <f>'C4-FinPerf RE'!A17</f>
        <v>Licences and permits</v>
      </c>
      <c r="B17" s="172"/>
      <c r="C17" s="758"/>
      <c r="D17" s="755"/>
      <c r="E17" s="743"/>
      <c r="F17" s="743"/>
      <c r="G17" s="743"/>
      <c r="H17" s="743">
        <f t="shared" si="1"/>
        <v>0</v>
      </c>
      <c r="I17" s="45">
        <f t="shared" si="0"/>
        <v>0</v>
      </c>
      <c r="J17" s="333" t="str">
        <f t="shared" si="2"/>
        <v/>
      </c>
      <c r="K17" s="745">
        <f t="shared" si="3"/>
        <v>0</v>
      </c>
    </row>
    <row r="18" spans="1:11" ht="12.75" customHeight="1" x14ac:dyDescent="0.2">
      <c r="A18" s="87" t="str">
        <f>'C4-FinPerf RE'!A18</f>
        <v>Agency services</v>
      </c>
      <c r="B18" s="172"/>
      <c r="C18" s="758"/>
      <c r="D18" s="755"/>
      <c r="E18" s="743"/>
      <c r="F18" s="743"/>
      <c r="G18" s="743"/>
      <c r="H18" s="743">
        <f t="shared" si="1"/>
        <v>0</v>
      </c>
      <c r="I18" s="45">
        <f t="shared" si="0"/>
        <v>0</v>
      </c>
      <c r="J18" s="333" t="str">
        <f t="shared" si="2"/>
        <v/>
      </c>
      <c r="K18" s="745">
        <f t="shared" si="3"/>
        <v>0</v>
      </c>
    </row>
    <row r="19" spans="1:11" ht="12.75" customHeight="1" x14ac:dyDescent="0.2">
      <c r="A19" s="87" t="str">
        <f>'C4-FinPerf RE'!A19</f>
        <v>Transfers and subsidies</v>
      </c>
      <c r="B19" s="172"/>
      <c r="C19" s="758"/>
      <c r="D19" s="755"/>
      <c r="E19" s="743"/>
      <c r="F19" s="743"/>
      <c r="G19" s="743"/>
      <c r="H19" s="743">
        <f t="shared" si="1"/>
        <v>0</v>
      </c>
      <c r="I19" s="45">
        <f t="shared" si="0"/>
        <v>0</v>
      </c>
      <c r="J19" s="333" t="str">
        <f t="shared" si="2"/>
        <v/>
      </c>
      <c r="K19" s="745">
        <f t="shared" si="3"/>
        <v>0</v>
      </c>
    </row>
    <row r="20" spans="1:11" ht="12.75" customHeight="1" x14ac:dyDescent="0.2">
      <c r="A20" s="87" t="str">
        <f>'C4-FinPerf RE'!A20</f>
        <v>Other revenue</v>
      </c>
      <c r="B20" s="172"/>
      <c r="C20" s="758"/>
      <c r="D20" s="755"/>
      <c r="E20" s="743"/>
      <c r="F20" s="743"/>
      <c r="G20" s="743"/>
      <c r="H20" s="743">
        <f t="shared" si="1"/>
        <v>0</v>
      </c>
      <c r="I20" s="45">
        <f t="shared" si="0"/>
        <v>0</v>
      </c>
      <c r="J20" s="333" t="str">
        <f t="shared" si="2"/>
        <v/>
      </c>
      <c r="K20" s="745">
        <f t="shared" si="3"/>
        <v>0</v>
      </c>
    </row>
    <row r="21" spans="1:11" ht="12.75" customHeight="1" x14ac:dyDescent="0.2">
      <c r="A21" s="40" t="str">
        <f>'C4-FinPerf RE'!A21</f>
        <v>Gains on disposal of PPE</v>
      </c>
      <c r="B21" s="170"/>
      <c r="C21" s="758"/>
      <c r="D21" s="755"/>
      <c r="E21" s="743"/>
      <c r="F21" s="743"/>
      <c r="G21" s="743"/>
      <c r="H21" s="743">
        <f t="shared" ref="H21" si="4">D21/12*3</f>
        <v>0</v>
      </c>
      <c r="I21" s="45">
        <f t="shared" si="0"/>
        <v>0</v>
      </c>
      <c r="J21" s="333" t="str">
        <f t="shared" si="2"/>
        <v/>
      </c>
      <c r="K21" s="745"/>
    </row>
    <row r="22" spans="1:11" ht="12.75" customHeight="1" x14ac:dyDescent="0.2">
      <c r="A22" s="551" t="s">
        <v>140</v>
      </c>
      <c r="B22" s="551"/>
      <c r="C22" s="244">
        <f t="shared" ref="C22:H22" si="5">SUM(C6:C21)</f>
        <v>0</v>
      </c>
      <c r="D22" s="75">
        <f t="shared" si="5"/>
        <v>0</v>
      </c>
      <c r="E22" s="74">
        <f t="shared" si="5"/>
        <v>0</v>
      </c>
      <c r="F22" s="74">
        <f t="shared" si="5"/>
        <v>0</v>
      </c>
      <c r="G22" s="74">
        <f t="shared" si="5"/>
        <v>0</v>
      </c>
      <c r="H22" s="74">
        <f t="shared" si="5"/>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f t="shared" ref="H25:H35" si="6">D25/12*3</f>
        <v>0</v>
      </c>
      <c r="I25" s="45">
        <f t="shared" ref="I25:I44" si="7">G25-H25</f>
        <v>0</v>
      </c>
      <c r="J25" s="333" t="str">
        <f t="shared" ref="J25:J44" si="8">IF(I25=0,"",I25/H25)</f>
        <v/>
      </c>
      <c r="K25" s="745">
        <f>D25</f>
        <v>0</v>
      </c>
    </row>
    <row r="26" spans="1:11" ht="12.75" customHeight="1" x14ac:dyDescent="0.2">
      <c r="A26" s="40" t="str">
        <f>'C4-FinPerf RE'!A26</f>
        <v>Remuneration of councillors</v>
      </c>
      <c r="B26" s="170"/>
      <c r="C26" s="758"/>
      <c r="D26" s="755"/>
      <c r="E26" s="743"/>
      <c r="F26" s="743"/>
      <c r="G26" s="743"/>
      <c r="H26" s="743">
        <f t="shared" si="6"/>
        <v>0</v>
      </c>
      <c r="I26" s="45">
        <f t="shared" si="7"/>
        <v>0</v>
      </c>
      <c r="J26" s="333" t="str">
        <f t="shared" si="8"/>
        <v/>
      </c>
      <c r="K26" s="745">
        <f t="shared" ref="K26:K34" si="9">D26</f>
        <v>0</v>
      </c>
    </row>
    <row r="27" spans="1:11" ht="12.75" customHeight="1" x14ac:dyDescent="0.2">
      <c r="A27" s="40" t="str">
        <f>'C4-FinPerf RE'!A27</f>
        <v>Debt impairment</v>
      </c>
      <c r="B27" s="172"/>
      <c r="C27" s="758"/>
      <c r="D27" s="755"/>
      <c r="E27" s="743"/>
      <c r="F27" s="743"/>
      <c r="G27" s="743"/>
      <c r="H27" s="743">
        <f t="shared" si="6"/>
        <v>0</v>
      </c>
      <c r="I27" s="45">
        <f t="shared" si="7"/>
        <v>0</v>
      </c>
      <c r="J27" s="333" t="str">
        <f t="shared" si="8"/>
        <v/>
      </c>
      <c r="K27" s="745">
        <f t="shared" si="9"/>
        <v>0</v>
      </c>
    </row>
    <row r="28" spans="1:11" ht="12.75" customHeight="1" x14ac:dyDescent="0.2">
      <c r="A28" s="40" t="str">
        <f>'C4-FinPerf RE'!A28</f>
        <v>Depreciation &amp; asset impairment</v>
      </c>
      <c r="B28" s="172"/>
      <c r="C28" s="758"/>
      <c r="D28" s="755"/>
      <c r="E28" s="743"/>
      <c r="F28" s="743"/>
      <c r="G28" s="743"/>
      <c r="H28" s="743">
        <f t="shared" si="6"/>
        <v>0</v>
      </c>
      <c r="I28" s="45">
        <f t="shared" si="7"/>
        <v>0</v>
      </c>
      <c r="J28" s="333" t="str">
        <f t="shared" si="8"/>
        <v/>
      </c>
      <c r="K28" s="745">
        <f t="shared" si="9"/>
        <v>0</v>
      </c>
    </row>
    <row r="29" spans="1:11" ht="12.75" customHeight="1" x14ac:dyDescent="0.2">
      <c r="A29" s="40" t="str">
        <f>'C4-FinPerf RE'!A29</f>
        <v>Finance charges</v>
      </c>
      <c r="B29" s="172"/>
      <c r="C29" s="758"/>
      <c r="D29" s="755"/>
      <c r="E29" s="743"/>
      <c r="F29" s="743"/>
      <c r="G29" s="743"/>
      <c r="H29" s="743">
        <f t="shared" si="6"/>
        <v>0</v>
      </c>
      <c r="I29" s="45">
        <f t="shared" si="7"/>
        <v>0</v>
      </c>
      <c r="J29" s="333" t="str">
        <f t="shared" si="8"/>
        <v/>
      </c>
      <c r="K29" s="745">
        <f t="shared" si="9"/>
        <v>0</v>
      </c>
    </row>
    <row r="30" spans="1:11" ht="12.75" customHeight="1" x14ac:dyDescent="0.2">
      <c r="A30" s="40" t="str">
        <f>'C4-FinPerf RE'!A30</f>
        <v>Bulk purchases</v>
      </c>
      <c r="B30" s="172"/>
      <c r="C30" s="758"/>
      <c r="D30" s="755"/>
      <c r="E30" s="743"/>
      <c r="F30" s="743"/>
      <c r="G30" s="743"/>
      <c r="H30" s="743">
        <f t="shared" si="6"/>
        <v>0</v>
      </c>
      <c r="I30" s="45">
        <f t="shared" si="7"/>
        <v>0</v>
      </c>
      <c r="J30" s="333" t="str">
        <f t="shared" si="8"/>
        <v/>
      </c>
      <c r="K30" s="745">
        <f t="shared" si="9"/>
        <v>0</v>
      </c>
    </row>
    <row r="31" spans="1:11" ht="12.75" customHeight="1" x14ac:dyDescent="0.2">
      <c r="A31" s="40" t="str">
        <f>'C4-FinPerf RE'!A31</f>
        <v>Other materials</v>
      </c>
      <c r="B31" s="172"/>
      <c r="C31" s="758"/>
      <c r="D31" s="755"/>
      <c r="E31" s="743"/>
      <c r="F31" s="743"/>
      <c r="G31" s="743"/>
      <c r="H31" s="743">
        <f t="shared" si="6"/>
        <v>0</v>
      </c>
      <c r="I31" s="45">
        <f t="shared" si="7"/>
        <v>0</v>
      </c>
      <c r="J31" s="333" t="str">
        <f t="shared" si="8"/>
        <v/>
      </c>
      <c r="K31" s="745">
        <f t="shared" si="9"/>
        <v>0</v>
      </c>
    </row>
    <row r="32" spans="1:11" ht="12.75" customHeight="1" x14ac:dyDescent="0.2">
      <c r="A32" s="40" t="str">
        <f>'C4-FinPerf RE'!A32</f>
        <v>Contracted services</v>
      </c>
      <c r="B32" s="172"/>
      <c r="C32" s="758"/>
      <c r="D32" s="755"/>
      <c r="E32" s="743"/>
      <c r="F32" s="743"/>
      <c r="G32" s="743"/>
      <c r="H32" s="743">
        <f t="shared" si="6"/>
        <v>0</v>
      </c>
      <c r="I32" s="45">
        <f t="shared" si="7"/>
        <v>0</v>
      </c>
      <c r="J32" s="333" t="str">
        <f t="shared" si="8"/>
        <v/>
      </c>
      <c r="K32" s="745">
        <f t="shared" si="9"/>
        <v>0</v>
      </c>
    </row>
    <row r="33" spans="1:11" ht="12.75" customHeight="1" x14ac:dyDescent="0.2">
      <c r="A33" s="40" t="str">
        <f>'C4-FinPerf RE'!A33</f>
        <v>Transfers and subsidies</v>
      </c>
      <c r="B33" s="172"/>
      <c r="C33" s="758"/>
      <c r="D33" s="755"/>
      <c r="E33" s="743"/>
      <c r="F33" s="743"/>
      <c r="G33" s="743"/>
      <c r="H33" s="743">
        <f t="shared" si="6"/>
        <v>0</v>
      </c>
      <c r="I33" s="45">
        <f t="shared" si="7"/>
        <v>0</v>
      </c>
      <c r="J33" s="333" t="str">
        <f t="shared" si="8"/>
        <v/>
      </c>
      <c r="K33" s="745">
        <f t="shared" si="9"/>
        <v>0</v>
      </c>
    </row>
    <row r="34" spans="1:11" ht="12.75" customHeight="1" x14ac:dyDescent="0.2">
      <c r="A34" s="40" t="str">
        <f>'C4-FinPerf RE'!A34</f>
        <v>Other expenditure</v>
      </c>
      <c r="B34" s="172"/>
      <c r="C34" s="758"/>
      <c r="D34" s="755"/>
      <c r="E34" s="743"/>
      <c r="F34" s="743"/>
      <c r="G34" s="743"/>
      <c r="H34" s="743">
        <f t="shared" si="6"/>
        <v>0</v>
      </c>
      <c r="I34" s="45">
        <f t="shared" si="7"/>
        <v>0</v>
      </c>
      <c r="J34" s="333" t="str">
        <f t="shared" si="8"/>
        <v/>
      </c>
      <c r="K34" s="745">
        <f t="shared" si="9"/>
        <v>0</v>
      </c>
    </row>
    <row r="35" spans="1:11" ht="12.75" customHeight="1" x14ac:dyDescent="0.2">
      <c r="A35" s="40" t="str">
        <f>'C4-FinPerf RE'!A35</f>
        <v>Loss on disposal of PPE</v>
      </c>
      <c r="B35" s="170"/>
      <c r="C35" s="758"/>
      <c r="D35" s="755"/>
      <c r="E35" s="743"/>
      <c r="F35" s="743"/>
      <c r="G35" s="743"/>
      <c r="H35" s="743">
        <f t="shared" si="6"/>
        <v>0</v>
      </c>
      <c r="I35" s="45">
        <f t="shared" si="7"/>
        <v>0</v>
      </c>
      <c r="J35" s="333" t="str">
        <f t="shared" si="8"/>
        <v/>
      </c>
      <c r="K35" s="745"/>
    </row>
    <row r="36" spans="1:11" ht="12.75" customHeight="1" x14ac:dyDescent="0.2">
      <c r="A36" s="353" t="s">
        <v>501</v>
      </c>
      <c r="B36" s="578"/>
      <c r="C36" s="244">
        <f t="shared" ref="C36:H36" si="10">SUM(C25:C35)</f>
        <v>0</v>
      </c>
      <c r="D36" s="75">
        <f t="shared" si="10"/>
        <v>0</v>
      </c>
      <c r="E36" s="74">
        <f t="shared" si="10"/>
        <v>0</v>
      </c>
      <c r="F36" s="74">
        <f t="shared" si="10"/>
        <v>0</v>
      </c>
      <c r="G36" s="74">
        <f t="shared" si="10"/>
        <v>0</v>
      </c>
      <c r="H36" s="74">
        <f t="shared" si="10"/>
        <v>0</v>
      </c>
      <c r="I36" s="74">
        <f t="shared" si="7"/>
        <v>0</v>
      </c>
      <c r="J36" s="334" t="str">
        <f t="shared" si="8"/>
        <v/>
      </c>
      <c r="K36" s="146">
        <f>SUM(K25:K35)</f>
        <v>0</v>
      </c>
    </row>
    <row r="37" spans="1:11" ht="5.0999999999999996" customHeight="1" x14ac:dyDescent="0.2">
      <c r="A37" s="43"/>
      <c r="B37" s="170"/>
      <c r="C37" s="135"/>
      <c r="D37" s="47"/>
      <c r="E37" s="45"/>
      <c r="F37" s="45"/>
      <c r="G37" s="45"/>
      <c r="H37" s="45"/>
      <c r="I37" s="45">
        <f t="shared" si="7"/>
        <v>0</v>
      </c>
      <c r="J37" s="333"/>
      <c r="K37" s="145"/>
    </row>
    <row r="38" spans="1:11" ht="12.75" customHeight="1" x14ac:dyDescent="0.2">
      <c r="A38" s="88" t="str">
        <f>'C4-FinPerf RE'!A38</f>
        <v>Surplus/(Deficit)</v>
      </c>
      <c r="B38" s="170"/>
      <c r="C38" s="135">
        <f t="shared" ref="C38:H38" si="11">C22-C36</f>
        <v>0</v>
      </c>
      <c r="D38" s="47">
        <f t="shared" si="11"/>
        <v>0</v>
      </c>
      <c r="E38" s="45">
        <f t="shared" si="11"/>
        <v>0</v>
      </c>
      <c r="F38" s="45">
        <f t="shared" si="11"/>
        <v>0</v>
      </c>
      <c r="G38" s="45">
        <f t="shared" si="11"/>
        <v>0</v>
      </c>
      <c r="H38" s="45">
        <f t="shared" si="11"/>
        <v>0</v>
      </c>
      <c r="I38" s="45">
        <f t="shared" si="7"/>
        <v>0</v>
      </c>
      <c r="J38" s="333" t="str">
        <f t="shared" si="8"/>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f t="shared" ref="H39:H41" si="12">D39/12*3</f>
        <v>0</v>
      </c>
      <c r="I39" s="45">
        <f t="shared" si="7"/>
        <v>0</v>
      </c>
      <c r="J39" s="333" t="str">
        <f t="shared" si="8"/>
        <v/>
      </c>
      <c r="K39" s="745">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f t="shared" si="12"/>
        <v>0</v>
      </c>
      <c r="I40" s="45">
        <f t="shared" si="7"/>
        <v>0</v>
      </c>
      <c r="J40" s="333" t="str">
        <f t="shared" si="8"/>
        <v/>
      </c>
      <c r="K40" s="745">
        <f t="shared" ref="K40" si="13">E40</f>
        <v>0</v>
      </c>
    </row>
    <row r="41" spans="1:11" ht="12.75" customHeight="1" x14ac:dyDescent="0.2">
      <c r="A41" s="40" t="str">
        <f>'C4-FinPerf RE'!A41</f>
        <v xml:space="preserve">Transfers and subsidies - capital (in-kind - all) </v>
      </c>
      <c r="B41" s="170"/>
      <c r="C41" s="758"/>
      <c r="D41" s="755"/>
      <c r="E41" s="743"/>
      <c r="F41" s="743"/>
      <c r="G41" s="743"/>
      <c r="H41" s="743">
        <f t="shared" si="12"/>
        <v>0</v>
      </c>
      <c r="I41" s="45">
        <f t="shared" si="7"/>
        <v>0</v>
      </c>
      <c r="J41" s="333" t="str">
        <f t="shared" si="8"/>
        <v/>
      </c>
      <c r="K41" s="745">
        <v>0</v>
      </c>
    </row>
    <row r="42" spans="1:11" x14ac:dyDescent="0.2">
      <c r="A42" s="579" t="str">
        <f>'C4-FinPerf RE'!A42</f>
        <v>Surplus/(Deficit) after capital transfers &amp; contributions</v>
      </c>
      <c r="B42" s="312"/>
      <c r="C42" s="580">
        <f>C38+SUM(C39:C41)</f>
        <v>0</v>
      </c>
      <c r="D42" s="581">
        <f t="shared" ref="D42:K42" si="14">D38+SUM(D39:D41)</f>
        <v>0</v>
      </c>
      <c r="E42" s="517">
        <f t="shared" si="14"/>
        <v>0</v>
      </c>
      <c r="F42" s="517">
        <f t="shared" si="14"/>
        <v>0</v>
      </c>
      <c r="G42" s="517">
        <f t="shared" si="14"/>
        <v>0</v>
      </c>
      <c r="H42" s="517">
        <f t="shared" si="14"/>
        <v>0</v>
      </c>
      <c r="I42" s="517">
        <f t="shared" si="7"/>
        <v>0</v>
      </c>
      <c r="J42" s="518" t="str">
        <f t="shared" si="8"/>
        <v/>
      </c>
      <c r="K42" s="582">
        <f t="shared" si="14"/>
        <v>0</v>
      </c>
    </row>
    <row r="43" spans="1:11" ht="12.75" customHeight="1" x14ac:dyDescent="0.2">
      <c r="A43" s="112" t="str">
        <f>'C4-FinPerf RE'!A43</f>
        <v>Taxation</v>
      </c>
      <c r="B43" s="170"/>
      <c r="C43" s="758"/>
      <c r="D43" s="755"/>
      <c r="E43" s="743"/>
      <c r="F43" s="743"/>
      <c r="G43" s="743"/>
      <c r="H43" s="743"/>
      <c r="I43" s="45">
        <f t="shared" si="7"/>
        <v>0</v>
      </c>
      <c r="J43" s="333" t="str">
        <f t="shared" si="8"/>
        <v/>
      </c>
      <c r="K43" s="745"/>
    </row>
    <row r="44" spans="1:11" ht="12.75" customHeight="1" x14ac:dyDescent="0.2">
      <c r="A44" s="54" t="str">
        <f>'C4-FinPerf RE'!A44</f>
        <v>Surplus/(Deficit) after taxation</v>
      </c>
      <c r="B44" s="237"/>
      <c r="C44" s="113">
        <f t="shared" ref="C44:H44" si="15">C42-C43</f>
        <v>0</v>
      </c>
      <c r="D44" s="57">
        <f t="shared" si="15"/>
        <v>0</v>
      </c>
      <c r="E44" s="56">
        <f t="shared" si="15"/>
        <v>0</v>
      </c>
      <c r="F44" s="56">
        <f t="shared" si="15"/>
        <v>0</v>
      </c>
      <c r="G44" s="56">
        <f t="shared" si="15"/>
        <v>0</v>
      </c>
      <c r="H44" s="56">
        <f t="shared" si="15"/>
        <v>0</v>
      </c>
      <c r="I44" s="56">
        <f t="shared" si="7"/>
        <v>0</v>
      </c>
      <c r="J44" s="335" t="str">
        <f t="shared" si="8"/>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J40" sqref="J40"/>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2" t="str">
        <f>muni&amp; " - "&amp;S71Q&amp; " - "&amp;Head57</f>
        <v>LIM354 Polokwane - NOT REQUIRED - municipality does not have entities or this is the parent municipality's budget - M06 December</v>
      </c>
      <c r="B1" s="1042"/>
      <c r="C1" s="1042"/>
      <c r="D1" s="1042"/>
      <c r="E1" s="1042"/>
      <c r="F1" s="1042"/>
      <c r="G1" s="1042"/>
      <c r="H1" s="1042"/>
      <c r="I1" s="1042"/>
      <c r="J1" s="1042"/>
      <c r="K1" s="1042"/>
    </row>
    <row r="2" spans="1:11" x14ac:dyDescent="0.2">
      <c r="A2" s="1031" t="str">
        <f>desc</f>
        <v>Description</v>
      </c>
      <c r="B2" s="1024" t="str">
        <f>head27</f>
        <v>Ref</v>
      </c>
      <c r="C2" s="159" t="str">
        <f>Head1</f>
        <v>2018/19</v>
      </c>
      <c r="D2" s="1026" t="str">
        <f>Head2</f>
        <v>Budget Year 2019/20</v>
      </c>
      <c r="E2" s="1027"/>
      <c r="F2" s="1027"/>
      <c r="G2" s="1027"/>
      <c r="H2" s="1027"/>
      <c r="I2" s="1027"/>
      <c r="J2" s="1027"/>
      <c r="K2" s="1028"/>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3" t="s">
        <v>1456</v>
      </c>
      <c r="B6" s="170"/>
      <c r="C6" s="758"/>
      <c r="D6" s="763"/>
      <c r="E6" s="743"/>
      <c r="F6" s="743"/>
      <c r="G6" s="743"/>
      <c r="H6" s="743">
        <f t="shared" ref="H6:H15" si="0">D6/12*3</f>
        <v>0</v>
      </c>
      <c r="I6" s="45">
        <f t="shared" ref="I6:I41" si="1">G6-H6</f>
        <v>0</v>
      </c>
      <c r="J6" s="333" t="str">
        <f>IF(I6=0,"",I6/H6)</f>
        <v/>
      </c>
      <c r="K6" s="745"/>
    </row>
    <row r="7" spans="1:11" ht="12.75" customHeight="1" x14ac:dyDescent="0.2">
      <c r="A7" s="786" t="s">
        <v>1457</v>
      </c>
      <c r="B7" s="170"/>
      <c r="C7" s="758"/>
      <c r="D7" s="763"/>
      <c r="E7" s="743"/>
      <c r="F7" s="743"/>
      <c r="G7" s="743"/>
      <c r="H7" s="743"/>
      <c r="I7" s="45">
        <f t="shared" si="1"/>
        <v>0</v>
      </c>
      <c r="J7" s="333" t="str">
        <f t="shared" ref="J7:J16" si="2">IF(I7=0,"",I7/H7)</f>
        <v/>
      </c>
      <c r="K7" s="745"/>
    </row>
    <row r="8" spans="1:11" ht="12.75" customHeight="1" x14ac:dyDescent="0.2">
      <c r="A8" s="786" t="s">
        <v>1458</v>
      </c>
      <c r="B8" s="170"/>
      <c r="C8" s="758"/>
      <c r="D8" s="763"/>
      <c r="E8" s="743"/>
      <c r="F8" s="743"/>
      <c r="G8" s="743"/>
      <c r="H8" s="743"/>
      <c r="I8" s="45">
        <f t="shared" si="1"/>
        <v>0</v>
      </c>
      <c r="J8" s="333" t="str">
        <f t="shared" si="2"/>
        <v/>
      </c>
      <c r="K8" s="745"/>
    </row>
    <row r="9" spans="1:11" ht="12.75" customHeight="1" x14ac:dyDescent="0.2">
      <c r="A9" s="786" t="s">
        <v>1459</v>
      </c>
      <c r="B9" s="170"/>
      <c r="C9" s="758"/>
      <c r="D9" s="763"/>
      <c r="E9" s="743"/>
      <c r="F9" s="743"/>
      <c r="G9" s="743"/>
      <c r="H9" s="743"/>
      <c r="I9" s="45">
        <f t="shared" si="1"/>
        <v>0</v>
      </c>
      <c r="J9" s="333" t="str">
        <f t="shared" si="2"/>
        <v/>
      </c>
      <c r="K9" s="745"/>
    </row>
    <row r="10" spans="1:11" ht="12.75" customHeight="1" x14ac:dyDescent="0.2">
      <c r="A10" s="786"/>
      <c r="B10" s="170"/>
      <c r="C10" s="758"/>
      <c r="D10" s="763"/>
      <c r="E10" s="743"/>
      <c r="F10" s="743"/>
      <c r="G10" s="743"/>
      <c r="H10" s="743"/>
      <c r="I10" s="45">
        <f t="shared" si="1"/>
        <v>0</v>
      </c>
      <c r="J10" s="333" t="str">
        <f t="shared" si="2"/>
        <v/>
      </c>
      <c r="K10" s="745"/>
    </row>
    <row r="11" spans="1:11" ht="12.75" customHeight="1" x14ac:dyDescent="0.2">
      <c r="A11" s="786"/>
      <c r="B11" s="170"/>
      <c r="C11" s="758"/>
      <c r="D11" s="763"/>
      <c r="E11" s="743"/>
      <c r="F11" s="743"/>
      <c r="G11" s="743"/>
      <c r="H11" s="743"/>
      <c r="I11" s="45">
        <f t="shared" si="1"/>
        <v>0</v>
      </c>
      <c r="J11" s="333" t="str">
        <f t="shared" si="2"/>
        <v/>
      </c>
      <c r="K11" s="745"/>
    </row>
    <row r="12" spans="1:11" ht="12.75" customHeight="1" x14ac:dyDescent="0.2">
      <c r="A12" s="786"/>
      <c r="B12" s="170"/>
      <c r="C12" s="758"/>
      <c r="D12" s="763"/>
      <c r="E12" s="743"/>
      <c r="F12" s="743"/>
      <c r="G12" s="743"/>
      <c r="H12" s="743"/>
      <c r="I12" s="45">
        <f t="shared" si="1"/>
        <v>0</v>
      </c>
      <c r="J12" s="333" t="str">
        <f t="shared" si="2"/>
        <v/>
      </c>
      <c r="K12" s="745"/>
    </row>
    <row r="13" spans="1:11" ht="12.75" customHeight="1" x14ac:dyDescent="0.2">
      <c r="A13" s="786"/>
      <c r="B13" s="170"/>
      <c r="C13" s="758"/>
      <c r="D13" s="763"/>
      <c r="E13" s="743"/>
      <c r="F13" s="743"/>
      <c r="G13" s="743"/>
      <c r="H13" s="743">
        <f t="shared" si="0"/>
        <v>0</v>
      </c>
      <c r="I13" s="45">
        <f t="shared" si="1"/>
        <v>0</v>
      </c>
      <c r="J13" s="333" t="str">
        <f t="shared" si="2"/>
        <v/>
      </c>
      <c r="K13" s="745"/>
    </row>
    <row r="14" spans="1:11" ht="12.75" customHeight="1" x14ac:dyDescent="0.2">
      <c r="A14" s="786"/>
      <c r="B14" s="170"/>
      <c r="C14" s="758"/>
      <c r="D14" s="763"/>
      <c r="E14" s="743"/>
      <c r="F14" s="743"/>
      <c r="G14" s="743"/>
      <c r="H14" s="743">
        <f t="shared" si="0"/>
        <v>0</v>
      </c>
      <c r="I14" s="45">
        <f t="shared" si="1"/>
        <v>0</v>
      </c>
      <c r="J14" s="333" t="str">
        <f t="shared" si="2"/>
        <v/>
      </c>
      <c r="K14" s="745"/>
    </row>
    <row r="15" spans="1:11" ht="12.75" customHeight="1" x14ac:dyDescent="0.2">
      <c r="A15" s="786"/>
      <c r="B15" s="170"/>
      <c r="C15" s="758"/>
      <c r="D15" s="763"/>
      <c r="E15" s="743"/>
      <c r="F15" s="743"/>
      <c r="G15" s="743"/>
      <c r="H15" s="743">
        <f t="shared" si="0"/>
        <v>0</v>
      </c>
      <c r="I15" s="45">
        <f t="shared" si="1"/>
        <v>0</v>
      </c>
      <c r="J15" s="333" t="str">
        <f t="shared" si="2"/>
        <v/>
      </c>
      <c r="K15" s="745"/>
    </row>
    <row r="16" spans="1:11" ht="12.75" customHeight="1" x14ac:dyDescent="0.2">
      <c r="A16" s="93" t="s">
        <v>559</v>
      </c>
      <c r="B16" s="234">
        <v>1</v>
      </c>
      <c r="C16" s="244">
        <f t="shared" ref="C16:H16" si="3">SUM(C6:C15)</f>
        <v>0</v>
      </c>
      <c r="D16" s="261">
        <f t="shared" si="3"/>
        <v>0</v>
      </c>
      <c r="E16" s="74">
        <f t="shared" si="3"/>
        <v>0</v>
      </c>
      <c r="F16" s="74">
        <f t="shared" si="3"/>
        <v>0</v>
      </c>
      <c r="G16" s="74">
        <f t="shared" si="3"/>
        <v>0</v>
      </c>
      <c r="H16" s="74">
        <f t="shared" si="3"/>
        <v>0</v>
      </c>
      <c r="I16" s="74">
        <f t="shared" si="1"/>
        <v>0</v>
      </c>
      <c r="J16" s="334" t="str">
        <f t="shared" si="2"/>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3" t="str">
        <f>A6</f>
        <v>Polokwane Housing Association</v>
      </c>
      <c r="B19" s="172"/>
      <c r="C19" s="758"/>
      <c r="D19" s="763"/>
      <c r="E19" s="743"/>
      <c r="F19" s="743"/>
      <c r="G19" s="743"/>
      <c r="H19" s="743">
        <f t="shared" ref="H19" si="4">D19/12*3</f>
        <v>0</v>
      </c>
      <c r="I19" s="45">
        <f t="shared" si="1"/>
        <v>0</v>
      </c>
      <c r="J19" s="333" t="str">
        <f t="shared" ref="J19:J43" si="5">IF(I19=0,"",I19/H19)</f>
        <v/>
      </c>
      <c r="K19" s="745"/>
    </row>
    <row r="20" spans="1:11" ht="12.75" customHeight="1" x14ac:dyDescent="0.2">
      <c r="A20" s="786" t="s">
        <v>487</v>
      </c>
      <c r="B20" s="172"/>
      <c r="C20" s="758"/>
      <c r="D20" s="763"/>
      <c r="E20" s="743"/>
      <c r="F20" s="743"/>
      <c r="G20" s="743"/>
      <c r="H20" s="743"/>
      <c r="I20" s="45">
        <f t="shared" si="1"/>
        <v>0</v>
      </c>
      <c r="J20" s="333" t="str">
        <f t="shared" si="5"/>
        <v/>
      </c>
      <c r="K20" s="745"/>
    </row>
    <row r="21" spans="1:11" ht="12.75" customHeight="1" x14ac:dyDescent="0.2">
      <c r="A21" s="786" t="s">
        <v>1462</v>
      </c>
      <c r="B21" s="172"/>
      <c r="C21" s="758"/>
      <c r="D21" s="763"/>
      <c r="E21" s="743"/>
      <c r="F21" s="743"/>
      <c r="G21" s="743"/>
      <c r="H21" s="743"/>
      <c r="I21" s="45">
        <f t="shared" si="1"/>
        <v>0</v>
      </c>
      <c r="J21" s="333" t="str">
        <f t="shared" si="5"/>
        <v/>
      </c>
      <c r="K21" s="745"/>
    </row>
    <row r="22" spans="1:11" ht="12.75" customHeight="1" x14ac:dyDescent="0.2">
      <c r="A22" s="786" t="s">
        <v>1460</v>
      </c>
      <c r="B22" s="172"/>
      <c r="C22" s="758"/>
      <c r="D22" s="763"/>
      <c r="E22" s="743"/>
      <c r="F22" s="743"/>
      <c r="G22" s="743"/>
      <c r="H22" s="980"/>
      <c r="I22" s="45">
        <f t="shared" si="1"/>
        <v>0</v>
      </c>
      <c r="J22" s="333" t="str">
        <f t="shared" si="5"/>
        <v/>
      </c>
      <c r="K22" s="745"/>
    </row>
    <row r="23" spans="1:11" ht="12.75" customHeight="1" x14ac:dyDescent="0.2">
      <c r="A23" s="786" t="s">
        <v>1461</v>
      </c>
      <c r="B23" s="172"/>
      <c r="C23" s="758"/>
      <c r="D23" s="763"/>
      <c r="E23" s="743"/>
      <c r="F23" s="743"/>
      <c r="G23" s="743"/>
      <c r="H23" s="743"/>
      <c r="I23" s="45">
        <f t="shared" si="1"/>
        <v>0</v>
      </c>
      <c r="J23" s="333" t="str">
        <f t="shared" si="5"/>
        <v/>
      </c>
      <c r="K23" s="745"/>
    </row>
    <row r="24" spans="1:11" ht="12.75" customHeight="1" x14ac:dyDescent="0.2">
      <c r="A24" s="786" t="str">
        <f>IF(A11="","",A11)</f>
        <v/>
      </c>
      <c r="B24" s="172"/>
      <c r="C24" s="758"/>
      <c r="D24" s="763"/>
      <c r="E24" s="743"/>
      <c r="F24" s="743"/>
      <c r="G24" s="743"/>
      <c r="H24" s="980"/>
      <c r="I24" s="45">
        <f t="shared" si="1"/>
        <v>0</v>
      </c>
      <c r="J24" s="333" t="str">
        <f t="shared" si="5"/>
        <v/>
      </c>
      <c r="K24" s="745"/>
    </row>
    <row r="25" spans="1:11" ht="12.75" customHeight="1" x14ac:dyDescent="0.2">
      <c r="A25" s="786" t="str">
        <f>IF(A12="","",A12)</f>
        <v/>
      </c>
      <c r="B25" s="172"/>
      <c r="C25" s="758"/>
      <c r="D25" s="763"/>
      <c r="E25" s="743"/>
      <c r="F25" s="743"/>
      <c r="G25" s="743"/>
      <c r="H25" s="743"/>
      <c r="I25" s="45">
        <f t="shared" si="1"/>
        <v>0</v>
      </c>
      <c r="J25" s="333" t="str">
        <f t="shared" si="5"/>
        <v/>
      </c>
      <c r="K25" s="745"/>
    </row>
    <row r="26" spans="1:11" ht="12.75" customHeight="1" x14ac:dyDescent="0.2">
      <c r="A26" s="786" t="str">
        <f>IF(A13="","",A13)</f>
        <v/>
      </c>
      <c r="B26" s="172"/>
      <c r="C26" s="758"/>
      <c r="D26" s="763"/>
      <c r="E26" s="743"/>
      <c r="F26" s="743"/>
      <c r="G26" s="743"/>
      <c r="H26" s="743"/>
      <c r="I26" s="45">
        <f t="shared" si="1"/>
        <v>0</v>
      </c>
      <c r="J26" s="333" t="str">
        <f t="shared" si="5"/>
        <v/>
      </c>
      <c r="K26" s="745"/>
    </row>
    <row r="27" spans="1:11" ht="12.75" customHeight="1" x14ac:dyDescent="0.2">
      <c r="A27" s="786" t="str">
        <f>IF(A14="","",A14)</f>
        <v/>
      </c>
      <c r="B27" s="172"/>
      <c r="C27" s="758"/>
      <c r="D27" s="763"/>
      <c r="E27" s="743"/>
      <c r="F27" s="743"/>
      <c r="G27" s="743"/>
      <c r="H27" s="743"/>
      <c r="I27" s="45">
        <f t="shared" si="1"/>
        <v>0</v>
      </c>
      <c r="J27" s="333" t="str">
        <f t="shared" si="5"/>
        <v/>
      </c>
      <c r="K27" s="745"/>
    </row>
    <row r="28" spans="1:11" ht="12.75" customHeight="1" x14ac:dyDescent="0.2">
      <c r="A28" s="786" t="str">
        <f>IF(A15="","",A15)</f>
        <v/>
      </c>
      <c r="B28" s="172"/>
      <c r="C28" s="758"/>
      <c r="D28" s="763"/>
      <c r="E28" s="743"/>
      <c r="F28" s="743"/>
      <c r="G28" s="743"/>
      <c r="H28" s="743"/>
      <c r="I28" s="45">
        <f t="shared" si="1"/>
        <v>0</v>
      </c>
      <c r="J28" s="333" t="str">
        <f t="shared" si="5"/>
        <v/>
      </c>
      <c r="K28" s="745"/>
    </row>
    <row r="29" spans="1:11" ht="12.75" customHeight="1" x14ac:dyDescent="0.2">
      <c r="A29" s="93" t="s">
        <v>934</v>
      </c>
      <c r="B29" s="234">
        <v>2</v>
      </c>
      <c r="C29" s="244">
        <f t="shared" ref="C29:H29" si="6">SUM(C19:C28)</f>
        <v>0</v>
      </c>
      <c r="D29" s="261">
        <f t="shared" si="6"/>
        <v>0</v>
      </c>
      <c r="E29" s="74">
        <f t="shared" si="6"/>
        <v>0</v>
      </c>
      <c r="F29" s="74">
        <f t="shared" si="6"/>
        <v>0</v>
      </c>
      <c r="G29" s="74">
        <f t="shared" si="6"/>
        <v>0</v>
      </c>
      <c r="H29" s="74">
        <f t="shared" si="6"/>
        <v>0</v>
      </c>
      <c r="I29" s="74">
        <f t="shared" si="1"/>
        <v>0</v>
      </c>
      <c r="J29" s="334" t="str">
        <f t="shared" si="5"/>
        <v/>
      </c>
      <c r="K29" s="146">
        <f>SUM(K19:K28)</f>
        <v>0</v>
      </c>
    </row>
    <row r="30" spans="1:11" ht="5.0999999999999996" customHeight="1" x14ac:dyDescent="0.2">
      <c r="A30" s="43"/>
      <c r="B30" s="170"/>
      <c r="C30" s="135"/>
      <c r="D30" s="259"/>
      <c r="E30" s="45"/>
      <c r="F30" s="45"/>
      <c r="G30" s="45"/>
      <c r="H30" s="45"/>
      <c r="I30" s="45"/>
      <c r="J30" s="333" t="str">
        <f t="shared" si="5"/>
        <v/>
      </c>
      <c r="K30" s="145"/>
    </row>
    <row r="31" spans="1:11" ht="12.75" customHeight="1" x14ac:dyDescent="0.2">
      <c r="A31" s="88" t="str">
        <f>Head42</f>
        <v>Surplus/ (Deficit) for the yr/period</v>
      </c>
      <c r="B31" s="170"/>
      <c r="C31" s="135">
        <f>C16-C29</f>
        <v>0</v>
      </c>
      <c r="D31" s="259">
        <f t="shared" ref="D31:K31" si="7">D16-D29</f>
        <v>0</v>
      </c>
      <c r="E31" s="45">
        <f t="shared" si="7"/>
        <v>0</v>
      </c>
      <c r="F31" s="45">
        <f t="shared" si="7"/>
        <v>0</v>
      </c>
      <c r="G31" s="45">
        <f t="shared" si="7"/>
        <v>0</v>
      </c>
      <c r="H31" s="45">
        <f t="shared" si="7"/>
        <v>0</v>
      </c>
      <c r="I31" s="45">
        <f>I16+I29</f>
        <v>0</v>
      </c>
      <c r="J31" s="333" t="str">
        <f t="shared" si="5"/>
        <v/>
      </c>
      <c r="K31" s="145">
        <f t="shared" si="7"/>
        <v>0</v>
      </c>
    </row>
    <row r="32" spans="1:11" ht="12.75" customHeight="1" x14ac:dyDescent="0.2">
      <c r="A32" s="36" t="s">
        <v>841</v>
      </c>
      <c r="B32" s="172"/>
      <c r="C32" s="135"/>
      <c r="D32" s="259"/>
      <c r="E32" s="45"/>
      <c r="F32" s="45"/>
      <c r="G32" s="45"/>
      <c r="H32" s="45"/>
      <c r="I32" s="45"/>
      <c r="J32" s="333"/>
      <c r="K32" s="145"/>
    </row>
    <row r="33" spans="1:11" ht="12.75" customHeight="1" x14ac:dyDescent="0.2">
      <c r="A33" s="803" t="str">
        <f>$A$6</f>
        <v>Polokwane Housing Association</v>
      </c>
      <c r="B33" s="172"/>
      <c r="C33" s="758"/>
      <c r="D33" s="763"/>
      <c r="E33" s="743"/>
      <c r="F33" s="743"/>
      <c r="G33" s="743"/>
      <c r="H33" s="743"/>
      <c r="I33" s="45">
        <f t="shared" si="1"/>
        <v>0</v>
      </c>
      <c r="J33" s="333" t="str">
        <f t="shared" si="5"/>
        <v/>
      </c>
      <c r="K33" s="745"/>
    </row>
    <row r="34" spans="1:11" ht="12.75" customHeight="1" x14ac:dyDescent="0.2">
      <c r="A34" s="786" t="s">
        <v>1358</v>
      </c>
      <c r="B34" s="172"/>
      <c r="C34" s="758"/>
      <c r="D34" s="763"/>
      <c r="E34" s="743"/>
      <c r="F34" s="743"/>
      <c r="G34" s="743"/>
      <c r="H34" s="743"/>
      <c r="I34" s="45">
        <f t="shared" si="1"/>
        <v>0</v>
      </c>
      <c r="J34" s="333" t="str">
        <f t="shared" si="5"/>
        <v/>
      </c>
      <c r="K34" s="745"/>
    </row>
    <row r="35" spans="1:11" ht="12.75" customHeight="1" x14ac:dyDescent="0.2">
      <c r="A35" s="786"/>
      <c r="B35" s="172"/>
      <c r="C35" s="758"/>
      <c r="D35" s="763"/>
      <c r="E35" s="743"/>
      <c r="F35" s="743"/>
      <c r="G35" s="743"/>
      <c r="H35" s="743"/>
      <c r="I35" s="45">
        <f t="shared" si="1"/>
        <v>0</v>
      </c>
      <c r="J35" s="333" t="str">
        <f t="shared" si="5"/>
        <v/>
      </c>
      <c r="K35" s="745"/>
    </row>
    <row r="36" spans="1:11" ht="12.75" customHeight="1" x14ac:dyDescent="0.2">
      <c r="A36" s="786"/>
      <c r="B36" s="172"/>
      <c r="C36" s="758"/>
      <c r="D36" s="763"/>
      <c r="E36" s="743"/>
      <c r="F36" s="743"/>
      <c r="G36" s="743"/>
      <c r="H36" s="743"/>
      <c r="I36" s="45">
        <f t="shared" si="1"/>
        <v>0</v>
      </c>
      <c r="J36" s="333" t="str">
        <f t="shared" si="5"/>
        <v/>
      </c>
      <c r="K36" s="745"/>
    </row>
    <row r="37" spans="1:11" ht="12.75" customHeight="1" x14ac:dyDescent="0.2">
      <c r="A37" s="786" t="str">
        <f>IF(A10="","",A10)</f>
        <v/>
      </c>
      <c r="B37" s="172"/>
      <c r="C37" s="758"/>
      <c r="D37" s="763"/>
      <c r="E37" s="743"/>
      <c r="F37" s="743"/>
      <c r="G37" s="743"/>
      <c r="H37" s="743"/>
      <c r="I37" s="45">
        <f t="shared" si="1"/>
        <v>0</v>
      </c>
      <c r="J37" s="333" t="str">
        <f t="shared" si="5"/>
        <v/>
      </c>
      <c r="K37" s="745"/>
    </row>
    <row r="38" spans="1:11" ht="12.75" customHeight="1" x14ac:dyDescent="0.2">
      <c r="A38" s="786" t="str">
        <f>IF(A11="","",A11)</f>
        <v/>
      </c>
      <c r="B38" s="172"/>
      <c r="C38" s="758"/>
      <c r="D38" s="763"/>
      <c r="E38" s="743"/>
      <c r="F38" s="743"/>
      <c r="G38" s="743"/>
      <c r="H38" s="743"/>
      <c r="I38" s="45">
        <f t="shared" si="1"/>
        <v>0</v>
      </c>
      <c r="J38" s="333" t="str">
        <f t="shared" si="5"/>
        <v/>
      </c>
      <c r="K38" s="745"/>
    </row>
    <row r="39" spans="1:11" ht="12.75" customHeight="1" x14ac:dyDescent="0.2">
      <c r="A39" s="786" t="str">
        <f>IF(A12="","",A12)</f>
        <v/>
      </c>
      <c r="B39" s="172"/>
      <c r="C39" s="758"/>
      <c r="D39" s="763"/>
      <c r="E39" s="743"/>
      <c r="F39" s="743"/>
      <c r="G39" s="743"/>
      <c r="H39" s="743"/>
      <c r="I39" s="45">
        <f t="shared" si="1"/>
        <v>0</v>
      </c>
      <c r="J39" s="333" t="str">
        <f t="shared" si="5"/>
        <v/>
      </c>
      <c r="K39" s="745"/>
    </row>
    <row r="40" spans="1:11" ht="12.75" customHeight="1" x14ac:dyDescent="0.2">
      <c r="A40" s="786" t="str">
        <f>IF(A13="","",A13)</f>
        <v/>
      </c>
      <c r="B40" s="172"/>
      <c r="C40" s="758"/>
      <c r="D40" s="763"/>
      <c r="E40" s="743"/>
      <c r="F40" s="743"/>
      <c r="G40" s="743"/>
      <c r="H40" s="743"/>
      <c r="I40" s="45">
        <f t="shared" si="1"/>
        <v>0</v>
      </c>
      <c r="J40" s="333" t="str">
        <f t="shared" si="5"/>
        <v/>
      </c>
      <c r="K40" s="745"/>
    </row>
    <row r="41" spans="1:11" ht="12.75" customHeight="1" x14ac:dyDescent="0.2">
      <c r="A41" s="786" t="str">
        <f>IF(A14="","",A14)</f>
        <v/>
      </c>
      <c r="B41" s="172"/>
      <c r="C41" s="758"/>
      <c r="D41" s="763"/>
      <c r="E41" s="743"/>
      <c r="F41" s="743"/>
      <c r="G41" s="743"/>
      <c r="H41" s="743"/>
      <c r="I41" s="45">
        <f t="shared" si="1"/>
        <v>0</v>
      </c>
      <c r="J41" s="333" t="str">
        <f t="shared" si="5"/>
        <v/>
      </c>
      <c r="K41" s="745"/>
    </row>
    <row r="42" spans="1:11" ht="5.0999999999999996" customHeight="1" x14ac:dyDescent="0.2">
      <c r="A42" s="786"/>
      <c r="B42" s="172"/>
      <c r="C42" s="758"/>
      <c r="D42" s="763"/>
      <c r="E42" s="743"/>
      <c r="F42" s="743"/>
      <c r="G42" s="743"/>
      <c r="H42" s="743"/>
      <c r="I42" s="45"/>
      <c r="J42" s="333" t="str">
        <f t="shared" si="5"/>
        <v/>
      </c>
      <c r="K42" s="745"/>
    </row>
    <row r="43" spans="1:11" ht="12.75" customHeight="1" x14ac:dyDescent="0.2">
      <c r="A43" s="114" t="s">
        <v>783</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5"/>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2" sqref="E12"/>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2" t="str">
        <f>muni&amp; " - "&amp;S71R&amp; " - "&amp;Head57</f>
        <v>LIM354 Polokwane - Supporting Table SC12 Monthly Budget Statement - capital expenditure trend - M06 December</v>
      </c>
      <c r="B1" s="1042"/>
      <c r="C1" s="1042"/>
      <c r="D1" s="1042"/>
      <c r="E1" s="1042"/>
      <c r="F1" s="1042"/>
      <c r="G1" s="1042"/>
      <c r="H1" s="1042"/>
      <c r="I1" s="1042"/>
      <c r="J1" s="1042"/>
    </row>
    <row r="2" spans="1:10" x14ac:dyDescent="0.2">
      <c r="A2" s="1031" t="s">
        <v>912</v>
      </c>
      <c r="B2" s="140" t="str">
        <f>Head1</f>
        <v>2018/19</v>
      </c>
      <c r="C2" s="1026" t="str">
        <f>Head2</f>
        <v>Budget Year 2019/20</v>
      </c>
      <c r="D2" s="1027"/>
      <c r="E2" s="1027"/>
      <c r="F2" s="1027"/>
      <c r="G2" s="1027"/>
      <c r="H2" s="1027"/>
      <c r="I2" s="1027"/>
      <c r="J2" s="1028"/>
    </row>
    <row r="3" spans="1:10" ht="30.6" x14ac:dyDescent="0.2">
      <c r="A3" s="1032"/>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85297669.120000005</v>
      </c>
      <c r="E6" s="743">
        <v>85297669.120000005</v>
      </c>
      <c r="F6" s="411">
        <f>IF(E6&gt;0,E6,"")</f>
        <v>85297669.120000005</v>
      </c>
      <c r="G6" s="411">
        <f>IF(D6&gt;0,D6,C6)</f>
        <v>85297669.120000005</v>
      </c>
      <c r="H6" s="45">
        <f t="shared" ref="H6:H16" si="0">IF(F6="",0,G6-F6)</f>
        <v>0</v>
      </c>
      <c r="I6" s="125" t="str">
        <f t="shared" ref="I6:I16" si="1">IF(F6="","",IF(H6=0,"",H6/G6))</f>
        <v/>
      </c>
      <c r="J6" s="683">
        <f t="shared" ref="J6:J16" si="2">IF(F6="","",F6/$C$18)</f>
        <v>4.5150487637564643E-2</v>
      </c>
    </row>
    <row r="7" spans="1:10" ht="12.75" customHeight="1" x14ac:dyDescent="0.2">
      <c r="A7" s="40" t="s">
        <v>935</v>
      </c>
      <c r="B7" s="758">
        <v>114658356.07565999</v>
      </c>
      <c r="C7" s="763">
        <v>52927000</v>
      </c>
      <c r="D7" s="743">
        <v>45515291.767000005</v>
      </c>
      <c r="E7" s="743">
        <v>45515291.767000005</v>
      </c>
      <c r="F7" s="411">
        <f>IF(E7&gt;0,E7+F6,"")</f>
        <v>130812960.88700001</v>
      </c>
      <c r="G7" s="411">
        <f>IF(D7&gt;0,D7+D6,C7+C6)</f>
        <v>130812960.88700001</v>
      </c>
      <c r="H7" s="45">
        <f t="shared" si="0"/>
        <v>0</v>
      </c>
      <c r="I7" s="125" t="str">
        <f t="shared" si="1"/>
        <v/>
      </c>
      <c r="J7" s="683">
        <f t="shared" si="2"/>
        <v>6.9243028963107509E-2</v>
      </c>
    </row>
    <row r="8" spans="1:10" ht="12.75" customHeight="1" x14ac:dyDescent="0.2">
      <c r="A8" s="40" t="s">
        <v>560</v>
      </c>
      <c r="B8" s="758">
        <v>81613647.633128002</v>
      </c>
      <c r="C8" s="763">
        <v>87521000</v>
      </c>
      <c r="D8" s="743">
        <v>63024484.609000005</v>
      </c>
      <c r="E8" s="743">
        <v>63024484.609000005</v>
      </c>
      <c r="F8" s="411">
        <f t="shared" ref="F8:F17" si="3">IF(E8&gt;0,E8+F7,"")</f>
        <v>193837445.49600002</v>
      </c>
      <c r="G8" s="411">
        <f>IF(D8&gt;0,D8+G7,C8+G7)</f>
        <v>193837445.49600002</v>
      </c>
      <c r="H8" s="45">
        <f t="shared" si="0"/>
        <v>0</v>
      </c>
      <c r="I8" s="125" t="str">
        <f t="shared" si="1"/>
        <v/>
      </c>
      <c r="J8" s="683">
        <f t="shared" si="2"/>
        <v>0.10260368515172223</v>
      </c>
    </row>
    <row r="9" spans="1:10" ht="12.75" customHeight="1" x14ac:dyDescent="0.2">
      <c r="A9" s="40" t="s">
        <v>936</v>
      </c>
      <c r="B9" s="758">
        <v>125253452.40719202</v>
      </c>
      <c r="C9" s="763">
        <v>116093000</v>
      </c>
      <c r="D9" s="743">
        <v>63068303.311999992</v>
      </c>
      <c r="E9" s="743">
        <v>63068303.311999992</v>
      </c>
      <c r="F9" s="411">
        <f t="shared" si="3"/>
        <v>256905748.80800003</v>
      </c>
      <c r="G9" s="411">
        <f t="shared" ref="G9:G17" si="4">IF(D9&gt;0,D9+G8,C9+G8)</f>
        <v>256905748.80800003</v>
      </c>
      <c r="H9" s="45">
        <f t="shared" si="0"/>
        <v>0</v>
      </c>
      <c r="I9" s="125" t="str">
        <f t="shared" si="1"/>
        <v/>
      </c>
      <c r="J9" s="683">
        <f t="shared" si="2"/>
        <v>0.13598753582886761</v>
      </c>
    </row>
    <row r="10" spans="1:10" ht="12.75" customHeight="1" x14ac:dyDescent="0.2">
      <c r="A10" s="40" t="s">
        <v>937</v>
      </c>
      <c r="B10" s="758">
        <v>117057421.92475198</v>
      </c>
      <c r="C10" s="763">
        <v>116300000</v>
      </c>
      <c r="D10" s="743">
        <v>124247725.67</v>
      </c>
      <c r="E10" s="743">
        <v>124247725.67</v>
      </c>
      <c r="F10" s="411">
        <f t="shared" si="3"/>
        <v>381153474.47800004</v>
      </c>
      <c r="G10" s="411">
        <f t="shared" si="4"/>
        <v>381153474.47800004</v>
      </c>
      <c r="H10" s="45">
        <f t="shared" si="0"/>
        <v>0</v>
      </c>
      <c r="I10" s="125" t="str">
        <f t="shared" si="1"/>
        <v/>
      </c>
      <c r="J10" s="683">
        <f t="shared" si="2"/>
        <v>0.20175539865248959</v>
      </c>
    </row>
    <row r="11" spans="1:10" ht="12.75" customHeight="1" x14ac:dyDescent="0.2">
      <c r="A11" s="40" t="s">
        <v>938</v>
      </c>
      <c r="B11" s="758">
        <v>123680771.70764397</v>
      </c>
      <c r="C11" s="763">
        <v>132266000</v>
      </c>
      <c r="D11" s="743">
        <v>131868000</v>
      </c>
      <c r="E11" s="743">
        <v>152138184.78950003</v>
      </c>
      <c r="F11" s="411">
        <f t="shared" si="3"/>
        <v>533291659.26750004</v>
      </c>
      <c r="G11" s="411">
        <f t="shared" si="4"/>
        <v>513021474.47800004</v>
      </c>
      <c r="H11" s="45">
        <f t="shared" si="0"/>
        <v>-20270184.789499998</v>
      </c>
      <c r="I11" s="125">
        <f t="shared" si="1"/>
        <v>-3.951137680956715E-2</v>
      </c>
      <c r="J11" s="683">
        <f t="shared" si="2"/>
        <v>0.28228647649326993</v>
      </c>
    </row>
    <row r="12" spans="1:10" ht="12.75" customHeight="1" x14ac:dyDescent="0.2">
      <c r="A12" s="40" t="s">
        <v>939</v>
      </c>
      <c r="B12" s="758">
        <v>56304819.371612005</v>
      </c>
      <c r="C12" s="763">
        <v>132336000</v>
      </c>
      <c r="D12" s="743">
        <v>131938000</v>
      </c>
      <c r="E12" s="743">
        <v>0</v>
      </c>
      <c r="F12" s="411" t="str">
        <f t="shared" si="3"/>
        <v/>
      </c>
      <c r="G12" s="411">
        <f t="shared" si="4"/>
        <v>644959474.47800004</v>
      </c>
      <c r="H12" s="45">
        <f t="shared" si="0"/>
        <v>0</v>
      </c>
      <c r="I12" s="125" t="str">
        <f t="shared" si="1"/>
        <v/>
      </c>
      <c r="J12" s="683" t="str">
        <f t="shared" si="2"/>
        <v/>
      </c>
    </row>
    <row r="13" spans="1:10" ht="12.75" customHeight="1" x14ac:dyDescent="0.2">
      <c r="A13" s="40" t="s">
        <v>940</v>
      </c>
      <c r="B13" s="758">
        <v>29352943.087880004</v>
      </c>
      <c r="C13" s="763">
        <v>132336000</v>
      </c>
      <c r="D13" s="743">
        <v>131938000</v>
      </c>
      <c r="E13" s="743">
        <v>0</v>
      </c>
      <c r="F13" s="411" t="str">
        <f t="shared" si="3"/>
        <v/>
      </c>
      <c r="G13" s="411">
        <f t="shared" si="4"/>
        <v>776897474.47800004</v>
      </c>
      <c r="H13" s="45">
        <f t="shared" si="0"/>
        <v>0</v>
      </c>
      <c r="I13" s="125" t="str">
        <f t="shared" si="1"/>
        <v/>
      </c>
      <c r="J13" s="683" t="str">
        <f t="shared" si="2"/>
        <v/>
      </c>
    </row>
    <row r="14" spans="1:10" ht="12.75" customHeight="1" x14ac:dyDescent="0.2">
      <c r="A14" s="40" t="s">
        <v>941</v>
      </c>
      <c r="B14" s="758">
        <v>152645868.564648</v>
      </c>
      <c r="C14" s="763">
        <v>199883000</v>
      </c>
      <c r="D14" s="743">
        <v>199282000</v>
      </c>
      <c r="E14" s="743">
        <v>0</v>
      </c>
      <c r="F14" s="411" t="str">
        <f t="shared" si="3"/>
        <v/>
      </c>
      <c r="G14" s="411">
        <f t="shared" si="4"/>
        <v>976179474.47800004</v>
      </c>
      <c r="H14" s="45">
        <f t="shared" si="0"/>
        <v>0</v>
      </c>
      <c r="I14" s="125" t="str">
        <f t="shared" si="1"/>
        <v/>
      </c>
      <c r="J14" s="683" t="str">
        <f t="shared" si="2"/>
        <v/>
      </c>
    </row>
    <row r="15" spans="1:10" ht="12.75" customHeight="1" x14ac:dyDescent="0.2">
      <c r="A15" s="40" t="s">
        <v>942</v>
      </c>
      <c r="B15" s="758">
        <v>67570203.105097041</v>
      </c>
      <c r="C15" s="763">
        <v>227676000</v>
      </c>
      <c r="D15" s="743">
        <v>226991000</v>
      </c>
      <c r="E15" s="743">
        <v>0</v>
      </c>
      <c r="F15" s="411" t="str">
        <f t="shared" si="3"/>
        <v/>
      </c>
      <c r="G15" s="411">
        <f t="shared" si="4"/>
        <v>1203170474.4780002</v>
      </c>
      <c r="H15" s="45">
        <f t="shared" si="0"/>
        <v>0</v>
      </c>
      <c r="I15" s="125" t="str">
        <f t="shared" si="1"/>
        <v/>
      </c>
      <c r="J15" s="684" t="str">
        <f t="shared" si="2"/>
        <v/>
      </c>
    </row>
    <row r="16" spans="1:10" ht="12.75" customHeight="1" x14ac:dyDescent="0.2">
      <c r="A16" s="40" t="s">
        <v>943</v>
      </c>
      <c r="B16" s="758">
        <v>36486409.166999996</v>
      </c>
      <c r="C16" s="763">
        <v>297703000</v>
      </c>
      <c r="D16" s="743">
        <v>278808000</v>
      </c>
      <c r="E16" s="743">
        <v>0</v>
      </c>
      <c r="F16" s="411" t="str">
        <f t="shared" si="3"/>
        <v/>
      </c>
      <c r="G16" s="411">
        <f t="shared" si="4"/>
        <v>1481978474.4780002</v>
      </c>
      <c r="H16" s="45">
        <f t="shared" si="0"/>
        <v>0</v>
      </c>
      <c r="I16" s="125" t="str">
        <f t="shared" si="1"/>
        <v/>
      </c>
      <c r="J16" s="684" t="str">
        <f t="shared" si="2"/>
        <v/>
      </c>
    </row>
    <row r="17" spans="1:10" ht="12.75" customHeight="1" x14ac:dyDescent="0.2">
      <c r="A17" s="248" t="s">
        <v>944</v>
      </c>
      <c r="B17" s="759">
        <v>155412588.42163199</v>
      </c>
      <c r="C17" s="767">
        <v>355259999.60000002</v>
      </c>
      <c r="D17" s="767">
        <v>348653637.52199984</v>
      </c>
      <c r="E17" s="767">
        <v>0</v>
      </c>
      <c r="F17" s="412" t="str">
        <f t="shared" si="3"/>
        <v/>
      </c>
      <c r="G17" s="412">
        <f t="shared" si="4"/>
        <v>1830632112</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1830632112</v>
      </c>
      <c r="E18" s="77">
        <f>SUM(E6:E17)</f>
        <v>533291659.26750004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2" t="s">
        <v>662</v>
      </c>
      <c r="B1" s="993"/>
      <c r="C1" s="993"/>
      <c r="D1" s="994"/>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M06 December</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97" t="s">
        <v>773</v>
      </c>
      <c r="B72" s="998"/>
      <c r="C72" s="998"/>
      <c r="D72" s="999"/>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95" t="s">
        <v>816</v>
      </c>
      <c r="B76" s="996"/>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4" activePane="bottomRight" state="frozen"/>
      <selection pane="topRight"/>
      <selection pane="bottomLeft"/>
      <selection pane="bottomRight" activeCell="G23" sqref="G23"/>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"&amp;S71Sa&amp; " - "&amp;Head57</f>
        <v>LIM354 Polokwane - Supporting Table SC13a Monthly Budget Statement - capital expenditure on new assets by asset class - M06 December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825724432</v>
      </c>
      <c r="F7" s="103">
        <f t="shared" si="0"/>
        <v>66379836.170499995</v>
      </c>
      <c r="G7" s="103">
        <f t="shared" si="0"/>
        <v>259124565.05600008</v>
      </c>
      <c r="H7" s="103">
        <f t="shared" si="0"/>
        <v>344051846.66666663</v>
      </c>
      <c r="I7" s="102">
        <f t="shared" ref="I7:I37" si="1">H7-G7</f>
        <v>84927281.610666543</v>
      </c>
      <c r="J7" s="588">
        <f t="shared" ref="J7:J37" si="2">IF(I7=0,"",I7/H7)</f>
        <v>0.24684442892395816</v>
      </c>
      <c r="K7" s="612">
        <f>K8+K13+K17+K27+K38+K45+K53+K63+K69</f>
        <v>825724427</v>
      </c>
    </row>
    <row r="8" spans="1:11" ht="12.75" customHeight="1" x14ac:dyDescent="0.2">
      <c r="A8" s="521" t="s">
        <v>1253</v>
      </c>
      <c r="B8" s="170"/>
      <c r="C8" s="686">
        <f t="shared" ref="C8:H8" si="3">SUM(C9:C12)</f>
        <v>109233945.61499999</v>
      </c>
      <c r="D8" s="618">
        <f t="shared" si="3"/>
        <v>270111528</v>
      </c>
      <c r="E8" s="617">
        <f t="shared" si="3"/>
        <v>261936580</v>
      </c>
      <c r="F8" s="617">
        <f t="shared" si="3"/>
        <v>9453778.7915000003</v>
      </c>
      <c r="G8" s="617">
        <f t="shared" si="3"/>
        <v>15306063.057500001</v>
      </c>
      <c r="H8" s="617">
        <f t="shared" si="3"/>
        <v>109140241.66666666</v>
      </c>
      <c r="I8" s="259">
        <f t="shared" si="1"/>
        <v>93834178.609166652</v>
      </c>
      <c r="J8" s="584">
        <f t="shared" si="2"/>
        <v>0.85975784161952484</v>
      </c>
      <c r="K8" s="619">
        <f>SUM(K9:K12)</f>
        <v>261936580</v>
      </c>
    </row>
    <row r="9" spans="1:11" ht="12.75" customHeight="1" x14ac:dyDescent="0.2">
      <c r="A9" s="583" t="s">
        <v>175</v>
      </c>
      <c r="B9" s="170"/>
      <c r="C9" s="758">
        <v>109233945.61499999</v>
      </c>
      <c r="D9" s="755">
        <v>270111528</v>
      </c>
      <c r="E9" s="743">
        <v>261936580</v>
      </c>
      <c r="F9" s="743">
        <v>9453778.7915000003</v>
      </c>
      <c r="G9" s="970">
        <f>F9+5852284.266</f>
        <v>15306063.057500001</v>
      </c>
      <c r="H9" s="970">
        <f>E9/12*5</f>
        <v>109140241.66666666</v>
      </c>
      <c r="I9" s="259">
        <f t="shared" si="1"/>
        <v>93834178.609166652</v>
      </c>
      <c r="J9" s="584">
        <f t="shared" si="2"/>
        <v>0.85975784161952484</v>
      </c>
      <c r="K9" s="745">
        <v>261936580</v>
      </c>
    </row>
    <row r="10" spans="1:11" ht="12.75" customHeight="1" x14ac:dyDescent="0.2">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29118837.0275</v>
      </c>
      <c r="D17" s="658">
        <f t="shared" si="6"/>
        <v>58247500</v>
      </c>
      <c r="E17" s="411">
        <f t="shared" si="6"/>
        <v>58247500</v>
      </c>
      <c r="F17" s="411">
        <f t="shared" si="6"/>
        <v>4136950.7749999999</v>
      </c>
      <c r="G17" s="411">
        <f t="shared" si="6"/>
        <v>4365168.2750000004</v>
      </c>
      <c r="H17" s="411">
        <f t="shared" si="6"/>
        <v>24269791.666666664</v>
      </c>
      <c r="I17" s="259">
        <f t="shared" si="1"/>
        <v>19904623.391666666</v>
      </c>
      <c r="J17" s="584">
        <f t="shared" si="2"/>
        <v>0.82013985389930899</v>
      </c>
      <c r="K17" s="651">
        <f>SUM(K18:K26)</f>
        <v>58247500</v>
      </c>
    </row>
    <row r="18" spans="1:11" ht="12.75" customHeight="1" x14ac:dyDescent="0.2">
      <c r="A18" s="583" t="s">
        <v>1262</v>
      </c>
      <c r="B18" s="170"/>
      <c r="C18" s="758"/>
      <c r="D18" s="755">
        <v>0</v>
      </c>
      <c r="E18" s="743">
        <v>0</v>
      </c>
      <c r="F18" s="743">
        <v>0</v>
      </c>
      <c r="G18" s="743">
        <v>0</v>
      </c>
      <c r="H18" s="743">
        <f t="shared" ref="H18:H26" si="7">D18/12*3</f>
        <v>0</v>
      </c>
      <c r="I18" s="259">
        <f t="shared" si="1"/>
        <v>0</v>
      </c>
      <c r="J18" s="584" t="str">
        <f t="shared" si="2"/>
        <v/>
      </c>
      <c r="K18" s="745">
        <f>E18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v>29118837.0275</v>
      </c>
      <c r="D20" s="755">
        <v>58247500</v>
      </c>
      <c r="E20" s="743">
        <v>58247500</v>
      </c>
      <c r="F20" s="743">
        <v>4136950.7749999999</v>
      </c>
      <c r="G20" s="743">
        <f>F20+228217.5</f>
        <v>4365168.2750000004</v>
      </c>
      <c r="H20" s="743">
        <f>E20/12*5</f>
        <v>24269791.666666664</v>
      </c>
      <c r="I20" s="259">
        <f t="shared" si="1"/>
        <v>19904623.391666666</v>
      </c>
      <c r="J20" s="584">
        <f t="shared" si="2"/>
        <v>0.82013985389930899</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209236654.32799998</v>
      </c>
      <c r="D27" s="658">
        <f t="shared" si="9"/>
        <v>335480100</v>
      </c>
      <c r="E27" s="411">
        <f t="shared" si="9"/>
        <v>322615104</v>
      </c>
      <c r="F27" s="411">
        <f t="shared" si="9"/>
        <v>22087272.841499999</v>
      </c>
      <c r="G27" s="411">
        <f t="shared" si="9"/>
        <v>96785189.726000071</v>
      </c>
      <c r="H27" s="411">
        <f t="shared" si="9"/>
        <v>134422960</v>
      </c>
      <c r="I27" s="259">
        <f t="shared" si="1"/>
        <v>37637770.273999929</v>
      </c>
      <c r="J27" s="584">
        <f t="shared" si="2"/>
        <v>0.2799951010898728</v>
      </c>
      <c r="K27" s="651">
        <f>SUM(K28:K37)</f>
        <v>322615104</v>
      </c>
    </row>
    <row r="28" spans="1:11" ht="12.75" customHeight="1" x14ac:dyDescent="0.2">
      <c r="A28" s="583" t="s">
        <v>1271</v>
      </c>
      <c r="B28" s="170"/>
      <c r="C28" s="758"/>
      <c r="D28" s="755">
        <v>0</v>
      </c>
      <c r="E28" s="743">
        <v>0</v>
      </c>
      <c r="F28" s="743">
        <v>0</v>
      </c>
      <c r="G28" s="743">
        <v>0</v>
      </c>
      <c r="H28" s="743">
        <f t="shared" ref="H28:H37" si="10">D28/12*3</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si="10"/>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0"/>
        <v>0</v>
      </c>
      <c r="I34" s="259">
        <f t="shared" si="1"/>
        <v>0</v>
      </c>
      <c r="J34" s="584" t="str">
        <f t="shared" si="2"/>
        <v/>
      </c>
      <c r="K34" s="745">
        <v>0</v>
      </c>
    </row>
    <row r="35" spans="1:11" ht="12.75" customHeight="1" x14ac:dyDescent="0.2">
      <c r="A35" s="583" t="s">
        <v>1278</v>
      </c>
      <c r="B35" s="170"/>
      <c r="C35" s="758">
        <v>209236654.32799998</v>
      </c>
      <c r="D35" s="755">
        <v>335480100</v>
      </c>
      <c r="E35" s="743">
        <v>322615104</v>
      </c>
      <c r="F35" s="743">
        <v>22087272.841499999</v>
      </c>
      <c r="G35" s="743">
        <v>96785189.726000071</v>
      </c>
      <c r="H35" s="743">
        <f>E35/12*5</f>
        <v>134422960</v>
      </c>
      <c r="I35" s="259">
        <f t="shared" si="1"/>
        <v>37637770.273999929</v>
      </c>
      <c r="J35" s="584">
        <f t="shared" si="2"/>
        <v>0.2799951010898728</v>
      </c>
      <c r="K35" s="745">
        <v>322615104</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178551370.0205</v>
      </c>
      <c r="D38" s="658">
        <f t="shared" si="12"/>
        <v>176046835</v>
      </c>
      <c r="E38" s="411">
        <f t="shared" si="12"/>
        <v>176046840</v>
      </c>
      <c r="F38" s="411">
        <f t="shared" si="12"/>
        <v>30701833.762499999</v>
      </c>
      <c r="G38" s="411">
        <f t="shared" si="12"/>
        <v>141580427.9975</v>
      </c>
      <c r="H38" s="411">
        <f t="shared" si="12"/>
        <v>73352850</v>
      </c>
      <c r="I38" s="259">
        <f t="shared" ref="I38:I44" si="13">H38-G38</f>
        <v>-68227577.997500002</v>
      </c>
      <c r="J38" s="584">
        <f t="shared" ref="J38:J44" si="14">IF(I38=0,"",I38/H38)</f>
        <v>-0.93012852257955903</v>
      </c>
      <c r="K38" s="651">
        <f>SUM(K39:K44)</f>
        <v>176046835</v>
      </c>
    </row>
    <row r="39" spans="1:11" ht="12.75" customHeight="1" x14ac:dyDescent="0.2">
      <c r="A39" s="583" t="s">
        <v>1281</v>
      </c>
      <c r="B39" s="170"/>
      <c r="C39" s="758"/>
      <c r="D39" s="755">
        <v>0</v>
      </c>
      <c r="E39" s="743">
        <v>0</v>
      </c>
      <c r="F39" s="743">
        <v>0</v>
      </c>
      <c r="G39" s="743">
        <v>0</v>
      </c>
      <c r="H39" s="743">
        <f t="shared" ref="H39:H44" si="15">E39/12*5</f>
        <v>0</v>
      </c>
      <c r="I39" s="259">
        <f t="shared" si="13"/>
        <v>0</v>
      </c>
      <c r="J39" s="584" t="str">
        <f t="shared" si="14"/>
        <v/>
      </c>
      <c r="K39" s="745">
        <f>D39</f>
        <v>0</v>
      </c>
    </row>
    <row r="40" spans="1:11" ht="12.75" customHeight="1" x14ac:dyDescent="0.2">
      <c r="A40" s="583" t="s">
        <v>141</v>
      </c>
      <c r="B40" s="170"/>
      <c r="C40" s="758"/>
      <c r="D40" s="755">
        <v>0</v>
      </c>
      <c r="E40" s="743"/>
      <c r="F40" s="743">
        <v>0</v>
      </c>
      <c r="G40" s="743">
        <v>0</v>
      </c>
      <c r="H40" s="743">
        <f t="shared" si="15"/>
        <v>0</v>
      </c>
      <c r="I40" s="259">
        <f>H40-G40</f>
        <v>0</v>
      </c>
      <c r="J40" s="584" t="str">
        <f>IF(I40=0,"",I40/H40)</f>
        <v/>
      </c>
      <c r="K40" s="745"/>
    </row>
    <row r="41" spans="1:11" ht="12.75" customHeight="1" x14ac:dyDescent="0.2">
      <c r="A41" s="583" t="s">
        <v>1282</v>
      </c>
      <c r="B41" s="170"/>
      <c r="C41" s="758">
        <v>178551370.0205</v>
      </c>
      <c r="D41" s="755">
        <v>176046835</v>
      </c>
      <c r="E41" s="743">
        <v>176046840</v>
      </c>
      <c r="F41" s="743">
        <v>30701833.762499999</v>
      </c>
      <c r="G41" s="743">
        <f>110878594.235+F41</f>
        <v>141580427.9975</v>
      </c>
      <c r="H41" s="743">
        <f t="shared" si="15"/>
        <v>73352850</v>
      </c>
      <c r="I41" s="259">
        <f>H41-G41</f>
        <v>-68227577.997500002</v>
      </c>
      <c r="J41" s="584">
        <f>IF(I41=0,"",I41/H41)</f>
        <v>-0.93012852257955903</v>
      </c>
      <c r="K41" s="745">
        <v>176046835</v>
      </c>
    </row>
    <row r="42" spans="1:11" ht="12.75" customHeight="1" x14ac:dyDescent="0.2">
      <c r="A42" s="583" t="s">
        <v>1283</v>
      </c>
      <c r="B42" s="170"/>
      <c r="C42" s="758"/>
      <c r="D42" s="755">
        <v>0</v>
      </c>
      <c r="E42" s="743">
        <v>0</v>
      </c>
      <c r="F42" s="743">
        <v>0</v>
      </c>
      <c r="G42" s="743">
        <v>0</v>
      </c>
      <c r="H42" s="743">
        <f t="shared" si="15"/>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5"/>
        <v>0</v>
      </c>
      <c r="I43" s="259">
        <f t="shared" si="13"/>
        <v>0</v>
      </c>
      <c r="J43" s="584" t="str">
        <f t="shared" si="14"/>
        <v/>
      </c>
      <c r="K43" s="745">
        <f>D43</f>
        <v>0</v>
      </c>
    </row>
    <row r="44" spans="1:11" ht="12.75" customHeight="1" x14ac:dyDescent="0.2">
      <c r="A44" s="583" t="s">
        <v>1256</v>
      </c>
      <c r="B44" s="170"/>
      <c r="C44" s="758"/>
      <c r="D44" s="755">
        <v>0</v>
      </c>
      <c r="E44" s="743">
        <v>0</v>
      </c>
      <c r="F44" s="743">
        <v>0</v>
      </c>
      <c r="G44" s="743">
        <v>0</v>
      </c>
      <c r="H44" s="743">
        <f t="shared" si="15"/>
        <v>0</v>
      </c>
      <c r="I44" s="259">
        <f t="shared" si="13"/>
        <v>0</v>
      </c>
      <c r="J44" s="584" t="str">
        <f t="shared" si="14"/>
        <v/>
      </c>
      <c r="K44" s="745">
        <f>D44</f>
        <v>0</v>
      </c>
    </row>
    <row r="45" spans="1:11" ht="12.75" customHeight="1" x14ac:dyDescent="0.2">
      <c r="A45" s="520" t="s">
        <v>1285</v>
      </c>
      <c r="B45" s="170"/>
      <c r="C45" s="657">
        <f t="shared" ref="C45:H45" si="16">SUM(C46:C52)</f>
        <v>0</v>
      </c>
      <c r="D45" s="658">
        <f t="shared" si="16"/>
        <v>13378400</v>
      </c>
      <c r="E45" s="411">
        <f t="shared" si="16"/>
        <v>6878408</v>
      </c>
      <c r="F45" s="411">
        <f t="shared" si="16"/>
        <v>0</v>
      </c>
      <c r="G45" s="411">
        <f t="shared" si="16"/>
        <v>1087716</v>
      </c>
      <c r="H45" s="411">
        <f t="shared" si="16"/>
        <v>2866003.333333333</v>
      </c>
      <c r="I45" s="259">
        <f t="shared" ref="I45:I68" si="17">H45-G45</f>
        <v>1778287.333333333</v>
      </c>
      <c r="J45" s="584">
        <f t="shared" ref="J45:J68" si="18">IF(I45=0,"",I45/H45)</f>
        <v>0.62047636604284007</v>
      </c>
      <c r="K45" s="651">
        <f>SUM(K46:K52)</f>
        <v>6878408</v>
      </c>
    </row>
    <row r="46" spans="1:11" ht="12.75" customHeight="1" x14ac:dyDescent="0.2">
      <c r="A46" s="583" t="s">
        <v>1286</v>
      </c>
      <c r="B46" s="170"/>
      <c r="C46" s="758"/>
      <c r="D46" s="755">
        <v>0</v>
      </c>
      <c r="E46" s="743">
        <v>0</v>
      </c>
      <c r="F46" s="743">
        <v>0</v>
      </c>
      <c r="G46" s="743">
        <v>0</v>
      </c>
      <c r="H46" s="743">
        <f t="shared" ref="H46:H52" si="19">E46/12*5</f>
        <v>0</v>
      </c>
      <c r="I46" s="259">
        <f t="shared" si="17"/>
        <v>0</v>
      </c>
      <c r="J46" s="584" t="str">
        <f t="shared" si="18"/>
        <v/>
      </c>
      <c r="K46" s="745">
        <f>D46</f>
        <v>0</v>
      </c>
    </row>
    <row r="47" spans="1:11" ht="12.75" customHeight="1" x14ac:dyDescent="0.2">
      <c r="A47" s="583" t="s">
        <v>1287</v>
      </c>
      <c r="B47" s="170"/>
      <c r="C47" s="758"/>
      <c r="D47" s="755">
        <v>13378400</v>
      </c>
      <c r="E47" s="743">
        <v>6878408</v>
      </c>
      <c r="F47" s="743">
        <v>0</v>
      </c>
      <c r="G47" s="743">
        <v>1087716</v>
      </c>
      <c r="H47" s="743">
        <f t="shared" si="19"/>
        <v>2866003.333333333</v>
      </c>
      <c r="I47" s="259">
        <f t="shared" si="17"/>
        <v>1778287.333333333</v>
      </c>
      <c r="J47" s="584">
        <f t="shared" si="18"/>
        <v>0.62047636604284007</v>
      </c>
      <c r="K47" s="745">
        <v>6878408</v>
      </c>
    </row>
    <row r="48" spans="1:11" ht="12.75" customHeight="1" x14ac:dyDescent="0.2">
      <c r="A48" s="583" t="s">
        <v>1288</v>
      </c>
      <c r="B48" s="170"/>
      <c r="C48" s="758"/>
      <c r="D48" s="755">
        <v>0</v>
      </c>
      <c r="E48" s="743">
        <v>0</v>
      </c>
      <c r="F48" s="743">
        <v>0</v>
      </c>
      <c r="G48" s="743">
        <v>0</v>
      </c>
      <c r="H48" s="743">
        <f t="shared" si="19"/>
        <v>0</v>
      </c>
      <c r="I48" s="259">
        <f>H48-G48</f>
        <v>0</v>
      </c>
      <c r="J48" s="584" t="str">
        <f>IF(I48=0,"",I48/H48)</f>
        <v/>
      </c>
      <c r="K48" s="745">
        <f t="shared" ref="K48:K52" si="20">D48</f>
        <v>0</v>
      </c>
    </row>
    <row r="49" spans="1:11" ht="12.75" customHeight="1" x14ac:dyDescent="0.2">
      <c r="A49" s="583" t="s">
        <v>1289</v>
      </c>
      <c r="B49" s="170"/>
      <c r="C49" s="758"/>
      <c r="D49" s="755">
        <v>0</v>
      </c>
      <c r="E49" s="743">
        <v>0</v>
      </c>
      <c r="F49" s="743">
        <v>0</v>
      </c>
      <c r="G49" s="743">
        <v>0</v>
      </c>
      <c r="H49" s="743">
        <f t="shared" si="19"/>
        <v>0</v>
      </c>
      <c r="I49" s="259">
        <f t="shared" si="17"/>
        <v>0</v>
      </c>
      <c r="J49" s="584" t="str">
        <f t="shared" si="18"/>
        <v/>
      </c>
      <c r="K49" s="745">
        <f t="shared" si="20"/>
        <v>0</v>
      </c>
    </row>
    <row r="50" spans="1:11" ht="12.75" customHeight="1" x14ac:dyDescent="0.2">
      <c r="A50" s="583" t="s">
        <v>1290</v>
      </c>
      <c r="B50" s="170"/>
      <c r="C50" s="758"/>
      <c r="D50" s="755">
        <v>0</v>
      </c>
      <c r="E50" s="743">
        <v>0</v>
      </c>
      <c r="F50" s="743">
        <v>0</v>
      </c>
      <c r="G50" s="743">
        <v>0</v>
      </c>
      <c r="H50" s="743">
        <f t="shared" si="19"/>
        <v>0</v>
      </c>
      <c r="I50" s="259">
        <f t="shared" si="17"/>
        <v>0</v>
      </c>
      <c r="J50" s="584" t="str">
        <f t="shared" si="18"/>
        <v/>
      </c>
      <c r="K50" s="745">
        <f t="shared" si="20"/>
        <v>0</v>
      </c>
    </row>
    <row r="51" spans="1:11" ht="12.75" customHeight="1" x14ac:dyDescent="0.2">
      <c r="A51" s="583" t="s">
        <v>1291</v>
      </c>
      <c r="B51" s="170"/>
      <c r="C51" s="758"/>
      <c r="D51" s="755">
        <v>0</v>
      </c>
      <c r="E51" s="743">
        <v>0</v>
      </c>
      <c r="F51" s="743">
        <v>0</v>
      </c>
      <c r="G51" s="743">
        <v>0</v>
      </c>
      <c r="H51" s="743">
        <f t="shared" si="19"/>
        <v>0</v>
      </c>
      <c r="I51" s="259">
        <f t="shared" si="17"/>
        <v>0</v>
      </c>
      <c r="J51" s="584" t="str">
        <f t="shared" si="18"/>
        <v/>
      </c>
      <c r="K51" s="745">
        <f>E51</f>
        <v>0</v>
      </c>
    </row>
    <row r="52" spans="1:11" ht="12.75" customHeight="1" x14ac:dyDescent="0.2">
      <c r="A52" s="583" t="s">
        <v>1256</v>
      </c>
      <c r="B52" s="170"/>
      <c r="C52" s="758"/>
      <c r="D52" s="755">
        <v>0</v>
      </c>
      <c r="E52" s="743">
        <v>0</v>
      </c>
      <c r="F52" s="743">
        <v>0</v>
      </c>
      <c r="G52" s="743">
        <v>0</v>
      </c>
      <c r="H52" s="743">
        <f t="shared" si="19"/>
        <v>0</v>
      </c>
      <c r="I52" s="259">
        <f t="shared" si="17"/>
        <v>0</v>
      </c>
      <c r="J52" s="584" t="str">
        <f t="shared" si="18"/>
        <v/>
      </c>
      <c r="K52" s="745">
        <f t="shared" si="20"/>
        <v>0</v>
      </c>
    </row>
    <row r="53" spans="1:11" ht="12.75" customHeight="1" x14ac:dyDescent="0.2">
      <c r="A53" s="521" t="s">
        <v>1292</v>
      </c>
      <c r="B53" s="170"/>
      <c r="C53" s="657">
        <f t="shared" ref="C53:H53" si="21">SUM(C54:C62)</f>
        <v>0</v>
      </c>
      <c r="D53" s="658">
        <f t="shared" si="21"/>
        <v>0</v>
      </c>
      <c r="E53" s="411">
        <f t="shared" si="21"/>
        <v>0</v>
      </c>
      <c r="F53" s="411">
        <f t="shared" si="21"/>
        <v>0</v>
      </c>
      <c r="G53" s="411">
        <f t="shared" si="21"/>
        <v>0</v>
      </c>
      <c r="H53" s="411">
        <f t="shared" si="21"/>
        <v>0</v>
      </c>
      <c r="I53" s="259">
        <f t="shared" si="17"/>
        <v>0</v>
      </c>
      <c r="J53" s="584" t="str">
        <f t="shared" si="18"/>
        <v/>
      </c>
      <c r="K53" s="651">
        <f>SUM(K54:K62)</f>
        <v>0</v>
      </c>
    </row>
    <row r="54" spans="1:11" ht="12.75" customHeight="1" x14ac:dyDescent="0.2">
      <c r="A54" s="583" t="s">
        <v>1293</v>
      </c>
      <c r="B54" s="170"/>
      <c r="C54" s="758">
        <v>0</v>
      </c>
      <c r="D54" s="755">
        <v>0</v>
      </c>
      <c r="E54" s="743">
        <v>0</v>
      </c>
      <c r="F54" s="743">
        <v>0</v>
      </c>
      <c r="G54" s="743">
        <v>0</v>
      </c>
      <c r="H54" s="743">
        <v>0</v>
      </c>
      <c r="I54" s="259">
        <f t="shared" si="17"/>
        <v>0</v>
      </c>
      <c r="J54" s="584" t="str">
        <f t="shared" si="18"/>
        <v/>
      </c>
      <c r="K54" s="745">
        <v>0</v>
      </c>
    </row>
    <row r="55" spans="1:11" ht="12.75" customHeight="1" x14ac:dyDescent="0.2">
      <c r="A55" s="583" t="s">
        <v>1294</v>
      </c>
      <c r="B55" s="170"/>
      <c r="C55" s="758">
        <v>0</v>
      </c>
      <c r="D55" s="755">
        <v>0</v>
      </c>
      <c r="E55" s="743">
        <v>0</v>
      </c>
      <c r="F55" s="743">
        <v>0</v>
      </c>
      <c r="G55" s="743">
        <v>0</v>
      </c>
      <c r="H55" s="743">
        <v>0</v>
      </c>
      <c r="I55" s="259">
        <f t="shared" si="17"/>
        <v>0</v>
      </c>
      <c r="J55" s="584" t="str">
        <f t="shared" si="18"/>
        <v/>
      </c>
      <c r="K55" s="745">
        <v>0</v>
      </c>
    </row>
    <row r="56" spans="1:11" ht="12.75" customHeight="1" x14ac:dyDescent="0.2">
      <c r="A56" s="583" t="s">
        <v>1295</v>
      </c>
      <c r="B56" s="170"/>
      <c r="C56" s="758">
        <v>0</v>
      </c>
      <c r="D56" s="755">
        <v>0</v>
      </c>
      <c r="E56" s="743">
        <v>0</v>
      </c>
      <c r="F56" s="743">
        <v>0</v>
      </c>
      <c r="G56" s="743">
        <v>0</v>
      </c>
      <c r="H56" s="743">
        <v>0</v>
      </c>
      <c r="I56" s="259">
        <f t="shared" si="17"/>
        <v>0</v>
      </c>
      <c r="J56" s="584" t="str">
        <f t="shared" si="18"/>
        <v/>
      </c>
      <c r="K56" s="745">
        <v>0</v>
      </c>
    </row>
    <row r="57" spans="1:11" ht="12.75" customHeight="1" x14ac:dyDescent="0.2">
      <c r="A57" s="583" t="s">
        <v>1258</v>
      </c>
      <c r="B57" s="170"/>
      <c r="C57" s="758">
        <v>0</v>
      </c>
      <c r="D57" s="755">
        <v>0</v>
      </c>
      <c r="E57" s="743">
        <v>0</v>
      </c>
      <c r="F57" s="743">
        <v>0</v>
      </c>
      <c r="G57" s="743">
        <v>0</v>
      </c>
      <c r="H57" s="743">
        <v>0</v>
      </c>
      <c r="I57" s="259">
        <f t="shared" si="17"/>
        <v>0</v>
      </c>
      <c r="J57" s="584" t="str">
        <f t="shared" si="18"/>
        <v/>
      </c>
      <c r="K57" s="745">
        <v>0</v>
      </c>
    </row>
    <row r="58" spans="1:11" ht="12.75" customHeight="1" x14ac:dyDescent="0.2">
      <c r="A58" s="583" t="s">
        <v>1259</v>
      </c>
      <c r="B58" s="170"/>
      <c r="C58" s="758">
        <v>0</v>
      </c>
      <c r="D58" s="755">
        <v>0</v>
      </c>
      <c r="E58" s="743">
        <v>0</v>
      </c>
      <c r="F58" s="743">
        <v>0</v>
      </c>
      <c r="G58" s="743">
        <v>0</v>
      </c>
      <c r="H58" s="743">
        <v>0</v>
      </c>
      <c r="I58" s="259">
        <f t="shared" si="17"/>
        <v>0</v>
      </c>
      <c r="J58" s="584" t="str">
        <f t="shared" si="18"/>
        <v/>
      </c>
      <c r="K58" s="745">
        <v>0</v>
      </c>
    </row>
    <row r="59" spans="1:11" ht="12.75" customHeight="1" x14ac:dyDescent="0.2">
      <c r="A59" s="583" t="s">
        <v>1260</v>
      </c>
      <c r="B59" s="170"/>
      <c r="C59" s="758">
        <v>0</v>
      </c>
      <c r="D59" s="755">
        <v>0</v>
      </c>
      <c r="E59" s="743">
        <v>0</v>
      </c>
      <c r="F59" s="743">
        <v>0</v>
      </c>
      <c r="G59" s="743">
        <v>0</v>
      </c>
      <c r="H59" s="743">
        <v>0</v>
      </c>
      <c r="I59" s="259">
        <f t="shared" si="17"/>
        <v>0</v>
      </c>
      <c r="J59" s="584" t="str">
        <f t="shared" si="18"/>
        <v/>
      </c>
      <c r="K59" s="745">
        <v>0</v>
      </c>
    </row>
    <row r="60" spans="1:11" ht="12.75" customHeight="1" x14ac:dyDescent="0.2">
      <c r="A60" s="583" t="s">
        <v>1266</v>
      </c>
      <c r="B60" s="170"/>
      <c r="C60" s="758">
        <v>0</v>
      </c>
      <c r="D60" s="755">
        <v>0</v>
      </c>
      <c r="E60" s="743">
        <v>0</v>
      </c>
      <c r="F60" s="743">
        <v>0</v>
      </c>
      <c r="G60" s="743">
        <v>0</v>
      </c>
      <c r="H60" s="743">
        <v>0</v>
      </c>
      <c r="I60" s="259">
        <f t="shared" si="17"/>
        <v>0</v>
      </c>
      <c r="J60" s="584" t="str">
        <f t="shared" si="18"/>
        <v/>
      </c>
      <c r="K60" s="745">
        <v>0</v>
      </c>
    </row>
    <row r="61" spans="1:11" ht="12.75" customHeight="1" x14ac:dyDescent="0.2">
      <c r="A61" s="583" t="s">
        <v>1269</v>
      </c>
      <c r="B61" s="170"/>
      <c r="C61" s="758">
        <v>0</v>
      </c>
      <c r="D61" s="755">
        <v>0</v>
      </c>
      <c r="E61" s="743">
        <v>0</v>
      </c>
      <c r="F61" s="743">
        <v>0</v>
      </c>
      <c r="G61" s="743">
        <v>0</v>
      </c>
      <c r="H61" s="743">
        <v>0</v>
      </c>
      <c r="I61" s="259">
        <f t="shared" si="17"/>
        <v>0</v>
      </c>
      <c r="J61" s="584" t="str">
        <f t="shared" si="18"/>
        <v/>
      </c>
      <c r="K61" s="745">
        <v>0</v>
      </c>
    </row>
    <row r="62" spans="1:11" ht="12.75" customHeight="1" x14ac:dyDescent="0.2">
      <c r="A62" s="583" t="s">
        <v>1256</v>
      </c>
      <c r="B62" s="170"/>
      <c r="C62" s="758">
        <v>0</v>
      </c>
      <c r="D62" s="755">
        <v>0</v>
      </c>
      <c r="E62" s="743">
        <v>0</v>
      </c>
      <c r="F62" s="743">
        <v>0</v>
      </c>
      <c r="G62" s="743">
        <v>0</v>
      </c>
      <c r="H62" s="743">
        <v>0</v>
      </c>
      <c r="I62" s="259">
        <f t="shared" si="17"/>
        <v>0</v>
      </c>
      <c r="J62" s="584" t="str">
        <f t="shared" si="18"/>
        <v/>
      </c>
      <c r="K62" s="745">
        <v>0</v>
      </c>
    </row>
    <row r="63" spans="1:11" ht="12.75" customHeight="1" x14ac:dyDescent="0.2">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7"/>
        <v>0</v>
      </c>
      <c r="J63" s="584" t="str">
        <f t="shared" si="18"/>
        <v/>
      </c>
      <c r="K63" s="651">
        <f>SUM(K64:K68)</f>
        <v>0</v>
      </c>
    </row>
    <row r="64" spans="1:11" ht="12.75" customHeight="1" x14ac:dyDescent="0.2">
      <c r="A64" s="583" t="s">
        <v>1297</v>
      </c>
      <c r="B64" s="170"/>
      <c r="C64" s="758">
        <v>0</v>
      </c>
      <c r="D64" s="755">
        <v>0</v>
      </c>
      <c r="E64" s="743">
        <v>0</v>
      </c>
      <c r="F64" s="743">
        <v>0</v>
      </c>
      <c r="G64" s="743">
        <v>0</v>
      </c>
      <c r="H64" s="743">
        <v>0</v>
      </c>
      <c r="I64" s="259">
        <f t="shared" si="17"/>
        <v>0</v>
      </c>
      <c r="J64" s="584" t="str">
        <f t="shared" si="18"/>
        <v/>
      </c>
      <c r="K64" s="745">
        <v>0</v>
      </c>
    </row>
    <row r="65" spans="1:11" ht="12.75" customHeight="1" x14ac:dyDescent="0.2">
      <c r="A65" s="583" t="s">
        <v>1298</v>
      </c>
      <c r="B65" s="170"/>
      <c r="C65" s="758">
        <v>0</v>
      </c>
      <c r="D65" s="755">
        <v>0</v>
      </c>
      <c r="E65" s="743">
        <v>0</v>
      </c>
      <c r="F65" s="743">
        <v>0</v>
      </c>
      <c r="G65" s="743">
        <v>0</v>
      </c>
      <c r="H65" s="743">
        <v>0</v>
      </c>
      <c r="I65" s="259">
        <f t="shared" si="17"/>
        <v>0</v>
      </c>
      <c r="J65" s="584" t="str">
        <f t="shared" si="18"/>
        <v/>
      </c>
      <c r="K65" s="745">
        <v>0</v>
      </c>
    </row>
    <row r="66" spans="1:11" ht="12.75" customHeight="1" x14ac:dyDescent="0.2">
      <c r="A66" s="583" t="s">
        <v>1299</v>
      </c>
      <c r="B66" s="170"/>
      <c r="C66" s="758">
        <v>0</v>
      </c>
      <c r="D66" s="755">
        <v>0</v>
      </c>
      <c r="E66" s="743">
        <v>0</v>
      </c>
      <c r="F66" s="743">
        <v>0</v>
      </c>
      <c r="G66" s="743">
        <v>0</v>
      </c>
      <c r="H66" s="743">
        <v>0</v>
      </c>
      <c r="I66" s="259">
        <f t="shared" si="17"/>
        <v>0</v>
      </c>
      <c r="J66" s="584" t="str">
        <f t="shared" si="18"/>
        <v/>
      </c>
      <c r="K66" s="745">
        <v>0</v>
      </c>
    </row>
    <row r="67" spans="1:11" ht="12.75" customHeight="1" x14ac:dyDescent="0.2">
      <c r="A67" s="583" t="s">
        <v>1300</v>
      </c>
      <c r="B67" s="170"/>
      <c r="C67" s="758">
        <v>0</v>
      </c>
      <c r="D67" s="755">
        <v>0</v>
      </c>
      <c r="E67" s="743">
        <v>0</v>
      </c>
      <c r="F67" s="743">
        <v>0</v>
      </c>
      <c r="G67" s="743">
        <v>0</v>
      </c>
      <c r="H67" s="743">
        <v>0</v>
      </c>
      <c r="I67" s="259">
        <f t="shared" si="17"/>
        <v>0</v>
      </c>
      <c r="J67" s="584" t="str">
        <f t="shared" si="18"/>
        <v/>
      </c>
      <c r="K67" s="745">
        <v>0</v>
      </c>
    </row>
    <row r="68" spans="1:11" ht="12.75" customHeight="1" x14ac:dyDescent="0.2">
      <c r="A68" s="583" t="s">
        <v>1256</v>
      </c>
      <c r="B68" s="170"/>
      <c r="C68" s="758">
        <v>0</v>
      </c>
      <c r="D68" s="755">
        <v>0</v>
      </c>
      <c r="E68" s="743">
        <v>0</v>
      </c>
      <c r="F68" s="743">
        <v>0</v>
      </c>
      <c r="G68" s="743">
        <v>0</v>
      </c>
      <c r="H68" s="743">
        <v>0</v>
      </c>
      <c r="I68" s="259">
        <f t="shared" si="17"/>
        <v>0</v>
      </c>
      <c r="J68" s="584" t="str">
        <f t="shared" si="18"/>
        <v/>
      </c>
      <c r="K68" s="745">
        <v>0</v>
      </c>
    </row>
    <row r="69" spans="1:11" ht="12.75" customHeight="1" x14ac:dyDescent="0.2">
      <c r="A69" s="521" t="s">
        <v>1301</v>
      </c>
      <c r="B69" s="170"/>
      <c r="C69" s="657">
        <f t="shared" ref="C69:H69" si="23">SUM(C70:C73)</f>
        <v>0</v>
      </c>
      <c r="D69" s="658">
        <f t="shared" si="23"/>
        <v>268000.00000000006</v>
      </c>
      <c r="E69" s="411">
        <f t="shared" si="23"/>
        <v>0</v>
      </c>
      <c r="F69" s="411">
        <f t="shared" si="23"/>
        <v>0</v>
      </c>
      <c r="G69" s="411">
        <f t="shared" si="23"/>
        <v>0</v>
      </c>
      <c r="H69" s="411">
        <f t="shared" si="23"/>
        <v>0</v>
      </c>
      <c r="I69" s="259">
        <f>H69-G69</f>
        <v>0</v>
      </c>
      <c r="J69" s="584" t="str">
        <f t="shared" ref="J69:J75" si="24">IF(I69=0,"",I69/H69)</f>
        <v/>
      </c>
      <c r="K69" s="651">
        <f>SUM(K70:K73)</f>
        <v>0</v>
      </c>
    </row>
    <row r="70" spans="1:11" ht="12.75" customHeight="1" x14ac:dyDescent="0.2">
      <c r="A70" s="583" t="s">
        <v>1302</v>
      </c>
      <c r="B70" s="170"/>
      <c r="C70" s="758">
        <v>0</v>
      </c>
      <c r="D70" s="755">
        <v>0</v>
      </c>
      <c r="E70" s="743">
        <v>0</v>
      </c>
      <c r="F70" s="743">
        <v>0</v>
      </c>
      <c r="G70" s="743">
        <v>0</v>
      </c>
      <c r="H70" s="743">
        <v>0</v>
      </c>
      <c r="I70" s="259">
        <f>H70-G70</f>
        <v>0</v>
      </c>
      <c r="J70" s="584" t="str">
        <f t="shared" si="24"/>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4"/>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4"/>
        <v/>
      </c>
      <c r="K72" s="745">
        <v>0</v>
      </c>
    </row>
    <row r="73" spans="1:11" ht="12.75" customHeight="1" x14ac:dyDescent="0.2">
      <c r="A73" s="583" t="s">
        <v>1256</v>
      </c>
      <c r="B73" s="170"/>
      <c r="C73" s="758">
        <v>0</v>
      </c>
      <c r="D73" s="755">
        <v>268000.00000000006</v>
      </c>
      <c r="E73" s="743">
        <v>0</v>
      </c>
      <c r="F73" s="743">
        <v>0</v>
      </c>
      <c r="G73" s="743">
        <v>0</v>
      </c>
      <c r="H73" s="980">
        <f>E73/12*5</f>
        <v>0</v>
      </c>
      <c r="I73" s="259">
        <f>H73-G73</f>
        <v>0</v>
      </c>
      <c r="J73" s="584" t="str">
        <f t="shared" si="24"/>
        <v/>
      </c>
      <c r="K73" s="745">
        <v>0</v>
      </c>
    </row>
    <row r="74" spans="1:11" ht="5.25" customHeight="1" x14ac:dyDescent="0.2">
      <c r="A74" s="583"/>
      <c r="B74" s="170"/>
      <c r="C74" s="135"/>
      <c r="D74" s="47"/>
      <c r="E74" s="45"/>
      <c r="F74" s="45"/>
      <c r="G74" s="45"/>
      <c r="H74" s="45"/>
      <c r="I74" s="259"/>
      <c r="J74" s="584" t="str">
        <f t="shared" si="24"/>
        <v/>
      </c>
      <c r="K74" s="145"/>
    </row>
    <row r="75" spans="1:11" ht="12.75" customHeight="1" x14ac:dyDescent="0.2">
      <c r="A75" s="36" t="s">
        <v>1325</v>
      </c>
      <c r="B75" s="170"/>
      <c r="C75" s="585">
        <f t="shared" ref="C75:H75" si="25">+C76+C99</f>
        <v>372909775.48695356</v>
      </c>
      <c r="D75" s="586">
        <f t="shared" si="25"/>
        <v>293020450</v>
      </c>
      <c r="E75" s="587">
        <f t="shared" si="25"/>
        <v>281279444</v>
      </c>
      <c r="F75" s="587">
        <f t="shared" si="25"/>
        <v>8016885.8880000003</v>
      </c>
      <c r="G75" s="587">
        <f t="shared" si="25"/>
        <v>10297607.023499999</v>
      </c>
      <c r="H75" s="587">
        <f t="shared" si="25"/>
        <v>117199768.33333334</v>
      </c>
      <c r="I75" s="587">
        <f>H75-G75</f>
        <v>106902161.30983335</v>
      </c>
      <c r="J75" s="588">
        <f t="shared" si="24"/>
        <v>0.91213628516558076</v>
      </c>
      <c r="K75" s="589">
        <f>+K76+K99</f>
        <v>281279444</v>
      </c>
    </row>
    <row r="76" spans="1:11" ht="12.75" customHeight="1" x14ac:dyDescent="0.2">
      <c r="A76" s="521" t="s">
        <v>1305</v>
      </c>
      <c r="B76" s="170"/>
      <c r="C76" s="657">
        <f t="shared" ref="C76:H76" si="26">SUM(C77:C98)</f>
        <v>314674364.72836906</v>
      </c>
      <c r="D76" s="658">
        <f t="shared" si="26"/>
        <v>238480950</v>
      </c>
      <c r="E76" s="411">
        <f t="shared" si="26"/>
        <v>226739948</v>
      </c>
      <c r="F76" s="411">
        <f t="shared" si="26"/>
        <v>4298050.3880000003</v>
      </c>
      <c r="G76" s="411">
        <f t="shared" si="26"/>
        <v>4717996.7734999992</v>
      </c>
      <c r="H76" s="411">
        <f t="shared" si="26"/>
        <v>94474978.333333343</v>
      </c>
      <c r="I76" s="259">
        <f t="shared" ref="I76:I87" si="27">H76-G76</f>
        <v>89756981.559833348</v>
      </c>
      <c r="J76" s="584">
        <f t="shared" ref="J76:J87" si="28">IF(I76=0,"",I76/H76)</f>
        <v>0.95006088536105693</v>
      </c>
      <c r="K76" s="651">
        <f>SUM(K77:K98)</f>
        <v>226739948</v>
      </c>
    </row>
    <row r="77" spans="1:11" ht="12.75" customHeight="1" x14ac:dyDescent="0.2">
      <c r="A77" s="583" t="s">
        <v>1306</v>
      </c>
      <c r="B77" s="170"/>
      <c r="C77" s="758">
        <v>0</v>
      </c>
      <c r="D77" s="763">
        <v>4500000</v>
      </c>
      <c r="E77" s="743">
        <v>4500000</v>
      </c>
      <c r="F77" s="743">
        <v>0</v>
      </c>
      <c r="G77" s="743">
        <v>0</v>
      </c>
      <c r="H77" s="743">
        <f>E77/12*5</f>
        <v>1875000</v>
      </c>
      <c r="I77" s="45">
        <f t="shared" si="27"/>
        <v>1875000</v>
      </c>
      <c r="J77" s="125">
        <f t="shared" si="28"/>
        <v>1</v>
      </c>
      <c r="K77" s="745">
        <v>4500000</v>
      </c>
    </row>
    <row r="78" spans="1:11" ht="12.75" customHeight="1" x14ac:dyDescent="0.2">
      <c r="A78" s="583" t="s">
        <v>1307</v>
      </c>
      <c r="B78" s="170"/>
      <c r="C78" s="758"/>
      <c r="D78" s="763">
        <v>1000000</v>
      </c>
      <c r="E78" s="743">
        <v>1000000</v>
      </c>
      <c r="F78" s="743">
        <v>0</v>
      </c>
      <c r="G78" s="743">
        <v>0</v>
      </c>
      <c r="H78" s="743">
        <f t="shared" ref="H78:H98" si="29">E78/12*5</f>
        <v>416666.66666666663</v>
      </c>
      <c r="I78" s="45">
        <f t="shared" si="27"/>
        <v>416666.66666666663</v>
      </c>
      <c r="J78" s="125">
        <f t="shared" si="28"/>
        <v>1</v>
      </c>
      <c r="K78" s="745">
        <v>1000000</v>
      </c>
    </row>
    <row r="79" spans="1:11" ht="12.75" customHeight="1" x14ac:dyDescent="0.2">
      <c r="A79" s="583" t="s">
        <v>1308</v>
      </c>
      <c r="B79" s="170"/>
      <c r="C79" s="758"/>
      <c r="D79" s="763">
        <v>0</v>
      </c>
      <c r="E79" s="743">
        <v>0</v>
      </c>
      <c r="F79" s="743">
        <v>0</v>
      </c>
      <c r="G79" s="743">
        <v>0</v>
      </c>
      <c r="H79" s="743">
        <f t="shared" si="29"/>
        <v>0</v>
      </c>
      <c r="I79" s="45">
        <f t="shared" si="27"/>
        <v>0</v>
      </c>
      <c r="J79" s="125" t="str">
        <f t="shared" si="28"/>
        <v/>
      </c>
      <c r="K79" s="745">
        <v>0</v>
      </c>
    </row>
    <row r="80" spans="1:11" ht="12.75" customHeight="1" x14ac:dyDescent="0.2">
      <c r="A80" s="583" t="s">
        <v>1309</v>
      </c>
      <c r="B80" s="170"/>
      <c r="C80" s="758"/>
      <c r="D80" s="763">
        <v>0</v>
      </c>
      <c r="E80" s="743">
        <v>0</v>
      </c>
      <c r="F80" s="743">
        <v>0</v>
      </c>
      <c r="G80" s="743">
        <v>0</v>
      </c>
      <c r="H80" s="743">
        <f t="shared" si="29"/>
        <v>0</v>
      </c>
      <c r="I80" s="45">
        <f t="shared" si="27"/>
        <v>0</v>
      </c>
      <c r="J80" s="125" t="str">
        <f t="shared" si="28"/>
        <v/>
      </c>
      <c r="K80" s="745">
        <v>0</v>
      </c>
    </row>
    <row r="81" spans="1:11" ht="12.75" customHeight="1" x14ac:dyDescent="0.2">
      <c r="A81" s="583" t="s">
        <v>1310</v>
      </c>
      <c r="B81" s="170"/>
      <c r="C81" s="758"/>
      <c r="D81" s="763">
        <v>0</v>
      </c>
      <c r="E81" s="743">
        <v>0</v>
      </c>
      <c r="F81" s="743">
        <v>0</v>
      </c>
      <c r="G81" s="743">
        <v>0</v>
      </c>
      <c r="H81" s="743">
        <f t="shared" si="29"/>
        <v>0</v>
      </c>
      <c r="I81" s="45">
        <f t="shared" si="27"/>
        <v>0</v>
      </c>
      <c r="J81" s="125" t="str">
        <f t="shared" si="28"/>
        <v/>
      </c>
      <c r="K81" s="745">
        <v>0</v>
      </c>
    </row>
    <row r="82" spans="1:11" ht="12.75" customHeight="1" x14ac:dyDescent="0.2">
      <c r="A82" s="583" t="s">
        <v>1311</v>
      </c>
      <c r="B82" s="170"/>
      <c r="C82" s="758"/>
      <c r="D82" s="763">
        <v>3500000</v>
      </c>
      <c r="E82" s="743">
        <v>3500004</v>
      </c>
      <c r="F82" s="743">
        <v>0</v>
      </c>
      <c r="G82" s="743">
        <v>0</v>
      </c>
      <c r="H82" s="743">
        <f t="shared" si="29"/>
        <v>1458335</v>
      </c>
      <c r="I82" s="45">
        <f t="shared" si="27"/>
        <v>1458335</v>
      </c>
      <c r="J82" s="125">
        <f t="shared" si="28"/>
        <v>1</v>
      </c>
      <c r="K82" s="745">
        <v>3500004</v>
      </c>
    </row>
    <row r="83" spans="1:11" ht="12.75" customHeight="1" x14ac:dyDescent="0.2">
      <c r="A83" s="583" t="s">
        <v>1312</v>
      </c>
      <c r="B83" s="170"/>
      <c r="C83" s="758"/>
      <c r="D83" s="763">
        <v>0</v>
      </c>
      <c r="E83" s="743">
        <v>0</v>
      </c>
      <c r="F83" s="743">
        <v>0</v>
      </c>
      <c r="G83" s="743">
        <v>0</v>
      </c>
      <c r="H83" s="743">
        <f t="shared" si="29"/>
        <v>0</v>
      </c>
      <c r="I83" s="45">
        <f t="shared" si="27"/>
        <v>0</v>
      </c>
      <c r="J83" s="125" t="str">
        <f t="shared" si="28"/>
        <v/>
      </c>
      <c r="K83" s="745">
        <v>0</v>
      </c>
    </row>
    <row r="84" spans="1:11" ht="12.75" customHeight="1" x14ac:dyDescent="0.2">
      <c r="A84" s="583" t="s">
        <v>1313</v>
      </c>
      <c r="B84" s="170"/>
      <c r="C84" s="758"/>
      <c r="D84" s="763">
        <v>0</v>
      </c>
      <c r="E84" s="743">
        <v>0</v>
      </c>
      <c r="F84" s="743">
        <v>0</v>
      </c>
      <c r="G84" s="743">
        <v>0</v>
      </c>
      <c r="H84" s="743">
        <f t="shared" si="29"/>
        <v>0</v>
      </c>
      <c r="I84" s="45">
        <f t="shared" si="27"/>
        <v>0</v>
      </c>
      <c r="J84" s="125" t="str">
        <f t="shared" si="28"/>
        <v/>
      </c>
      <c r="K84" s="745">
        <v>0</v>
      </c>
    </row>
    <row r="85" spans="1:11" ht="12.75" customHeight="1" x14ac:dyDescent="0.2">
      <c r="A85" s="583" t="s">
        <v>1189</v>
      </c>
      <c r="B85" s="170"/>
      <c r="C85" s="758"/>
      <c r="D85" s="763">
        <v>0</v>
      </c>
      <c r="E85" s="743">
        <v>0</v>
      </c>
      <c r="F85" s="743">
        <v>0</v>
      </c>
      <c r="G85" s="743">
        <v>0</v>
      </c>
      <c r="H85" s="743">
        <f t="shared" si="29"/>
        <v>0</v>
      </c>
      <c r="I85" s="45">
        <f t="shared" si="27"/>
        <v>0</v>
      </c>
      <c r="J85" s="125" t="str">
        <f t="shared" si="28"/>
        <v/>
      </c>
      <c r="K85" s="745">
        <v>0</v>
      </c>
    </row>
    <row r="86" spans="1:11" ht="12.75" customHeight="1" x14ac:dyDescent="0.2">
      <c r="A86" s="583" t="s">
        <v>572</v>
      </c>
      <c r="B86" s="170"/>
      <c r="C86" s="758"/>
      <c r="D86" s="763">
        <v>0</v>
      </c>
      <c r="E86" s="743">
        <v>0</v>
      </c>
      <c r="F86" s="743">
        <v>0</v>
      </c>
      <c r="G86" s="743">
        <v>0</v>
      </c>
      <c r="H86" s="743">
        <f t="shared" si="29"/>
        <v>0</v>
      </c>
      <c r="I86" s="45">
        <f t="shared" si="27"/>
        <v>0</v>
      </c>
      <c r="J86" s="125" t="str">
        <f t="shared" si="28"/>
        <v/>
      </c>
      <c r="K86" s="745">
        <v>0</v>
      </c>
    </row>
    <row r="87" spans="1:11" ht="12.75" customHeight="1" x14ac:dyDescent="0.2">
      <c r="A87" s="583" t="s">
        <v>1314</v>
      </c>
      <c r="B87" s="170"/>
      <c r="C87" s="758"/>
      <c r="D87" s="763">
        <v>0</v>
      </c>
      <c r="E87" s="743">
        <v>0</v>
      </c>
      <c r="F87" s="743">
        <v>0</v>
      </c>
      <c r="G87" s="743">
        <v>0</v>
      </c>
      <c r="H87" s="743">
        <f t="shared" si="29"/>
        <v>0</v>
      </c>
      <c r="I87" s="45">
        <f t="shared" si="27"/>
        <v>0</v>
      </c>
      <c r="J87" s="125" t="str">
        <f t="shared" si="28"/>
        <v/>
      </c>
      <c r="K87" s="745">
        <v>0</v>
      </c>
    </row>
    <row r="88" spans="1:11" ht="12.75" customHeight="1" x14ac:dyDescent="0.2">
      <c r="A88" s="583" t="s">
        <v>173</v>
      </c>
      <c r="B88" s="170"/>
      <c r="C88" s="758">
        <v>1841665.4874999998</v>
      </c>
      <c r="D88" s="763">
        <v>11950750</v>
      </c>
      <c r="E88" s="743">
        <v>5450752</v>
      </c>
      <c r="F88" s="743"/>
      <c r="G88" s="743">
        <v>419946.38549999997</v>
      </c>
      <c r="H88" s="743">
        <f t="shared" si="29"/>
        <v>2271146.6666666665</v>
      </c>
      <c r="I88" s="45">
        <f t="shared" ref="I88:I133" si="30">H88-G88</f>
        <v>1851200.2811666667</v>
      </c>
      <c r="J88" s="125">
        <f t="shared" ref="J88:J119" si="31">IF(I88=0,"",I88/H88)</f>
        <v>0.81509499511260097</v>
      </c>
      <c r="K88" s="745">
        <v>5450752</v>
      </c>
    </row>
    <row r="89" spans="1:11" ht="12.75" customHeight="1" x14ac:dyDescent="0.2">
      <c r="A89" s="583" t="s">
        <v>1315</v>
      </c>
      <c r="B89" s="170"/>
      <c r="C89" s="758"/>
      <c r="D89" s="763">
        <v>6295500</v>
      </c>
      <c r="E89" s="743">
        <v>6295500</v>
      </c>
      <c r="F89" s="743">
        <v>0</v>
      </c>
      <c r="G89" s="743">
        <v>0</v>
      </c>
      <c r="H89" s="743">
        <f t="shared" si="29"/>
        <v>2623125</v>
      </c>
      <c r="I89" s="45">
        <f t="shared" si="30"/>
        <v>2623125</v>
      </c>
      <c r="J89" s="125">
        <f t="shared" si="31"/>
        <v>1</v>
      </c>
      <c r="K89" s="745">
        <v>6295500</v>
      </c>
    </row>
    <row r="90" spans="1:11" ht="12.75" customHeight="1" x14ac:dyDescent="0.2">
      <c r="A90" s="583" t="s">
        <v>1316</v>
      </c>
      <c r="B90" s="170"/>
      <c r="C90" s="758"/>
      <c r="D90" s="763">
        <v>0</v>
      </c>
      <c r="E90" s="743">
        <v>0</v>
      </c>
      <c r="F90" s="743">
        <v>0</v>
      </c>
      <c r="G90" s="743">
        <v>0</v>
      </c>
      <c r="H90" s="743">
        <f t="shared" si="29"/>
        <v>0</v>
      </c>
      <c r="I90" s="45">
        <f t="shared" si="30"/>
        <v>0</v>
      </c>
      <c r="J90" s="125" t="str">
        <f t="shared" si="31"/>
        <v/>
      </c>
      <c r="K90" s="745">
        <v>0</v>
      </c>
    </row>
    <row r="91" spans="1:11" ht="12.75" customHeight="1" x14ac:dyDescent="0.2">
      <c r="A91" s="583" t="s">
        <v>1317</v>
      </c>
      <c r="B91" s="170"/>
      <c r="C91" s="758"/>
      <c r="D91" s="763">
        <v>0</v>
      </c>
      <c r="E91" s="743">
        <v>0</v>
      </c>
      <c r="F91" s="743">
        <v>0</v>
      </c>
      <c r="G91" s="743">
        <v>0</v>
      </c>
      <c r="H91" s="743">
        <f t="shared" si="29"/>
        <v>0</v>
      </c>
      <c r="I91" s="45">
        <f t="shared" si="30"/>
        <v>0</v>
      </c>
      <c r="J91" s="125" t="str">
        <f t="shared" si="31"/>
        <v/>
      </c>
      <c r="K91" s="745">
        <v>0</v>
      </c>
    </row>
    <row r="92" spans="1:11" ht="12.75" customHeight="1" x14ac:dyDescent="0.2">
      <c r="A92" s="583" t="s">
        <v>1318</v>
      </c>
      <c r="B92" s="170"/>
      <c r="C92" s="758"/>
      <c r="D92" s="763">
        <v>1170000</v>
      </c>
      <c r="E92" s="743">
        <v>1170000</v>
      </c>
      <c r="F92" s="743">
        <v>0</v>
      </c>
      <c r="G92" s="743">
        <v>0</v>
      </c>
      <c r="H92" s="743">
        <f t="shared" si="29"/>
        <v>487500</v>
      </c>
      <c r="I92" s="45">
        <f t="shared" si="30"/>
        <v>487500</v>
      </c>
      <c r="J92" s="125">
        <f t="shared" si="31"/>
        <v>1</v>
      </c>
      <c r="K92" s="745">
        <v>1170000</v>
      </c>
    </row>
    <row r="93" spans="1:11" ht="12.75" customHeight="1" x14ac:dyDescent="0.2">
      <c r="A93" s="583" t="s">
        <v>451</v>
      </c>
      <c r="B93" s="170"/>
      <c r="C93" s="758"/>
      <c r="D93" s="763">
        <v>0</v>
      </c>
      <c r="E93" s="743">
        <v>0</v>
      </c>
      <c r="F93" s="743">
        <v>0</v>
      </c>
      <c r="G93" s="743">
        <v>0</v>
      </c>
      <c r="H93" s="743">
        <f t="shared" si="29"/>
        <v>0</v>
      </c>
      <c r="I93" s="45">
        <f t="shared" si="30"/>
        <v>0</v>
      </c>
      <c r="J93" s="125" t="str">
        <f t="shared" si="31"/>
        <v/>
      </c>
      <c r="K93" s="745">
        <v>0</v>
      </c>
    </row>
    <row r="94" spans="1:11" ht="12.75" customHeight="1" x14ac:dyDescent="0.2">
      <c r="A94" s="583" t="s">
        <v>1319</v>
      </c>
      <c r="B94" s="170"/>
      <c r="C94" s="758"/>
      <c r="D94" s="763">
        <v>0</v>
      </c>
      <c r="E94" s="743">
        <v>0</v>
      </c>
      <c r="F94" s="743">
        <v>0</v>
      </c>
      <c r="G94" s="743">
        <v>0</v>
      </c>
      <c r="H94" s="743">
        <f t="shared" si="29"/>
        <v>0</v>
      </c>
      <c r="I94" s="45">
        <f t="shared" si="30"/>
        <v>0</v>
      </c>
      <c r="J94" s="125" t="str">
        <f t="shared" si="31"/>
        <v/>
      </c>
      <c r="K94" s="745">
        <v>0</v>
      </c>
    </row>
    <row r="95" spans="1:11" ht="12.75" customHeight="1" x14ac:dyDescent="0.2">
      <c r="A95" s="583" t="s">
        <v>450</v>
      </c>
      <c r="B95" s="170"/>
      <c r="C95" s="758"/>
      <c r="D95" s="763">
        <v>0</v>
      </c>
      <c r="E95" s="743">
        <v>0</v>
      </c>
      <c r="F95" s="743">
        <v>0</v>
      </c>
      <c r="G95" s="743">
        <v>0</v>
      </c>
      <c r="H95" s="743">
        <f t="shared" si="29"/>
        <v>0</v>
      </c>
      <c r="I95" s="45">
        <f t="shared" si="30"/>
        <v>0</v>
      </c>
      <c r="J95" s="125" t="str">
        <f t="shared" si="31"/>
        <v/>
      </c>
      <c r="K95" s="745">
        <v>0</v>
      </c>
    </row>
    <row r="96" spans="1:11" ht="12.75" customHeight="1" x14ac:dyDescent="0.2">
      <c r="A96" s="583" t="s">
        <v>1320</v>
      </c>
      <c r="B96" s="170"/>
      <c r="C96" s="758"/>
      <c r="D96" s="763">
        <v>0</v>
      </c>
      <c r="E96" s="743">
        <v>0</v>
      </c>
      <c r="F96" s="743">
        <v>0</v>
      </c>
      <c r="G96" s="743">
        <v>0</v>
      </c>
      <c r="H96" s="743">
        <f t="shared" si="29"/>
        <v>0</v>
      </c>
      <c r="I96" s="45">
        <f t="shared" si="30"/>
        <v>0</v>
      </c>
      <c r="J96" s="125" t="str">
        <f t="shared" si="31"/>
        <v/>
      </c>
      <c r="K96" s="745">
        <v>0</v>
      </c>
    </row>
    <row r="97" spans="1:11" ht="12.75" customHeight="1" x14ac:dyDescent="0.2">
      <c r="A97" s="583" t="s">
        <v>1321</v>
      </c>
      <c r="B97" s="170"/>
      <c r="C97" s="758">
        <v>312832699.24086905</v>
      </c>
      <c r="D97" s="763">
        <v>203894300</v>
      </c>
      <c r="E97" s="743">
        <v>203894300</v>
      </c>
      <c r="F97" s="743">
        <v>2760400.7289999998</v>
      </c>
      <c r="G97" s="743">
        <v>2760400.7289999998</v>
      </c>
      <c r="H97" s="743">
        <f t="shared" si="29"/>
        <v>84955958.333333343</v>
      </c>
      <c r="I97" s="45">
        <f t="shared" si="30"/>
        <v>82195557.604333341</v>
      </c>
      <c r="J97" s="125">
        <f t="shared" si="31"/>
        <v>0.96750786191865101</v>
      </c>
      <c r="K97" s="745">
        <v>203894300</v>
      </c>
    </row>
    <row r="98" spans="1:11" ht="12.75" customHeight="1" x14ac:dyDescent="0.2">
      <c r="A98" s="583" t="s">
        <v>1256</v>
      </c>
      <c r="B98" s="170"/>
      <c r="C98" s="758"/>
      <c r="D98" s="763">
        <v>6170400</v>
      </c>
      <c r="E98" s="743">
        <v>929392</v>
      </c>
      <c r="F98" s="743">
        <v>1537649.659</v>
      </c>
      <c r="G98" s="743">
        <v>1537649.659</v>
      </c>
      <c r="H98" s="743">
        <f t="shared" si="29"/>
        <v>387246.66666666663</v>
      </c>
      <c r="I98" s="45">
        <f t="shared" si="30"/>
        <v>-1150402.9923333335</v>
      </c>
      <c r="J98" s="125">
        <f t="shared" si="31"/>
        <v>-2.9707240664864778</v>
      </c>
      <c r="K98" s="745">
        <v>929392</v>
      </c>
    </row>
    <row r="99" spans="1:11" ht="12.75" customHeight="1" x14ac:dyDescent="0.2">
      <c r="A99" s="521" t="s">
        <v>1322</v>
      </c>
      <c r="B99" s="170"/>
      <c r="C99" s="657">
        <f t="shared" ref="C99:H99" si="32">SUM(C100:C102)</f>
        <v>58235410.758584499</v>
      </c>
      <c r="D99" s="658">
        <f t="shared" si="32"/>
        <v>54539500</v>
      </c>
      <c r="E99" s="411">
        <f t="shared" si="32"/>
        <v>54539496</v>
      </c>
      <c r="F99" s="411">
        <f t="shared" si="32"/>
        <v>3718835.5</v>
      </c>
      <c r="G99" s="411">
        <f t="shared" si="32"/>
        <v>5579610.25</v>
      </c>
      <c r="H99" s="411">
        <f t="shared" si="32"/>
        <v>22724790</v>
      </c>
      <c r="I99" s="259">
        <f t="shared" si="30"/>
        <v>17145179.75</v>
      </c>
      <c r="J99" s="584">
        <f t="shared" si="31"/>
        <v>0.75447032733855846</v>
      </c>
      <c r="K99" s="651">
        <f>SUM(K100:K102)</f>
        <v>54539496</v>
      </c>
    </row>
    <row r="100" spans="1:11" ht="12.75" customHeight="1" x14ac:dyDescent="0.2">
      <c r="A100" s="583" t="s">
        <v>1323</v>
      </c>
      <c r="B100" s="170"/>
      <c r="C100" s="758"/>
      <c r="D100" s="763"/>
      <c r="E100" s="743">
        <v>0</v>
      </c>
      <c r="F100" s="743">
        <v>0</v>
      </c>
      <c r="G100" s="743">
        <v>0</v>
      </c>
      <c r="H100" s="743">
        <f>D100/12*3</f>
        <v>0</v>
      </c>
      <c r="I100" s="45">
        <f t="shared" si="30"/>
        <v>0</v>
      </c>
      <c r="J100" s="125" t="str">
        <f t="shared" si="31"/>
        <v/>
      </c>
      <c r="K100" s="745">
        <f>D100</f>
        <v>0</v>
      </c>
    </row>
    <row r="101" spans="1:11" ht="12.75" customHeight="1" x14ac:dyDescent="0.2">
      <c r="A101" s="583" t="s">
        <v>1324</v>
      </c>
      <c r="B101" s="170"/>
      <c r="C101" s="758">
        <v>4503522.0034999996</v>
      </c>
      <c r="D101" s="763">
        <v>54539500</v>
      </c>
      <c r="E101" s="743">
        <v>54539496</v>
      </c>
      <c r="F101" s="743">
        <v>3718835.5</v>
      </c>
      <c r="G101" s="743">
        <f>1860774.75+F101</f>
        <v>5579610.25</v>
      </c>
      <c r="H101" s="743">
        <f>E101/12*5</f>
        <v>22724790</v>
      </c>
      <c r="I101" s="45">
        <f t="shared" si="30"/>
        <v>17145179.75</v>
      </c>
      <c r="J101" s="125">
        <f t="shared" si="31"/>
        <v>0.75447032733855846</v>
      </c>
      <c r="K101" s="745">
        <v>54539496</v>
      </c>
    </row>
    <row r="102" spans="1:11" ht="12.75" customHeight="1" x14ac:dyDescent="0.2">
      <c r="A102" s="583" t="s">
        <v>1256</v>
      </c>
      <c r="B102" s="170"/>
      <c r="C102" s="758">
        <v>53731888.7550845</v>
      </c>
      <c r="D102" s="763">
        <v>0</v>
      </c>
      <c r="E102" s="743">
        <v>0</v>
      </c>
      <c r="F102" s="743">
        <v>0</v>
      </c>
      <c r="G102" s="743">
        <v>0</v>
      </c>
      <c r="H102" s="743">
        <f>D102/12*3</f>
        <v>0</v>
      </c>
      <c r="I102" s="45">
        <f t="shared" si="30"/>
        <v>0</v>
      </c>
      <c r="J102" s="125" t="str">
        <f t="shared" si="31"/>
        <v/>
      </c>
      <c r="K102" s="745">
        <f>D102</f>
        <v>0</v>
      </c>
    </row>
    <row r="103" spans="1:11" ht="12.75" customHeight="1" x14ac:dyDescent="0.2">
      <c r="A103" s="553" t="s">
        <v>690</v>
      </c>
      <c r="B103" s="170"/>
      <c r="C103" s="250">
        <f t="shared" ref="C103:H103" si="33">SUM(C104:C108)</f>
        <v>0</v>
      </c>
      <c r="D103" s="265">
        <f t="shared" si="33"/>
        <v>12168500</v>
      </c>
      <c r="E103" s="100">
        <f t="shared" si="33"/>
        <v>12168500</v>
      </c>
      <c r="F103" s="100">
        <f t="shared" si="33"/>
        <v>0</v>
      </c>
      <c r="G103" s="100">
        <f t="shared" si="33"/>
        <v>1550261.9735000895</v>
      </c>
      <c r="H103" s="100">
        <f t="shared" si="33"/>
        <v>5070208.333333333</v>
      </c>
      <c r="I103" s="100">
        <f t="shared" si="30"/>
        <v>3519946.3598332433</v>
      </c>
      <c r="J103" s="327">
        <f t="shared" si="31"/>
        <v>0.69424097165630805</v>
      </c>
      <c r="K103" s="196">
        <f>SUM(K104:K108)</f>
        <v>12168500</v>
      </c>
    </row>
    <row r="104" spans="1:11" ht="12.75" customHeight="1" x14ac:dyDescent="0.2">
      <c r="A104" s="521" t="s">
        <v>1326</v>
      </c>
      <c r="B104" s="170"/>
      <c r="C104" s="796">
        <v>0</v>
      </c>
      <c r="D104" s="763">
        <v>0</v>
      </c>
      <c r="E104" s="743">
        <v>0</v>
      </c>
      <c r="F104" s="743">
        <v>0</v>
      </c>
      <c r="G104" s="743">
        <v>0</v>
      </c>
      <c r="H104" s="743">
        <f t="shared" ref="H104:H107" si="34">E104/12*8</f>
        <v>0</v>
      </c>
      <c r="I104" s="45">
        <f t="shared" si="30"/>
        <v>0</v>
      </c>
      <c r="J104" s="125" t="str">
        <f t="shared" si="31"/>
        <v/>
      </c>
      <c r="K104" s="745">
        <v>0</v>
      </c>
    </row>
    <row r="105" spans="1:11" ht="12.75" customHeight="1" x14ac:dyDescent="0.2">
      <c r="A105" s="520" t="s">
        <v>1327</v>
      </c>
      <c r="B105" s="170"/>
      <c r="C105" s="796">
        <v>0</v>
      </c>
      <c r="D105" s="763">
        <v>0</v>
      </c>
      <c r="E105" s="743">
        <v>0</v>
      </c>
      <c r="F105" s="743">
        <v>0</v>
      </c>
      <c r="G105" s="743">
        <v>0</v>
      </c>
      <c r="H105" s="743">
        <f t="shared" si="34"/>
        <v>0</v>
      </c>
      <c r="I105" s="45">
        <f t="shared" si="30"/>
        <v>0</v>
      </c>
      <c r="J105" s="125" t="str">
        <f t="shared" si="31"/>
        <v/>
      </c>
      <c r="K105" s="745">
        <v>0</v>
      </c>
    </row>
    <row r="106" spans="1:11" ht="12.75" customHeight="1" x14ac:dyDescent="0.2">
      <c r="A106" s="521" t="s">
        <v>1328</v>
      </c>
      <c r="B106" s="170"/>
      <c r="C106" s="796">
        <v>0</v>
      </c>
      <c r="D106" s="763">
        <v>12168500</v>
      </c>
      <c r="E106" s="743">
        <v>12168500</v>
      </c>
      <c r="F106" s="743"/>
      <c r="G106" s="743">
        <v>1550261.9735000895</v>
      </c>
      <c r="H106" s="743">
        <f>E106/12*5</f>
        <v>5070208.333333333</v>
      </c>
      <c r="I106" s="45">
        <f t="shared" si="30"/>
        <v>3519946.3598332433</v>
      </c>
      <c r="J106" s="125">
        <f t="shared" si="31"/>
        <v>0.69424097165630805</v>
      </c>
      <c r="K106" s="745">
        <v>12168500</v>
      </c>
    </row>
    <row r="107" spans="1:11" ht="12.75" customHeight="1" x14ac:dyDescent="0.2">
      <c r="A107" s="521" t="s">
        <v>1329</v>
      </c>
      <c r="B107" s="170"/>
      <c r="C107" s="796">
        <v>0</v>
      </c>
      <c r="D107" s="763">
        <v>0</v>
      </c>
      <c r="E107" s="743">
        <v>0</v>
      </c>
      <c r="F107" s="743">
        <v>0</v>
      </c>
      <c r="G107" s="743">
        <v>0</v>
      </c>
      <c r="H107" s="743">
        <f t="shared" si="34"/>
        <v>0</v>
      </c>
      <c r="I107" s="45">
        <f t="shared" si="30"/>
        <v>0</v>
      </c>
      <c r="J107" s="125" t="str">
        <f t="shared" si="31"/>
        <v/>
      </c>
      <c r="K107" s="745">
        <v>0</v>
      </c>
    </row>
    <row r="108" spans="1:11" ht="12.75" customHeight="1" x14ac:dyDescent="0.2">
      <c r="A108" s="520" t="s">
        <v>1330</v>
      </c>
      <c r="B108" s="170"/>
      <c r="C108" s="796">
        <v>0</v>
      </c>
      <c r="D108" s="763">
        <v>0</v>
      </c>
      <c r="E108" s="743">
        <v>0</v>
      </c>
      <c r="F108" s="743">
        <v>0</v>
      </c>
      <c r="G108" s="743"/>
      <c r="H108" s="743">
        <f>E108</f>
        <v>0</v>
      </c>
      <c r="I108" s="45">
        <f t="shared" si="30"/>
        <v>0</v>
      </c>
      <c r="J108" s="125" t="str">
        <f t="shared" si="31"/>
        <v/>
      </c>
      <c r="K108" s="745">
        <f>E108</f>
        <v>0</v>
      </c>
    </row>
    <row r="109" spans="1:11" ht="5.0999999999999996" customHeight="1" x14ac:dyDescent="0.2">
      <c r="A109" s="950"/>
      <c r="B109" s="170"/>
      <c r="C109" s="135"/>
      <c r="D109" s="259"/>
      <c r="E109" s="45"/>
      <c r="F109" s="45"/>
      <c r="G109" s="45"/>
      <c r="H109" s="45"/>
      <c r="I109" s="45">
        <f t="shared" si="30"/>
        <v>0</v>
      </c>
      <c r="J109" s="125" t="str">
        <f t="shared" si="31"/>
        <v/>
      </c>
      <c r="K109" s="145"/>
    </row>
    <row r="110" spans="1:11" ht="12.75" customHeight="1" x14ac:dyDescent="0.2">
      <c r="A110" s="951" t="s">
        <v>691</v>
      </c>
      <c r="B110" s="39"/>
      <c r="C110" s="585">
        <f t="shared" ref="C110:H110" si="35">+C111+C114</f>
        <v>0</v>
      </c>
      <c r="D110" s="586">
        <f t="shared" si="35"/>
        <v>0</v>
      </c>
      <c r="E110" s="587">
        <f t="shared" si="35"/>
        <v>0</v>
      </c>
      <c r="F110" s="587">
        <f t="shared" si="35"/>
        <v>0</v>
      </c>
      <c r="G110" s="587">
        <f t="shared" si="35"/>
        <v>0</v>
      </c>
      <c r="H110" s="587">
        <f t="shared" si="35"/>
        <v>0</v>
      </c>
      <c r="I110" s="100">
        <f t="shared" si="30"/>
        <v>0</v>
      </c>
      <c r="J110" s="327" t="str">
        <f t="shared" si="31"/>
        <v/>
      </c>
      <c r="K110" s="589">
        <f>+K111+K114</f>
        <v>0</v>
      </c>
    </row>
    <row r="111" spans="1:11" ht="12.75" customHeight="1" x14ac:dyDescent="0.2">
      <c r="A111" s="521" t="s">
        <v>1331</v>
      </c>
      <c r="B111" s="170"/>
      <c r="C111" s="657">
        <f t="shared" ref="C111:H111" si="36">SUM(C112:C113)</f>
        <v>0</v>
      </c>
      <c r="D111" s="658">
        <f t="shared" si="36"/>
        <v>0</v>
      </c>
      <c r="E111" s="411">
        <f t="shared" si="36"/>
        <v>0</v>
      </c>
      <c r="F111" s="411">
        <f t="shared" si="36"/>
        <v>0</v>
      </c>
      <c r="G111" s="411">
        <f t="shared" si="36"/>
        <v>0</v>
      </c>
      <c r="H111" s="411">
        <f t="shared" si="36"/>
        <v>0</v>
      </c>
      <c r="I111" s="259">
        <f t="shared" si="30"/>
        <v>0</v>
      </c>
      <c r="J111" s="584" t="str">
        <f t="shared" si="31"/>
        <v/>
      </c>
      <c r="K111" s="651">
        <f>SUM(K112:K113)</f>
        <v>0</v>
      </c>
    </row>
    <row r="112" spans="1:11" ht="12.75" customHeight="1" x14ac:dyDescent="0.2">
      <c r="A112" s="583" t="s">
        <v>1332</v>
      </c>
      <c r="B112" s="170"/>
      <c r="C112" s="758">
        <v>0</v>
      </c>
      <c r="D112" s="763">
        <v>0</v>
      </c>
      <c r="E112" s="743">
        <v>0</v>
      </c>
      <c r="F112" s="743">
        <v>0</v>
      </c>
      <c r="G112" s="743">
        <v>0</v>
      </c>
      <c r="H112" s="743">
        <v>0</v>
      </c>
      <c r="I112" s="45">
        <f t="shared" si="30"/>
        <v>0</v>
      </c>
      <c r="J112" s="125" t="str">
        <f t="shared" si="31"/>
        <v/>
      </c>
      <c r="K112" s="745"/>
    </row>
    <row r="113" spans="1:11" ht="12.75" customHeight="1" x14ac:dyDescent="0.2">
      <c r="A113" s="583" t="s">
        <v>1333</v>
      </c>
      <c r="B113" s="170"/>
      <c r="C113" s="758">
        <v>0</v>
      </c>
      <c r="D113" s="763">
        <v>0</v>
      </c>
      <c r="E113" s="743">
        <v>0</v>
      </c>
      <c r="F113" s="743">
        <v>0</v>
      </c>
      <c r="G113" s="743">
        <v>0</v>
      </c>
      <c r="H113" s="743">
        <v>0</v>
      </c>
      <c r="I113" s="45">
        <f t="shared" si="30"/>
        <v>0</v>
      </c>
      <c r="J113" s="125" t="str">
        <f t="shared" si="31"/>
        <v/>
      </c>
      <c r="K113" s="745">
        <f>D113</f>
        <v>0</v>
      </c>
    </row>
    <row r="114" spans="1:11" ht="12.75" customHeight="1" x14ac:dyDescent="0.2">
      <c r="A114" s="521" t="s">
        <v>1334</v>
      </c>
      <c r="B114" s="170"/>
      <c r="C114" s="657">
        <f t="shared" ref="C114:H114" si="37">SUM(C115:C116)</f>
        <v>0</v>
      </c>
      <c r="D114" s="658">
        <f t="shared" si="37"/>
        <v>0</v>
      </c>
      <c r="E114" s="411">
        <f t="shared" si="37"/>
        <v>0</v>
      </c>
      <c r="F114" s="411">
        <f t="shared" si="37"/>
        <v>0</v>
      </c>
      <c r="G114" s="411">
        <f t="shared" si="37"/>
        <v>0</v>
      </c>
      <c r="H114" s="411">
        <f t="shared" si="37"/>
        <v>0</v>
      </c>
      <c r="I114" s="259">
        <f t="shared" si="30"/>
        <v>0</v>
      </c>
      <c r="J114" s="584" t="str">
        <f t="shared" si="31"/>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0"/>
        <v>0</v>
      </c>
      <c r="J115" s="125" t="str">
        <f t="shared" si="31"/>
        <v/>
      </c>
      <c r="K115" s="745"/>
    </row>
    <row r="116" spans="1:11" ht="12.75" customHeight="1" x14ac:dyDescent="0.2">
      <c r="A116" s="583" t="s">
        <v>1333</v>
      </c>
      <c r="B116" s="170"/>
      <c r="C116" s="758">
        <v>0</v>
      </c>
      <c r="D116" s="763"/>
      <c r="E116" s="743"/>
      <c r="F116" s="743"/>
      <c r="G116" s="743"/>
      <c r="H116" s="743">
        <f>D116/12*7</f>
        <v>0</v>
      </c>
      <c r="I116" s="45">
        <f t="shared" si="30"/>
        <v>0</v>
      </c>
      <c r="J116" s="125" t="str">
        <f t="shared" si="31"/>
        <v/>
      </c>
      <c r="K116" s="745"/>
    </row>
    <row r="117" spans="1:11" ht="12.75" customHeight="1" x14ac:dyDescent="0.2">
      <c r="A117" s="951" t="s">
        <v>692</v>
      </c>
      <c r="B117" s="170"/>
      <c r="C117" s="585">
        <f t="shared" ref="C117:H117" si="38">+C118+C130</f>
        <v>0</v>
      </c>
      <c r="D117" s="586">
        <f t="shared" si="38"/>
        <v>10501600</v>
      </c>
      <c r="E117" s="587">
        <f t="shared" si="38"/>
        <v>8501608</v>
      </c>
      <c r="F117" s="587">
        <f t="shared" si="38"/>
        <v>377670.99400000001</v>
      </c>
      <c r="G117" s="587">
        <f t="shared" si="38"/>
        <v>377670.99400000001</v>
      </c>
      <c r="H117" s="587">
        <f t="shared" si="38"/>
        <v>3542336.666666667</v>
      </c>
      <c r="I117" s="587">
        <f t="shared" si="30"/>
        <v>3164665.672666667</v>
      </c>
      <c r="J117" s="588">
        <f t="shared" si="31"/>
        <v>0.89338365335122483</v>
      </c>
      <c r="K117" s="589">
        <f>+K118+K130</f>
        <v>8501608</v>
      </c>
    </row>
    <row r="118" spans="1:11" ht="12.75" customHeight="1" x14ac:dyDescent="0.2">
      <c r="A118" s="521" t="s">
        <v>1335</v>
      </c>
      <c r="B118" s="170"/>
      <c r="C118" s="657">
        <f t="shared" ref="C118:H118" si="39">SUM(C119:C129)</f>
        <v>0</v>
      </c>
      <c r="D118" s="658">
        <f t="shared" si="39"/>
        <v>10501600</v>
      </c>
      <c r="E118" s="411">
        <f t="shared" si="39"/>
        <v>8501608</v>
      </c>
      <c r="F118" s="411">
        <f t="shared" si="39"/>
        <v>377670.99400000001</v>
      </c>
      <c r="G118" s="411">
        <f t="shared" si="39"/>
        <v>377670.99400000001</v>
      </c>
      <c r="H118" s="411">
        <f t="shared" si="39"/>
        <v>3542336.666666667</v>
      </c>
      <c r="I118" s="259">
        <f t="shared" si="30"/>
        <v>3164665.672666667</v>
      </c>
      <c r="J118" s="584">
        <f t="shared" si="31"/>
        <v>0.89338365335122483</v>
      </c>
      <c r="K118" s="651">
        <f>SUM(K119:K129)</f>
        <v>8501608</v>
      </c>
    </row>
    <row r="119" spans="1:11" ht="12.75" customHeight="1" x14ac:dyDescent="0.2">
      <c r="A119" s="583" t="s">
        <v>1336</v>
      </c>
      <c r="B119" s="170"/>
      <c r="C119" s="758">
        <v>0</v>
      </c>
      <c r="D119" s="763">
        <v>10501600</v>
      </c>
      <c r="E119" s="743">
        <v>8501608</v>
      </c>
      <c r="F119" s="743">
        <v>377670.99400000001</v>
      </c>
      <c r="G119" s="743">
        <f t="shared" ref="G119:G124" si="40">+F119</f>
        <v>377670.99400000001</v>
      </c>
      <c r="H119" s="743">
        <f>E119/12*5</f>
        <v>3542336.666666667</v>
      </c>
      <c r="I119" s="45">
        <f t="shared" si="30"/>
        <v>3164665.672666667</v>
      </c>
      <c r="J119" s="125">
        <f t="shared" si="31"/>
        <v>0.89338365335122483</v>
      </c>
      <c r="K119" s="745">
        <v>8501608</v>
      </c>
    </row>
    <row r="120" spans="1:11" ht="12.75" customHeight="1" x14ac:dyDescent="0.2">
      <c r="A120" s="583" t="s">
        <v>1337</v>
      </c>
      <c r="B120" s="170"/>
      <c r="C120" s="758">
        <v>0</v>
      </c>
      <c r="D120" s="763">
        <v>0</v>
      </c>
      <c r="E120" s="743">
        <v>0</v>
      </c>
      <c r="F120" s="743">
        <v>0</v>
      </c>
      <c r="G120" s="743">
        <f t="shared" si="40"/>
        <v>0</v>
      </c>
      <c r="H120" s="743">
        <f t="shared" ref="H120:H129" si="41">E120/12*8</f>
        <v>0</v>
      </c>
      <c r="I120" s="45">
        <f t="shared" si="30"/>
        <v>0</v>
      </c>
      <c r="J120" s="125" t="str">
        <f t="shared" ref="J120:J146" si="42">IF(I120=0,"",I120/H120)</f>
        <v/>
      </c>
      <c r="K120" s="745">
        <v>0</v>
      </c>
    </row>
    <row r="121" spans="1:11" ht="12.75" customHeight="1" x14ac:dyDescent="0.2">
      <c r="A121" s="583" t="s">
        <v>1338</v>
      </c>
      <c r="B121" s="170"/>
      <c r="C121" s="758">
        <v>0</v>
      </c>
      <c r="D121" s="763">
        <v>0</v>
      </c>
      <c r="E121" s="743">
        <v>0</v>
      </c>
      <c r="F121" s="743">
        <v>0</v>
      </c>
      <c r="G121" s="743">
        <f t="shared" si="40"/>
        <v>0</v>
      </c>
      <c r="H121" s="743">
        <f t="shared" si="41"/>
        <v>0</v>
      </c>
      <c r="I121" s="45">
        <f t="shared" si="30"/>
        <v>0</v>
      </c>
      <c r="J121" s="125" t="str">
        <f t="shared" si="42"/>
        <v/>
      </c>
      <c r="K121" s="745">
        <v>0</v>
      </c>
    </row>
    <row r="122" spans="1:11" ht="12.75" customHeight="1" x14ac:dyDescent="0.2">
      <c r="A122" s="583" t="s">
        <v>1339</v>
      </c>
      <c r="B122" s="170"/>
      <c r="C122" s="758">
        <v>0</v>
      </c>
      <c r="D122" s="763">
        <v>0</v>
      </c>
      <c r="E122" s="743">
        <v>0</v>
      </c>
      <c r="F122" s="743">
        <v>0</v>
      </c>
      <c r="G122" s="743">
        <f t="shared" si="40"/>
        <v>0</v>
      </c>
      <c r="H122" s="743">
        <f t="shared" si="41"/>
        <v>0</v>
      </c>
      <c r="I122" s="45">
        <f t="shared" si="30"/>
        <v>0</v>
      </c>
      <c r="J122" s="125" t="str">
        <f t="shared" si="42"/>
        <v/>
      </c>
      <c r="K122" s="745">
        <v>0</v>
      </c>
    </row>
    <row r="123" spans="1:11" ht="12.75" customHeight="1" x14ac:dyDescent="0.2">
      <c r="A123" s="583" t="s">
        <v>1340</v>
      </c>
      <c r="B123" s="170"/>
      <c r="C123" s="758">
        <v>0</v>
      </c>
      <c r="D123" s="763">
        <v>0</v>
      </c>
      <c r="E123" s="743">
        <v>0</v>
      </c>
      <c r="F123" s="743">
        <v>0</v>
      </c>
      <c r="G123" s="743">
        <f t="shared" si="40"/>
        <v>0</v>
      </c>
      <c r="H123" s="743">
        <f t="shared" si="41"/>
        <v>0</v>
      </c>
      <c r="I123" s="45">
        <f t="shared" si="30"/>
        <v>0</v>
      </c>
      <c r="J123" s="125" t="str">
        <f t="shared" si="42"/>
        <v/>
      </c>
      <c r="K123" s="745">
        <v>0</v>
      </c>
    </row>
    <row r="124" spans="1:11" ht="12.75" customHeight="1" x14ac:dyDescent="0.2">
      <c r="A124" s="583" t="s">
        <v>1341</v>
      </c>
      <c r="B124" s="170"/>
      <c r="C124" s="758">
        <v>0</v>
      </c>
      <c r="D124" s="763"/>
      <c r="E124" s="743">
        <v>0</v>
      </c>
      <c r="F124" s="743">
        <v>0</v>
      </c>
      <c r="G124" s="743">
        <f t="shared" si="40"/>
        <v>0</v>
      </c>
      <c r="H124" s="743">
        <f t="shared" si="41"/>
        <v>0</v>
      </c>
      <c r="I124" s="45">
        <f t="shared" si="30"/>
        <v>0</v>
      </c>
      <c r="J124" s="125" t="str">
        <f t="shared" si="42"/>
        <v/>
      </c>
      <c r="K124" s="745">
        <v>0</v>
      </c>
    </row>
    <row r="125" spans="1:11" ht="12.75" customHeight="1" x14ac:dyDescent="0.2">
      <c r="A125" s="583" t="s">
        <v>1342</v>
      </c>
      <c r="B125" s="170"/>
      <c r="C125" s="758">
        <v>0</v>
      </c>
      <c r="D125" s="763">
        <v>0</v>
      </c>
      <c r="E125" s="743">
        <v>0</v>
      </c>
      <c r="F125" s="743"/>
      <c r="G125" s="743"/>
      <c r="H125" s="743">
        <f t="shared" si="41"/>
        <v>0</v>
      </c>
      <c r="I125" s="45">
        <f t="shared" si="30"/>
        <v>0</v>
      </c>
      <c r="J125" s="125" t="str">
        <f t="shared" si="42"/>
        <v/>
      </c>
      <c r="K125" s="745">
        <v>0</v>
      </c>
    </row>
    <row r="126" spans="1:11" ht="12.75" customHeight="1" x14ac:dyDescent="0.2">
      <c r="A126" s="583" t="s">
        <v>1343</v>
      </c>
      <c r="B126" s="170"/>
      <c r="C126" s="758">
        <v>0</v>
      </c>
      <c r="D126" s="763">
        <v>0</v>
      </c>
      <c r="E126" s="743">
        <v>0</v>
      </c>
      <c r="F126" s="743">
        <v>0</v>
      </c>
      <c r="G126" s="743">
        <v>0</v>
      </c>
      <c r="H126" s="743">
        <f t="shared" si="41"/>
        <v>0</v>
      </c>
      <c r="I126" s="45">
        <f t="shared" si="30"/>
        <v>0</v>
      </c>
      <c r="J126" s="125" t="str">
        <f t="shared" si="42"/>
        <v/>
      </c>
      <c r="K126" s="745">
        <v>0</v>
      </c>
    </row>
    <row r="127" spans="1:11" ht="12.75" customHeight="1" x14ac:dyDescent="0.2">
      <c r="A127" s="583" t="s">
        <v>1344</v>
      </c>
      <c r="B127" s="170"/>
      <c r="C127" s="758">
        <v>0</v>
      </c>
      <c r="D127" s="763">
        <v>0</v>
      </c>
      <c r="E127" s="743">
        <v>0</v>
      </c>
      <c r="F127" s="743">
        <v>0</v>
      </c>
      <c r="G127" s="743">
        <v>0</v>
      </c>
      <c r="H127" s="743">
        <f t="shared" si="41"/>
        <v>0</v>
      </c>
      <c r="I127" s="45">
        <f t="shared" si="30"/>
        <v>0</v>
      </c>
      <c r="J127" s="125" t="str">
        <f t="shared" si="42"/>
        <v/>
      </c>
      <c r="K127" s="745">
        <v>0</v>
      </c>
    </row>
    <row r="128" spans="1:11" ht="12.75" customHeight="1" x14ac:dyDescent="0.2">
      <c r="A128" s="583" t="s">
        <v>1345</v>
      </c>
      <c r="B128" s="170"/>
      <c r="C128" s="758">
        <v>0</v>
      </c>
      <c r="D128" s="763">
        <v>0</v>
      </c>
      <c r="E128" s="743">
        <v>0</v>
      </c>
      <c r="F128" s="743">
        <v>0</v>
      </c>
      <c r="G128" s="743">
        <v>0</v>
      </c>
      <c r="H128" s="743">
        <f t="shared" si="41"/>
        <v>0</v>
      </c>
      <c r="I128" s="45">
        <f t="shared" si="30"/>
        <v>0</v>
      </c>
      <c r="J128" s="125" t="str">
        <f t="shared" si="42"/>
        <v/>
      </c>
      <c r="K128" s="745">
        <v>0</v>
      </c>
    </row>
    <row r="129" spans="1:11" ht="12.75" customHeight="1" x14ac:dyDescent="0.2">
      <c r="A129" s="583" t="s">
        <v>1256</v>
      </c>
      <c r="B129" s="170"/>
      <c r="C129" s="758">
        <v>0</v>
      </c>
      <c r="D129" s="763">
        <v>0</v>
      </c>
      <c r="E129" s="743">
        <v>0</v>
      </c>
      <c r="F129" s="743">
        <v>0</v>
      </c>
      <c r="G129" s="743">
        <v>0</v>
      </c>
      <c r="H129" s="743">
        <f t="shared" si="41"/>
        <v>0</v>
      </c>
      <c r="I129" s="45">
        <f t="shared" si="30"/>
        <v>0</v>
      </c>
      <c r="J129" s="125" t="str">
        <f t="shared" si="42"/>
        <v/>
      </c>
      <c r="K129" s="745">
        <f>D129</f>
        <v>0</v>
      </c>
    </row>
    <row r="130" spans="1:11" ht="12.75" customHeight="1" x14ac:dyDescent="0.2">
      <c r="A130" s="521" t="s">
        <v>733</v>
      </c>
      <c r="B130" s="170"/>
      <c r="C130" s="657">
        <f t="shared" ref="C130:H130" si="43">SUM(C131:C133)</f>
        <v>0</v>
      </c>
      <c r="D130" s="658">
        <f t="shared" si="43"/>
        <v>0</v>
      </c>
      <c r="E130" s="411">
        <f t="shared" si="43"/>
        <v>0</v>
      </c>
      <c r="F130" s="411">
        <f t="shared" si="43"/>
        <v>0</v>
      </c>
      <c r="G130" s="411">
        <f t="shared" si="43"/>
        <v>0</v>
      </c>
      <c r="H130" s="411">
        <f t="shared" si="43"/>
        <v>0</v>
      </c>
      <c r="I130" s="259">
        <f t="shared" si="30"/>
        <v>0</v>
      </c>
      <c r="J130" s="584" t="str">
        <f t="shared" si="42"/>
        <v/>
      </c>
      <c r="K130" s="651">
        <f>SUM(K131:K133)</f>
        <v>0</v>
      </c>
    </row>
    <row r="131" spans="1:11" ht="12.75" customHeight="1" x14ac:dyDescent="0.2">
      <c r="A131" s="583" t="s">
        <v>1346</v>
      </c>
      <c r="B131" s="170"/>
      <c r="C131" s="758">
        <v>0</v>
      </c>
      <c r="D131" s="763">
        <v>0</v>
      </c>
      <c r="E131" s="743">
        <v>0</v>
      </c>
      <c r="F131" s="743">
        <v>0</v>
      </c>
      <c r="G131" s="743">
        <v>0</v>
      </c>
      <c r="H131" s="743">
        <v>0</v>
      </c>
      <c r="I131" s="45">
        <f t="shared" si="30"/>
        <v>0</v>
      </c>
      <c r="J131" s="125" t="str">
        <f t="shared" si="42"/>
        <v/>
      </c>
      <c r="K131" s="745">
        <v>0</v>
      </c>
    </row>
    <row r="132" spans="1:11" ht="12.75" customHeight="1" x14ac:dyDescent="0.2">
      <c r="A132" s="583" t="s">
        <v>1347</v>
      </c>
      <c r="B132" s="170"/>
      <c r="C132" s="758">
        <v>0</v>
      </c>
      <c r="D132" s="763">
        <v>0</v>
      </c>
      <c r="E132" s="743">
        <v>0</v>
      </c>
      <c r="F132" s="743">
        <v>0</v>
      </c>
      <c r="G132" s="743">
        <v>0</v>
      </c>
      <c r="H132" s="743">
        <v>0</v>
      </c>
      <c r="I132" s="45">
        <f t="shared" si="30"/>
        <v>0</v>
      </c>
      <c r="J132" s="125" t="str">
        <f t="shared" si="42"/>
        <v/>
      </c>
      <c r="K132" s="745">
        <v>0</v>
      </c>
    </row>
    <row r="133" spans="1:11" ht="12.75" customHeight="1" x14ac:dyDescent="0.2">
      <c r="A133" s="583" t="s">
        <v>1256</v>
      </c>
      <c r="B133" s="170"/>
      <c r="C133" s="758">
        <v>0</v>
      </c>
      <c r="D133" s="763">
        <v>0</v>
      </c>
      <c r="E133" s="743">
        <v>0</v>
      </c>
      <c r="F133" s="743">
        <v>0</v>
      </c>
      <c r="G133" s="743">
        <v>0</v>
      </c>
      <c r="H133" s="743">
        <v>0</v>
      </c>
      <c r="I133" s="45">
        <f t="shared" si="30"/>
        <v>0</v>
      </c>
      <c r="J133" s="125" t="str">
        <f t="shared" si="42"/>
        <v/>
      </c>
      <c r="K133" s="745">
        <v>0</v>
      </c>
    </row>
    <row r="134" spans="1:11" ht="5.0999999999999996" customHeight="1" x14ac:dyDescent="0.2">
      <c r="A134" s="40"/>
      <c r="B134" s="170"/>
      <c r="C134" s="135"/>
      <c r="D134" s="259"/>
      <c r="E134" s="45"/>
      <c r="F134" s="45"/>
      <c r="G134" s="45"/>
      <c r="H134" s="45"/>
      <c r="I134" s="45"/>
      <c r="J134" s="125" t="str">
        <f t="shared" si="42"/>
        <v/>
      </c>
      <c r="K134" s="145"/>
    </row>
    <row r="135" spans="1:11" ht="12.75" customHeight="1" x14ac:dyDescent="0.2">
      <c r="A135" s="553" t="s">
        <v>1348</v>
      </c>
      <c r="B135" s="170"/>
      <c r="C135" s="585">
        <f t="shared" ref="C135:H135" si="44">SUM(C136:C136)</f>
        <v>0</v>
      </c>
      <c r="D135" s="586">
        <f t="shared" si="44"/>
        <v>0</v>
      </c>
      <c r="E135" s="587">
        <f t="shared" si="44"/>
        <v>0</v>
      </c>
      <c r="F135" s="587">
        <f t="shared" si="44"/>
        <v>0</v>
      </c>
      <c r="G135" s="587">
        <f t="shared" si="44"/>
        <v>0</v>
      </c>
      <c r="H135" s="587">
        <f t="shared" si="44"/>
        <v>0</v>
      </c>
      <c r="I135" s="587">
        <f>H135-G135</f>
        <v>0</v>
      </c>
      <c r="J135" s="327" t="str">
        <f t="shared" si="4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2"/>
        <v/>
      </c>
      <c r="K136" s="745">
        <v>0</v>
      </c>
    </row>
    <row r="137" spans="1:11" ht="5.0999999999999996" customHeight="1" x14ac:dyDescent="0.2">
      <c r="A137" s="552"/>
      <c r="B137" s="170"/>
      <c r="C137" s="135"/>
      <c r="D137" s="259"/>
      <c r="E137" s="45"/>
      <c r="F137" s="45"/>
      <c r="G137" s="45"/>
      <c r="H137" s="45"/>
      <c r="I137" s="45"/>
      <c r="J137" s="125" t="str">
        <f t="shared" si="42"/>
        <v/>
      </c>
      <c r="K137" s="145"/>
    </row>
    <row r="138" spans="1:11" s="101" customFormat="1" ht="12.75" customHeight="1" x14ac:dyDescent="0.2">
      <c r="A138" s="553" t="s">
        <v>1349</v>
      </c>
      <c r="B138" s="172"/>
      <c r="C138" s="952">
        <f t="shared" ref="C138:H138" si="45">SUM(C139:C140)</f>
        <v>0</v>
      </c>
      <c r="D138" s="953">
        <f t="shared" si="45"/>
        <v>700000</v>
      </c>
      <c r="E138" s="954">
        <f t="shared" si="45"/>
        <v>700000</v>
      </c>
      <c r="F138" s="954">
        <f t="shared" si="45"/>
        <v>0</v>
      </c>
      <c r="G138" s="954">
        <f t="shared" si="45"/>
        <v>0</v>
      </c>
      <c r="H138" s="954">
        <f t="shared" si="45"/>
        <v>291666.66666666669</v>
      </c>
      <c r="I138" s="954">
        <f t="shared" ref="I138:I146" si="46">H138-G138</f>
        <v>291666.66666666669</v>
      </c>
      <c r="J138" s="327">
        <f t="shared" si="42"/>
        <v>1</v>
      </c>
      <c r="K138" s="955">
        <f>SUM(K139:K140)</f>
        <v>700000</v>
      </c>
    </row>
    <row r="139" spans="1:11" ht="12.75" customHeight="1" x14ac:dyDescent="0.2">
      <c r="A139" s="520" t="s">
        <v>1350</v>
      </c>
      <c r="B139" s="170"/>
      <c r="C139" s="758"/>
      <c r="D139" s="763"/>
      <c r="E139" s="743"/>
      <c r="F139" s="743"/>
      <c r="G139" s="743"/>
      <c r="H139" s="743"/>
      <c r="I139" s="45">
        <f t="shared" si="46"/>
        <v>0</v>
      </c>
      <c r="J139" s="125" t="str">
        <f t="shared" si="42"/>
        <v/>
      </c>
      <c r="K139" s="745"/>
    </row>
    <row r="140" spans="1:11" ht="12.75" customHeight="1" x14ac:dyDescent="0.2">
      <c r="A140" s="520" t="s">
        <v>1351</v>
      </c>
      <c r="B140" s="170"/>
      <c r="C140" s="657">
        <f t="shared" ref="C140:H140" si="47">SUM(C141:C146)</f>
        <v>0</v>
      </c>
      <c r="D140" s="658">
        <f t="shared" si="47"/>
        <v>700000</v>
      </c>
      <c r="E140" s="411">
        <f t="shared" si="47"/>
        <v>700000</v>
      </c>
      <c r="F140" s="411">
        <f t="shared" si="47"/>
        <v>0</v>
      </c>
      <c r="G140" s="411">
        <f t="shared" si="47"/>
        <v>0</v>
      </c>
      <c r="H140" s="411">
        <f t="shared" si="47"/>
        <v>291666.66666666669</v>
      </c>
      <c r="I140" s="259">
        <f t="shared" si="46"/>
        <v>291666.66666666669</v>
      </c>
      <c r="J140" s="584">
        <f t="shared" si="42"/>
        <v>1</v>
      </c>
      <c r="K140" s="651">
        <f>SUM(K141:K146)</f>
        <v>700000</v>
      </c>
    </row>
    <row r="141" spans="1:11" ht="12.75" customHeight="1" x14ac:dyDescent="0.2">
      <c r="A141" s="583" t="s">
        <v>1352</v>
      </c>
      <c r="B141" s="170"/>
      <c r="C141" s="758">
        <v>0</v>
      </c>
      <c r="D141" s="763">
        <v>0</v>
      </c>
      <c r="E141" s="743">
        <v>0</v>
      </c>
      <c r="F141" s="743">
        <v>0</v>
      </c>
      <c r="G141" s="743">
        <v>0</v>
      </c>
      <c r="H141" s="743">
        <f t="shared" ref="H141:H146" si="48">D141/12*3</f>
        <v>0</v>
      </c>
      <c r="I141" s="45">
        <f t="shared" si="46"/>
        <v>0</v>
      </c>
      <c r="J141" s="125" t="str">
        <f t="shared" si="42"/>
        <v/>
      </c>
      <c r="K141" s="745">
        <v>0</v>
      </c>
    </row>
    <row r="142" spans="1:11" ht="12.75" customHeight="1" x14ac:dyDescent="0.2">
      <c r="A142" s="583" t="s">
        <v>1353</v>
      </c>
      <c r="B142" s="170"/>
      <c r="C142" s="758">
        <v>0</v>
      </c>
      <c r="D142" s="763">
        <v>0</v>
      </c>
      <c r="E142" s="743">
        <v>0</v>
      </c>
      <c r="F142" s="743">
        <v>0</v>
      </c>
      <c r="G142" s="743">
        <v>0</v>
      </c>
      <c r="H142" s="743">
        <f t="shared" si="48"/>
        <v>0</v>
      </c>
      <c r="I142" s="45">
        <f t="shared" si="46"/>
        <v>0</v>
      </c>
      <c r="J142" s="125" t="str">
        <f t="shared" si="42"/>
        <v/>
      </c>
      <c r="K142" s="745">
        <v>0</v>
      </c>
    </row>
    <row r="143" spans="1:11" ht="12.75" customHeight="1" x14ac:dyDescent="0.2">
      <c r="A143" s="583" t="s">
        <v>1354</v>
      </c>
      <c r="B143" s="170"/>
      <c r="C143" s="758">
        <v>0</v>
      </c>
      <c r="D143" s="763">
        <v>0</v>
      </c>
      <c r="E143" s="743">
        <v>0</v>
      </c>
      <c r="F143" s="743">
        <v>0</v>
      </c>
      <c r="G143" s="743">
        <v>0</v>
      </c>
      <c r="H143" s="743">
        <f t="shared" si="48"/>
        <v>0</v>
      </c>
      <c r="I143" s="45">
        <f t="shared" si="46"/>
        <v>0</v>
      </c>
      <c r="J143" s="125" t="str">
        <f t="shared" si="42"/>
        <v/>
      </c>
      <c r="K143" s="745">
        <v>0</v>
      </c>
    </row>
    <row r="144" spans="1:11" ht="12.75" customHeight="1" x14ac:dyDescent="0.2">
      <c r="A144" s="583" t="s">
        <v>1355</v>
      </c>
      <c r="B144" s="170"/>
      <c r="C144" s="758">
        <v>0</v>
      </c>
      <c r="D144" s="763">
        <v>700000</v>
      </c>
      <c r="E144" s="743">
        <v>700000</v>
      </c>
      <c r="F144" s="743"/>
      <c r="G144" s="743">
        <v>0</v>
      </c>
      <c r="H144" s="743">
        <f>E144/12*5</f>
        <v>291666.66666666669</v>
      </c>
      <c r="I144" s="45">
        <f t="shared" si="46"/>
        <v>291666.66666666669</v>
      </c>
      <c r="J144" s="125">
        <f t="shared" si="42"/>
        <v>1</v>
      </c>
      <c r="K144" s="745">
        <v>700000</v>
      </c>
    </row>
    <row r="145" spans="1:12" ht="12.75" customHeight="1" x14ac:dyDescent="0.2">
      <c r="A145" s="583" t="s">
        <v>1356</v>
      </c>
      <c r="B145" s="170"/>
      <c r="C145" s="758">
        <v>0</v>
      </c>
      <c r="D145" s="763">
        <v>0</v>
      </c>
      <c r="E145" s="743">
        <v>0</v>
      </c>
      <c r="F145" s="743">
        <v>0</v>
      </c>
      <c r="G145" s="743">
        <v>0</v>
      </c>
      <c r="H145" s="743">
        <f t="shared" si="48"/>
        <v>0</v>
      </c>
      <c r="I145" s="45">
        <f t="shared" si="46"/>
        <v>0</v>
      </c>
      <c r="J145" s="125" t="str">
        <f t="shared" si="42"/>
        <v/>
      </c>
      <c r="K145" s="745">
        <v>0</v>
      </c>
    </row>
    <row r="146" spans="1:12" ht="12.75" customHeight="1" x14ac:dyDescent="0.2">
      <c r="A146" s="583" t="s">
        <v>1357</v>
      </c>
      <c r="B146" s="170"/>
      <c r="C146" s="758"/>
      <c r="D146" s="763">
        <v>0</v>
      </c>
      <c r="E146" s="743"/>
      <c r="F146" s="743"/>
      <c r="G146" s="743"/>
      <c r="H146" s="743">
        <f t="shared" si="48"/>
        <v>0</v>
      </c>
      <c r="I146" s="45">
        <f t="shared" si="46"/>
        <v>0</v>
      </c>
      <c r="J146" s="125" t="str">
        <f t="shared" si="42"/>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9">SUM(C149:C149)</f>
        <v>3882117.6634999998</v>
      </c>
      <c r="D148" s="586">
        <f t="shared" si="49"/>
        <v>4000000</v>
      </c>
      <c r="E148" s="587">
        <f t="shared" si="49"/>
        <v>4000008</v>
      </c>
      <c r="F148" s="587">
        <f t="shared" si="49"/>
        <v>0</v>
      </c>
      <c r="G148" s="587">
        <f t="shared" si="49"/>
        <v>0</v>
      </c>
      <c r="H148" s="587">
        <f t="shared" si="49"/>
        <v>1666670</v>
      </c>
      <c r="I148" s="587">
        <f>H148-G148</f>
        <v>1666670</v>
      </c>
      <c r="J148" s="327">
        <f>IF(I148=0,"",I148/H148)</f>
        <v>1</v>
      </c>
      <c r="K148" s="589">
        <f>SUM(K149)</f>
        <v>4000000</v>
      </c>
    </row>
    <row r="149" spans="1:12" ht="12.75" customHeight="1" x14ac:dyDescent="0.2">
      <c r="A149" s="521" t="s">
        <v>1358</v>
      </c>
      <c r="B149" s="170"/>
      <c r="C149" s="758">
        <v>3882117.6634999998</v>
      </c>
      <c r="D149" s="763">
        <v>4000000</v>
      </c>
      <c r="E149" s="743">
        <v>4000008</v>
      </c>
      <c r="F149" s="965">
        <v>0</v>
      </c>
      <c r="G149" s="743">
        <v>0</v>
      </c>
      <c r="H149" s="743">
        <f>E149/12*5</f>
        <v>1666670</v>
      </c>
      <c r="I149" s="45">
        <f>H149-G149</f>
        <v>1666670</v>
      </c>
      <c r="J149" s="125">
        <f>IF(I149=0,"",I149/H149)</f>
        <v>1</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0">SUM(C152:C152)</f>
        <v>38420126.049000002</v>
      </c>
      <c r="D151" s="586">
        <f t="shared" si="50"/>
        <v>2400000</v>
      </c>
      <c r="E151" s="587">
        <f t="shared" si="50"/>
        <v>1900000</v>
      </c>
      <c r="F151" s="587">
        <f t="shared" si="50"/>
        <v>0</v>
      </c>
      <c r="G151" s="587">
        <f t="shared" si="50"/>
        <v>405375</v>
      </c>
      <c r="H151" s="587">
        <f t="shared" si="50"/>
        <v>791666.66666666674</v>
      </c>
      <c r="I151" s="587">
        <f>H151-G151</f>
        <v>386291.66666666674</v>
      </c>
      <c r="J151" s="327">
        <f>IF(I151=0,"",I151/H151)</f>
        <v>0.48794736842105269</v>
      </c>
      <c r="K151" s="589">
        <f>SUM(K152)</f>
        <v>1900000</v>
      </c>
    </row>
    <row r="152" spans="1:12" ht="12.75" customHeight="1" x14ac:dyDescent="0.2">
      <c r="A152" s="521" t="s">
        <v>1359</v>
      </c>
      <c r="B152" s="170"/>
      <c r="C152" s="758">
        <v>38420126.049000002</v>
      </c>
      <c r="D152" s="763">
        <v>2400000</v>
      </c>
      <c r="E152" s="743">
        <v>1900000</v>
      </c>
      <c r="F152" s="743"/>
      <c r="G152" s="743">
        <v>405375</v>
      </c>
      <c r="H152" s="743">
        <f>E152/12*5</f>
        <v>791666.66666666674</v>
      </c>
      <c r="I152" s="45">
        <f>H152-G152</f>
        <v>386291.66666666674</v>
      </c>
      <c r="J152" s="125">
        <f>IF(I152=0,"",I152/H152)</f>
        <v>0.48794736842105269</v>
      </c>
      <c r="K152" s="745">
        <v>1900000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1">SUM(C155:C155)</f>
        <v>30192289.956999999</v>
      </c>
      <c r="D154" s="586">
        <f t="shared" si="51"/>
        <v>6986750</v>
      </c>
      <c r="E154" s="587">
        <f t="shared" si="51"/>
        <v>6986724</v>
      </c>
      <c r="F154" s="587">
        <f t="shared" si="51"/>
        <v>0</v>
      </c>
      <c r="G154" s="587">
        <f t="shared" si="51"/>
        <v>5953024.3465</v>
      </c>
      <c r="H154" s="587">
        <f t="shared" si="51"/>
        <v>2911135</v>
      </c>
      <c r="I154" s="587">
        <f>H154-G154</f>
        <v>-3041889.3465</v>
      </c>
      <c r="J154" s="327">
        <f>IF(I154=0,"",I154/H154)</f>
        <v>-1.0449152466306098</v>
      </c>
      <c r="K154" s="589">
        <f>SUM(K155)</f>
        <v>6986750</v>
      </c>
    </row>
    <row r="155" spans="1:12" ht="12.75" customHeight="1" x14ac:dyDescent="0.2">
      <c r="A155" s="521" t="s">
        <v>1360</v>
      </c>
      <c r="B155" s="170"/>
      <c r="C155" s="758">
        <v>30192289.956999999</v>
      </c>
      <c r="D155" s="763">
        <v>6986750</v>
      </c>
      <c r="E155" s="743">
        <v>6986724</v>
      </c>
      <c r="F155" s="743"/>
      <c r="G155" s="743">
        <v>5953024.3465</v>
      </c>
      <c r="H155" s="743">
        <f>E155/12*5</f>
        <v>2911135</v>
      </c>
      <c r="I155" s="45">
        <f>H155-G155</f>
        <v>-3041889.3465</v>
      </c>
      <c r="J155" s="125">
        <f>IF(I155=0,"",I155/H155)</f>
        <v>-1.0449152466306098</v>
      </c>
      <c r="K155" s="745">
        <v>6986750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2">SUM(C158:C158)</f>
        <v>0</v>
      </c>
      <c r="D157" s="586">
        <f t="shared" si="52"/>
        <v>0</v>
      </c>
      <c r="E157" s="587">
        <f t="shared" si="52"/>
        <v>0</v>
      </c>
      <c r="F157" s="587">
        <f t="shared" si="52"/>
        <v>0</v>
      </c>
      <c r="G157" s="587">
        <f t="shared" si="52"/>
        <v>0</v>
      </c>
      <c r="H157" s="587">
        <f t="shared" si="52"/>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980">
        <f>D158/12*2</f>
        <v>0</v>
      </c>
      <c r="I158" s="45">
        <f>H158-G158</f>
        <v>0</v>
      </c>
      <c r="J158" s="125" t="str">
        <f>IF(I158=0,"",I158/H158)</f>
        <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3">SUM(C161:C161)</f>
        <v>0</v>
      </c>
      <c r="D160" s="586">
        <f t="shared" si="53"/>
        <v>0</v>
      </c>
      <c r="E160" s="587">
        <f t="shared" si="53"/>
        <v>0</v>
      </c>
      <c r="F160" s="587">
        <f t="shared" si="53"/>
        <v>0</v>
      </c>
      <c r="G160" s="587">
        <f t="shared" si="53"/>
        <v>0</v>
      </c>
      <c r="H160" s="587">
        <f t="shared" si="53"/>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4">SUM(C164:C164)</f>
        <v>0</v>
      </c>
      <c r="D163" s="586">
        <f t="shared" si="54"/>
        <v>0</v>
      </c>
      <c r="E163" s="587">
        <f t="shared" si="54"/>
        <v>0</v>
      </c>
      <c r="F163" s="587">
        <f t="shared" si="54"/>
        <v>0</v>
      </c>
      <c r="G163" s="587">
        <f t="shared" si="54"/>
        <v>0</v>
      </c>
      <c r="H163" s="587">
        <f t="shared" si="54"/>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5">C7+C75+C103+C110+C117+C135+C138+C148+C151+C154+C157+C160+C163</f>
        <v>971545116.14745355</v>
      </c>
      <c r="D166" s="272">
        <f t="shared" si="55"/>
        <v>1183309663</v>
      </c>
      <c r="E166" s="56">
        <f t="shared" si="55"/>
        <v>1141260716</v>
      </c>
      <c r="F166" s="56">
        <f t="shared" si="55"/>
        <v>74774393.052499995</v>
      </c>
      <c r="G166" s="56">
        <f t="shared" si="55"/>
        <v>277708504.39350015</v>
      </c>
      <c r="H166" s="56">
        <f t="shared" si="55"/>
        <v>475525298.33333337</v>
      </c>
      <c r="I166" s="56">
        <f>H166-G166</f>
        <v>197816793.93983322</v>
      </c>
      <c r="J166" s="293">
        <f>IF(I166=0,"",I166/H166)</f>
        <v>0.41599636156721942</v>
      </c>
      <c r="K166" s="236">
        <f>K7+K75+K103+K110+K117+K135+K138+K148+K151+K154+K157+K160+K163</f>
        <v>1141260729</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-27890459.122500032</v>
      </c>
      <c r="G171" s="136">
        <f>G166+SC13b!G166+SC13e!G166-'C5-Capex'!G40</f>
        <v>-152169904.95200008</v>
      </c>
      <c r="H171" s="136">
        <f>H166+SC13b!H166+SC13e!H166-'C5-Capex'!H40</f>
        <v>-152316008.33333325</v>
      </c>
      <c r="I171" s="136"/>
      <c r="J171" s="136"/>
      <c r="K171" s="136">
        <f>K166+SC13b!K166+SC13e!K166-'C5-Capex'!K40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"&amp;S71Sb&amp; " - "&amp;Head57</f>
        <v>LIM354 Polokwane - Supporting Table SC13b Monthly Budget Statement - capital expenditure on renewal of existing assets by asset class - M06 December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237605792</v>
      </c>
      <c r="F7" s="103">
        <f t="shared" si="0"/>
        <v>10277459.506499998</v>
      </c>
      <c r="G7" s="103">
        <f t="shared" si="0"/>
        <v>32476174.661999997</v>
      </c>
      <c r="H7" s="103">
        <f t="shared" si="0"/>
        <v>99002413.333333328</v>
      </c>
      <c r="I7" s="102">
        <f t="shared" ref="I7:I133" si="1">H7-G7</f>
        <v>66526238.671333328</v>
      </c>
      <c r="J7" s="588">
        <f t="shared" ref="J7:J136" si="2">IF(I7=0,"",I7/H7)</f>
        <v>0.67196582822021445</v>
      </c>
      <c r="K7" s="612">
        <f>K8+K13+K17+K27+K38+K45+K53+K63+K69</f>
        <v>237605792</v>
      </c>
    </row>
    <row r="8" spans="1:11" ht="12.75" customHeight="1" x14ac:dyDescent="0.2">
      <c r="A8" s="521" t="s">
        <v>1253</v>
      </c>
      <c r="B8" s="170"/>
      <c r="C8" s="686">
        <f t="shared" ref="C8:H8" si="3">SUM(C9:C12)</f>
        <v>91641579</v>
      </c>
      <c r="D8" s="618">
        <f t="shared" si="3"/>
        <v>3705000</v>
      </c>
      <c r="E8" s="617">
        <f t="shared" si="3"/>
        <v>3705000</v>
      </c>
      <c r="F8" s="617">
        <f t="shared" si="3"/>
        <v>0</v>
      </c>
      <c r="G8" s="617">
        <f t="shared" si="3"/>
        <v>2562870.7719999999</v>
      </c>
      <c r="H8" s="617">
        <f t="shared" si="3"/>
        <v>1543750</v>
      </c>
      <c r="I8" s="259">
        <f t="shared" si="1"/>
        <v>-1019120.7719999999</v>
      </c>
      <c r="J8" s="584">
        <f t="shared" si="2"/>
        <v>-0.6601592045344129</v>
      </c>
      <c r="K8" s="619">
        <f>SUM(K9:K12)</f>
        <v>3705000</v>
      </c>
    </row>
    <row r="9" spans="1:11" ht="12.75" customHeight="1" x14ac:dyDescent="0.2">
      <c r="A9" s="583" t="s">
        <v>175</v>
      </c>
      <c r="B9" s="170"/>
      <c r="C9" s="758"/>
      <c r="D9" s="755">
        <v>3705000</v>
      </c>
      <c r="E9" s="743">
        <v>3705000</v>
      </c>
      <c r="F9" s="743"/>
      <c r="G9" s="743">
        <v>2562870.7719999999</v>
      </c>
      <c r="H9" s="743">
        <f>E9/12*5</f>
        <v>1543750</v>
      </c>
      <c r="I9" s="259">
        <f t="shared" si="1"/>
        <v>-1019120.7719999999</v>
      </c>
      <c r="J9" s="584">
        <f t="shared" si="2"/>
        <v>-0.6601592045344129</v>
      </c>
      <c r="K9" s="745">
        <v>3705000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2000000.0000000002</v>
      </c>
      <c r="E17" s="411">
        <f t="shared" si="5"/>
        <v>2000000</v>
      </c>
      <c r="F17" s="411">
        <f t="shared" si="5"/>
        <v>0</v>
      </c>
      <c r="G17" s="411">
        <f t="shared" si="5"/>
        <v>0</v>
      </c>
      <c r="H17" s="411">
        <f t="shared" si="5"/>
        <v>833333.33333333326</v>
      </c>
      <c r="I17" s="259">
        <f t="shared" si="1"/>
        <v>833333.33333333326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3076978</v>
      </c>
      <c r="D21" s="755">
        <v>2000000.0000000002</v>
      </c>
      <c r="E21" s="743">
        <v>2000000</v>
      </c>
      <c r="F21" s="743">
        <v>0</v>
      </c>
      <c r="G21" s="743">
        <v>0</v>
      </c>
      <c r="H21" s="743">
        <f>E21/12*5</f>
        <v>833333.33333333326</v>
      </c>
      <c r="I21" s="259">
        <f t="shared" si="1"/>
        <v>833333.33333333326</v>
      </c>
      <c r="J21" s="584">
        <f t="shared" si="2"/>
        <v>1</v>
      </c>
      <c r="K21" s="745">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231900792</v>
      </c>
      <c r="E38" s="411">
        <f t="shared" si="9"/>
        <v>231900792</v>
      </c>
      <c r="F38" s="411">
        <f t="shared" si="9"/>
        <v>10277459.506499998</v>
      </c>
      <c r="G38" s="411">
        <f t="shared" si="9"/>
        <v>29913303.889999997</v>
      </c>
      <c r="H38" s="411">
        <f t="shared" si="9"/>
        <v>96625330</v>
      </c>
      <c r="I38" s="259">
        <f t="shared" si="1"/>
        <v>66712026.109999999</v>
      </c>
      <c r="J38" s="584">
        <f t="shared" si="2"/>
        <v>0.69041964575955395</v>
      </c>
      <c r="K38" s="651">
        <f>SUM(K39:K44)</f>
        <v>231900792</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231900792</v>
      </c>
      <c r="E41" s="743">
        <v>231900792</v>
      </c>
      <c r="F41" s="743">
        <v>10277459.506499998</v>
      </c>
      <c r="G41" s="743">
        <f>19635844.3835+F41</f>
        <v>29913303.889999997</v>
      </c>
      <c r="H41" s="743">
        <f>E41/12*5</f>
        <v>96625330</v>
      </c>
      <c r="I41" s="259">
        <f t="shared" si="1"/>
        <v>66712026.109999999</v>
      </c>
      <c r="J41" s="584">
        <f t="shared" si="2"/>
        <v>0.69041964575955395</v>
      </c>
      <c r="K41" s="745">
        <v>231900792</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c r="E70" s="743"/>
      <c r="F70" s="743">
        <v>0</v>
      </c>
      <c r="G70" s="743">
        <v>0</v>
      </c>
      <c r="H70" s="973"/>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5483708</v>
      </c>
      <c r="F75" s="587">
        <f t="shared" si="16"/>
        <v>0</v>
      </c>
      <c r="G75" s="587">
        <f t="shared" si="16"/>
        <v>500000.00150000001</v>
      </c>
      <c r="H75" s="587">
        <f t="shared" si="16"/>
        <v>2284878.333333333</v>
      </c>
      <c r="I75" s="587">
        <f t="shared" si="1"/>
        <v>1784878.331833333</v>
      </c>
      <c r="J75" s="588">
        <f t="shared" si="2"/>
        <v>0.78116996681807271</v>
      </c>
      <c r="K75" s="589">
        <f>+K76+K99</f>
        <v>5483708</v>
      </c>
    </row>
    <row r="76" spans="1:11" ht="12.75" customHeight="1" x14ac:dyDescent="0.2">
      <c r="A76" s="521" t="s">
        <v>1305</v>
      </c>
      <c r="B76" s="170"/>
      <c r="C76" s="657">
        <f t="shared" ref="C76:H76" si="17">SUM(C77:C98)</f>
        <v>0</v>
      </c>
      <c r="D76" s="658">
        <f t="shared" si="17"/>
        <v>4818700</v>
      </c>
      <c r="E76" s="411">
        <f t="shared" si="17"/>
        <v>4483708</v>
      </c>
      <c r="F76" s="411">
        <f t="shared" si="17"/>
        <v>0</v>
      </c>
      <c r="G76" s="411">
        <f t="shared" si="17"/>
        <v>500000.00150000001</v>
      </c>
      <c r="H76" s="411">
        <f t="shared" si="17"/>
        <v>1868211.6666666665</v>
      </c>
      <c r="I76" s="259">
        <f t="shared" si="1"/>
        <v>1368211.6651666665</v>
      </c>
      <c r="J76" s="584">
        <f t="shared" si="2"/>
        <v>0.73236437261302467</v>
      </c>
      <c r="K76" s="651">
        <f>SUM(K77:K98)</f>
        <v>4483708</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3"/>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4818700</v>
      </c>
      <c r="E98" s="743">
        <v>4483708</v>
      </c>
      <c r="F98" s="743"/>
      <c r="G98" s="743">
        <v>500000.00150000001</v>
      </c>
      <c r="H98" s="743">
        <f>E98/12*5</f>
        <v>1868211.6666666665</v>
      </c>
      <c r="I98" s="45">
        <f t="shared" si="1"/>
        <v>1368211.6651666665</v>
      </c>
      <c r="J98" s="125">
        <f t="shared" si="2"/>
        <v>0.73236437261302467</v>
      </c>
      <c r="K98" s="745">
        <v>4483708</v>
      </c>
    </row>
    <row r="99" spans="1:11" ht="12.75" customHeight="1" x14ac:dyDescent="0.2">
      <c r="A99" s="521" t="s">
        <v>1322</v>
      </c>
      <c r="B99" s="170"/>
      <c r="C99" s="657">
        <f t="shared" ref="C99:H99" si="19">SUM(C100:C102)</f>
        <v>0</v>
      </c>
      <c r="D99" s="658">
        <f t="shared" si="19"/>
        <v>1000000.0000000001</v>
      </c>
      <c r="E99" s="411">
        <f t="shared" si="19"/>
        <v>1000000</v>
      </c>
      <c r="F99" s="411">
        <f t="shared" si="19"/>
        <v>0</v>
      </c>
      <c r="G99" s="411">
        <f t="shared" si="19"/>
        <v>0</v>
      </c>
      <c r="H99" s="411">
        <f t="shared" si="19"/>
        <v>416666.66666666663</v>
      </c>
      <c r="I99" s="259">
        <f t="shared" si="1"/>
        <v>416666.66666666663</v>
      </c>
      <c r="J99" s="584">
        <f t="shared" si="2"/>
        <v>1</v>
      </c>
      <c r="K99" s="651">
        <f>SUM(K100:K102)</f>
        <v>1000000.0000000001</v>
      </c>
    </row>
    <row r="100" spans="1:11" ht="12.75" customHeight="1" x14ac:dyDescent="0.2">
      <c r="A100" s="583" t="s">
        <v>1323</v>
      </c>
      <c r="B100" s="170"/>
      <c r="C100" s="758">
        <v>0</v>
      </c>
      <c r="D100" s="763">
        <v>1000000.0000000001</v>
      </c>
      <c r="E100" s="743">
        <v>1000000</v>
      </c>
      <c r="F100" s="743">
        <v>0</v>
      </c>
      <c r="G100" s="743">
        <v>0</v>
      </c>
      <c r="H100" s="743">
        <f>E100/12*5</f>
        <v>416666.66666666663</v>
      </c>
      <c r="I100" s="45">
        <f t="shared" si="1"/>
        <v>416666.66666666663</v>
      </c>
      <c r="J100" s="125">
        <f t="shared" si="2"/>
        <v>1</v>
      </c>
      <c r="K100" s="745">
        <v>1000000.0000000001</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
      <c r="A103" s="553" t="s">
        <v>690</v>
      </c>
      <c r="B103" s="170"/>
      <c r="C103" s="250">
        <f t="shared" ref="C103:H103" si="20">SUM(C104:C108)</f>
        <v>0</v>
      </c>
      <c r="D103" s="265">
        <f t="shared" si="20"/>
        <v>335000</v>
      </c>
      <c r="E103" s="100">
        <f t="shared" si="20"/>
        <v>335000</v>
      </c>
      <c r="F103" s="100">
        <f t="shared" si="20"/>
        <v>0</v>
      </c>
      <c r="G103" s="100">
        <f t="shared" si="20"/>
        <v>0</v>
      </c>
      <c r="H103" s="100">
        <f t="shared" si="20"/>
        <v>139583.33333333334</v>
      </c>
      <c r="I103" s="100">
        <f t="shared" si="1"/>
        <v>139583.33333333334</v>
      </c>
      <c r="J103" s="327">
        <f t="shared" si="2"/>
        <v>1</v>
      </c>
      <c r="K103" s="196">
        <f>SUM(K104:K108)</f>
        <v>335000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335000</v>
      </c>
      <c r="E108" s="743">
        <v>335000</v>
      </c>
      <c r="F108" s="743">
        <v>0</v>
      </c>
      <c r="G108" s="743">
        <v>0</v>
      </c>
      <c r="H108" s="743">
        <f>E108/12*5</f>
        <v>139583.33333333334</v>
      </c>
      <c r="I108" s="45">
        <f t="shared" si="1"/>
        <v>139583.33333333334</v>
      </c>
      <c r="J108" s="125">
        <f t="shared" si="2"/>
        <v>1</v>
      </c>
      <c r="K108" s="745">
        <v>335000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4">+C118+C130</f>
        <v>0</v>
      </c>
      <c r="D117" s="586">
        <f t="shared" si="24"/>
        <v>2007500</v>
      </c>
      <c r="E117" s="587">
        <f t="shared" si="24"/>
        <v>2007504</v>
      </c>
      <c r="F117" s="587">
        <f t="shared" si="24"/>
        <v>424242.22200000001</v>
      </c>
      <c r="G117" s="587">
        <f t="shared" si="24"/>
        <v>424242.22200000001</v>
      </c>
      <c r="H117" s="587">
        <f t="shared" si="24"/>
        <v>836460</v>
      </c>
      <c r="I117" s="587">
        <f t="shared" si="1"/>
        <v>412217.77799999999</v>
      </c>
      <c r="J117" s="588">
        <f t="shared" si="2"/>
        <v>0.49281230184348324</v>
      </c>
      <c r="K117" s="589">
        <f>+K118+K130</f>
        <v>2007500</v>
      </c>
    </row>
    <row r="118" spans="1:11" ht="12.75" customHeight="1" x14ac:dyDescent="0.2">
      <c r="A118" s="521" t="s">
        <v>1335</v>
      </c>
      <c r="B118" s="170"/>
      <c r="C118" s="657">
        <f t="shared" ref="C118:H118" si="25">SUM(C119:C129)</f>
        <v>0</v>
      </c>
      <c r="D118" s="658">
        <f t="shared" si="25"/>
        <v>2007500</v>
      </c>
      <c r="E118" s="411">
        <f t="shared" si="25"/>
        <v>2007504</v>
      </c>
      <c r="F118" s="411">
        <f t="shared" si="25"/>
        <v>424242.22200000001</v>
      </c>
      <c r="G118" s="411">
        <f t="shared" si="25"/>
        <v>424242.22200000001</v>
      </c>
      <c r="H118" s="411">
        <f t="shared" si="25"/>
        <v>836460</v>
      </c>
      <c r="I118" s="259">
        <f t="shared" si="1"/>
        <v>412217.77799999999</v>
      </c>
      <c r="J118" s="584">
        <f t="shared" si="2"/>
        <v>0.49281230184348324</v>
      </c>
      <c r="K118" s="651">
        <f>SUM(K119:K129)</f>
        <v>2007500</v>
      </c>
    </row>
    <row r="119" spans="1:11" ht="12.75" customHeight="1" x14ac:dyDescent="0.2">
      <c r="A119" s="583" t="s">
        <v>1336</v>
      </c>
      <c r="B119" s="170"/>
      <c r="C119" s="758">
        <v>0</v>
      </c>
      <c r="D119" s="763">
        <v>2007500</v>
      </c>
      <c r="E119" s="743">
        <v>2007504</v>
      </c>
      <c r="F119" s="743">
        <v>424242.22200000001</v>
      </c>
      <c r="G119" s="743">
        <v>424242.22200000001</v>
      </c>
      <c r="H119" s="743">
        <f>E119/12*5</f>
        <v>836460</v>
      </c>
      <c r="I119" s="45">
        <f t="shared" si="1"/>
        <v>412217.77799999999</v>
      </c>
      <c r="J119" s="125">
        <f t="shared" si="2"/>
        <v>0.49281230184348324</v>
      </c>
      <c r="K119" s="745">
        <v>2007500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982">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245432004</v>
      </c>
      <c r="F166" s="56">
        <f t="shared" si="39"/>
        <v>10701701.728499997</v>
      </c>
      <c r="G166" s="56">
        <f t="shared" si="39"/>
        <v>33400416.885499995</v>
      </c>
      <c r="H166" s="56">
        <f t="shared" si="39"/>
        <v>102263334.99999999</v>
      </c>
      <c r="I166" s="56">
        <f>H166-G166</f>
        <v>68862918.114499986</v>
      </c>
      <c r="J166" s="293">
        <f>IF(I166=0,"",I166/H166)</f>
        <v>0.67338815142787978</v>
      </c>
      <c r="K166" s="236">
        <f>K7+K75+K103+K110+K117+K135+K138+K148+K151+K154+K157+K160+K163</f>
        <v>245432000</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-27890459.122500032</v>
      </c>
      <c r="G171" s="136">
        <f>G166+SC13a!G166+SC13e!G166-'C5-Capex'!G40</f>
        <v>-152169904.95200008</v>
      </c>
      <c r="H171" s="136">
        <f>H166+SC13a!H166+SC13e!H166-'C5-Capex'!H40</f>
        <v>-152316008.33333325</v>
      </c>
      <c r="I171" s="136"/>
      <c r="J171" s="136"/>
      <c r="K171" s="136">
        <f>K166+SC13a!K166+SC13e!K166-'C5-Capex'!K40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"&amp;S71Sc&amp; " - "&amp;Head57</f>
        <v>LIM354 Polokwane - Supporting Table SC13c Monthly Budget Statement - expenditure on repairs and maintenance by asset class - M06 December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447593512</v>
      </c>
      <c r="F7" s="103">
        <f t="shared" si="0"/>
        <v>23726362.41</v>
      </c>
      <c r="G7" s="103">
        <f t="shared" si="0"/>
        <v>99705889.789999992</v>
      </c>
      <c r="H7" s="103">
        <f t="shared" si="0"/>
        <v>186497296.66666669</v>
      </c>
      <c r="I7" s="102">
        <f t="shared" ref="I7:I166" si="1">H7-G7</f>
        <v>86791406.876666695</v>
      </c>
      <c r="J7" s="588">
        <f t="shared" ref="J7:J166" si="2">IF(I7=0,"",I7/H7)</f>
        <v>0.46537621953733782</v>
      </c>
      <c r="K7" s="612">
        <f>K8+K13+K17+K27+K38+K45+K53+K63+K69</f>
        <v>447593104</v>
      </c>
    </row>
    <row r="8" spans="1:11" ht="12.75" customHeight="1" x14ac:dyDescent="0.2">
      <c r="A8" s="521" t="s">
        <v>1253</v>
      </c>
      <c r="B8" s="170"/>
      <c r="C8" s="686">
        <f t="shared" ref="C8:H8" si="3">SUM(C9:C12)</f>
        <v>70175315</v>
      </c>
      <c r="D8" s="618">
        <f t="shared" si="3"/>
        <v>80507600</v>
      </c>
      <c r="E8" s="617">
        <f t="shared" si="3"/>
        <v>80507680</v>
      </c>
      <c r="F8" s="617">
        <f t="shared" si="3"/>
        <v>1900649.1900000002</v>
      </c>
      <c r="G8" s="617">
        <f t="shared" si="3"/>
        <v>14441880.229999999</v>
      </c>
      <c r="H8" s="617">
        <f t="shared" si="3"/>
        <v>33544866.666666664</v>
      </c>
      <c r="I8" s="259">
        <f t="shared" si="1"/>
        <v>19102986.436666667</v>
      </c>
      <c r="J8" s="584">
        <f t="shared" si="2"/>
        <v>0.56947570030585903</v>
      </c>
      <c r="K8" s="619">
        <f>SUM(K9:K12)</f>
        <v>80507680</v>
      </c>
    </row>
    <row r="9" spans="1:11" ht="12.75" customHeight="1" x14ac:dyDescent="0.2">
      <c r="A9" s="583" t="s">
        <v>175</v>
      </c>
      <c r="B9" s="170"/>
      <c r="C9" s="758">
        <v>67615315</v>
      </c>
      <c r="D9" s="755">
        <v>27006486</v>
      </c>
      <c r="E9" s="743">
        <v>9369588</v>
      </c>
      <c r="F9" s="743">
        <v>108938.03</v>
      </c>
      <c r="G9" s="743">
        <v>413341.62</v>
      </c>
      <c r="H9" s="755">
        <f>E9/12*5</f>
        <v>3903995</v>
      </c>
      <c r="I9" s="259">
        <f t="shared" si="1"/>
        <v>3490653.38</v>
      </c>
      <c r="J9" s="584">
        <f t="shared" si="2"/>
        <v>0.89412342485069773</v>
      </c>
      <c r="K9" s="745">
        <v>9369588</v>
      </c>
    </row>
    <row r="10" spans="1:11" ht="12.75" customHeight="1" x14ac:dyDescent="0.2">
      <c r="A10" s="583" t="s">
        <v>1254</v>
      </c>
      <c r="B10" s="170"/>
      <c r="C10" s="758"/>
      <c r="D10" s="755">
        <v>35754100</v>
      </c>
      <c r="E10" s="743">
        <v>0</v>
      </c>
      <c r="F10" s="743">
        <v>0</v>
      </c>
      <c r="G10" s="743">
        <v>0</v>
      </c>
      <c r="H10" s="755">
        <f t="shared" ref="H10:H12" si="4">E10/12*5</f>
        <v>0</v>
      </c>
      <c r="I10" s="259">
        <f t="shared" si="1"/>
        <v>0</v>
      </c>
      <c r="J10" s="584" t="str">
        <f t="shared" si="2"/>
        <v/>
      </c>
      <c r="K10" s="745">
        <v>0</v>
      </c>
    </row>
    <row r="11" spans="1:11" ht="12.75" customHeight="1" x14ac:dyDescent="0.2">
      <c r="A11" s="583" t="s">
        <v>1255</v>
      </c>
      <c r="B11" s="170"/>
      <c r="C11" s="758"/>
      <c r="D11" s="755">
        <v>17747014</v>
      </c>
      <c r="E11" s="743">
        <v>1164000</v>
      </c>
      <c r="F11" s="743">
        <v>0</v>
      </c>
      <c r="G11" s="743">
        <v>0</v>
      </c>
      <c r="H11" s="755">
        <f t="shared" si="4"/>
        <v>485000</v>
      </c>
      <c r="I11" s="259">
        <f t="shared" si="1"/>
        <v>485000</v>
      </c>
      <c r="J11" s="584">
        <f t="shared" si="2"/>
        <v>1</v>
      </c>
      <c r="K11" s="745">
        <v>1164000</v>
      </c>
    </row>
    <row r="12" spans="1:11" ht="12.75" customHeight="1" x14ac:dyDescent="0.2">
      <c r="A12" s="583" t="s">
        <v>1256</v>
      </c>
      <c r="B12" s="170"/>
      <c r="C12" s="758">
        <v>2560000</v>
      </c>
      <c r="D12" s="755">
        <v>0</v>
      </c>
      <c r="E12" s="743">
        <v>69974092</v>
      </c>
      <c r="F12" s="743">
        <v>1791711.1600000001</v>
      </c>
      <c r="G12" s="743">
        <v>14028538.609999999</v>
      </c>
      <c r="H12" s="743">
        <f t="shared" si="4"/>
        <v>29155871.666666664</v>
      </c>
      <c r="I12" s="259">
        <f t="shared" si="1"/>
        <v>15127333.056666665</v>
      </c>
      <c r="J12" s="584">
        <f t="shared" si="2"/>
        <v>0.51884345045877833</v>
      </c>
      <c r="K12" s="745">
        <v>69974092</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6">SUM(C18:C26)</f>
        <v>49287214</v>
      </c>
      <c r="D17" s="658">
        <f t="shared" si="6"/>
        <v>134519200</v>
      </c>
      <c r="E17" s="411">
        <f t="shared" si="6"/>
        <v>134519608</v>
      </c>
      <c r="F17" s="411">
        <f t="shared" si="6"/>
        <v>6587352.6900000004</v>
      </c>
      <c r="G17" s="411">
        <f t="shared" si="6"/>
        <v>21982343.510000002</v>
      </c>
      <c r="H17" s="411">
        <f t="shared" si="6"/>
        <v>56049836.666666672</v>
      </c>
      <c r="I17" s="259">
        <f t="shared" si="1"/>
        <v>34067493.156666666</v>
      </c>
      <c r="J17" s="584">
        <f t="shared" si="2"/>
        <v>0.60780717987224575</v>
      </c>
      <c r="K17" s="651">
        <f>SUM(K18:K26)</f>
        <v>134519200</v>
      </c>
    </row>
    <row r="18" spans="1:11" ht="12.75" customHeight="1" x14ac:dyDescent="0.2">
      <c r="A18" s="583" t="s">
        <v>1262</v>
      </c>
      <c r="B18" s="170"/>
      <c r="C18" s="758"/>
      <c r="D18" s="755">
        <v>0</v>
      </c>
      <c r="E18" s="743">
        <v>0</v>
      </c>
      <c r="F18" s="743">
        <v>0</v>
      </c>
      <c r="G18" s="743">
        <v>0</v>
      </c>
      <c r="H18" s="743">
        <f t="shared" ref="H18:H26" si="7">E18/12*5</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
      <c r="A21" s="583" t="s">
        <v>1265</v>
      </c>
      <c r="B21" s="170"/>
      <c r="C21" s="758"/>
      <c r="D21" s="755">
        <v>134519200</v>
      </c>
      <c r="E21" s="743">
        <v>134519608</v>
      </c>
      <c r="F21" s="743">
        <v>6587352.6900000004</v>
      </c>
      <c r="G21" s="743">
        <v>21982343.510000002</v>
      </c>
      <c r="H21" s="743">
        <f t="shared" si="7"/>
        <v>56049836.666666672</v>
      </c>
      <c r="I21" s="259">
        <f t="shared" si="1"/>
        <v>34067493.156666666</v>
      </c>
      <c r="J21" s="584">
        <f t="shared" si="2"/>
        <v>0.60780717987224575</v>
      </c>
      <c r="K21" s="745">
        <f t="shared" si="8"/>
        <v>134519200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v>49287214</v>
      </c>
      <c r="D26" s="755">
        <v>0</v>
      </c>
      <c r="E26" s="743">
        <v>0</v>
      </c>
      <c r="F26" s="743">
        <v>0</v>
      </c>
      <c r="G26" s="743">
        <v>0</v>
      </c>
      <c r="H26" s="743">
        <f t="shared" si="7"/>
        <v>0</v>
      </c>
      <c r="I26" s="259">
        <f t="shared" si="1"/>
        <v>0</v>
      </c>
      <c r="J26" s="584" t="str">
        <f t="shared" si="2"/>
        <v/>
      </c>
      <c r="K26" s="745">
        <f>E26</f>
        <v>0</v>
      </c>
    </row>
    <row r="27" spans="1:11" ht="12.75" customHeight="1" x14ac:dyDescent="0.2">
      <c r="A27" s="520" t="s">
        <v>1270</v>
      </c>
      <c r="B27" s="170"/>
      <c r="C27" s="657">
        <f t="shared" ref="C27:H27" si="9">SUM(C28:C37)</f>
        <v>3581110</v>
      </c>
      <c r="D27" s="658">
        <f t="shared" si="9"/>
        <v>103964200</v>
      </c>
      <c r="E27" s="411">
        <f t="shared" si="9"/>
        <v>138964232</v>
      </c>
      <c r="F27" s="411">
        <f t="shared" si="9"/>
        <v>7665484.9100000001</v>
      </c>
      <c r="G27" s="411">
        <f t="shared" si="9"/>
        <v>35839421.980000004</v>
      </c>
      <c r="H27" s="411">
        <f t="shared" si="9"/>
        <v>57901763.333333328</v>
      </c>
      <c r="I27" s="259">
        <f t="shared" si="1"/>
        <v>22062341.353333324</v>
      </c>
      <c r="J27" s="584">
        <f t="shared" si="2"/>
        <v>0.38103056078487868</v>
      </c>
      <c r="K27" s="651">
        <f>SUM(K28:K37)</f>
        <v>138964232</v>
      </c>
    </row>
    <row r="28" spans="1:11" ht="12.75" customHeight="1" x14ac:dyDescent="0.2">
      <c r="A28" s="583" t="s">
        <v>1271</v>
      </c>
      <c r="B28" s="170"/>
      <c r="C28" s="758"/>
      <c r="D28" s="755">
        <v>0</v>
      </c>
      <c r="E28" s="743">
        <v>0</v>
      </c>
      <c r="F28" s="743">
        <v>0</v>
      </c>
      <c r="G28" s="743">
        <v>0</v>
      </c>
      <c r="H28" s="743">
        <f t="shared" ref="H28:H37" si="10">E28/12*5</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row>
    <row r="30" spans="1:11" ht="12.75" customHeight="1" x14ac:dyDescent="0.2">
      <c r="A30" s="583" t="s">
        <v>1273</v>
      </c>
      <c r="B30" s="170"/>
      <c r="C30" s="758"/>
      <c r="D30" s="755">
        <v>536543</v>
      </c>
      <c r="E30" s="743">
        <v>138964232</v>
      </c>
      <c r="F30" s="743">
        <v>7665484.9100000001</v>
      </c>
      <c r="G30" s="743">
        <v>35839421.980000004</v>
      </c>
      <c r="H30" s="755">
        <f t="shared" si="10"/>
        <v>57901763.333333328</v>
      </c>
      <c r="I30" s="259">
        <f t="shared" si="1"/>
        <v>22062341.353333324</v>
      </c>
      <c r="J30" s="584">
        <f t="shared" si="2"/>
        <v>0.38103056078487868</v>
      </c>
      <c r="K30" s="745">
        <f t="shared" ref="K30:K37" si="11">E30</f>
        <v>138964232</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v>3581110</v>
      </c>
      <c r="D34" s="755">
        <v>76817694</v>
      </c>
      <c r="E34" s="743">
        <v>0</v>
      </c>
      <c r="F34" s="743">
        <v>0</v>
      </c>
      <c r="G34" s="743">
        <v>0</v>
      </c>
      <c r="H34" s="755">
        <f t="shared" si="10"/>
        <v>0</v>
      </c>
      <c r="I34" s="259">
        <f t="shared" si="1"/>
        <v>0</v>
      </c>
      <c r="J34" s="584" t="str">
        <f t="shared" si="2"/>
        <v/>
      </c>
      <c r="K34" s="745">
        <f t="shared" si="11"/>
        <v>0</v>
      </c>
    </row>
    <row r="35" spans="1:11" ht="12.75" customHeight="1" x14ac:dyDescent="0.2">
      <c r="A35" s="583" t="s">
        <v>1278</v>
      </c>
      <c r="B35" s="170"/>
      <c r="C35" s="758"/>
      <c r="D35" s="755">
        <v>26609963</v>
      </c>
      <c r="E35" s="743">
        <v>0</v>
      </c>
      <c r="F35" s="743">
        <v>0</v>
      </c>
      <c r="G35" s="743">
        <v>0</v>
      </c>
      <c r="H35" s="743">
        <f t="shared" si="10"/>
        <v>0</v>
      </c>
      <c r="I35" s="259">
        <f t="shared" si="1"/>
        <v>0</v>
      </c>
      <c r="J35" s="584" t="str">
        <f t="shared" si="2"/>
        <v/>
      </c>
      <c r="K35" s="745">
        <f t="shared" si="11"/>
        <v>0</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1591163</v>
      </c>
      <c r="D38" s="658">
        <f t="shared" si="12"/>
        <v>15647000</v>
      </c>
      <c r="E38" s="411">
        <f t="shared" si="12"/>
        <v>15646992</v>
      </c>
      <c r="F38" s="411">
        <f t="shared" si="12"/>
        <v>185348.77</v>
      </c>
      <c r="G38" s="411">
        <f t="shared" si="12"/>
        <v>914008.02</v>
      </c>
      <c r="H38" s="411">
        <f t="shared" si="12"/>
        <v>6519580</v>
      </c>
      <c r="I38" s="259">
        <f t="shared" si="1"/>
        <v>5605571.9800000004</v>
      </c>
      <c r="J38" s="584">
        <f t="shared" si="2"/>
        <v>0.85980568993708195</v>
      </c>
      <c r="K38" s="651">
        <f>SUM(K39:K44)</f>
        <v>15646992</v>
      </c>
    </row>
    <row r="39" spans="1:11" ht="12.75" customHeight="1" x14ac:dyDescent="0.2">
      <c r="A39" s="583" t="s">
        <v>1281</v>
      </c>
      <c r="B39" s="170"/>
      <c r="C39" s="758"/>
      <c r="D39" s="755">
        <v>0</v>
      </c>
      <c r="E39" s="743">
        <v>0</v>
      </c>
      <c r="F39" s="743">
        <v>0</v>
      </c>
      <c r="G39" s="743">
        <v>0</v>
      </c>
      <c r="H39" s="743">
        <f t="shared" ref="H39:H44" si="13">E39/12*5</f>
        <v>0</v>
      </c>
      <c r="I39" s="259">
        <f t="shared" si="1"/>
        <v>0</v>
      </c>
      <c r="J39" s="584" t="str">
        <f t="shared" si="2"/>
        <v/>
      </c>
      <c r="K39" s="745">
        <f>E39</f>
        <v>0</v>
      </c>
    </row>
    <row r="40" spans="1:11" ht="12.75" customHeight="1" x14ac:dyDescent="0.2">
      <c r="A40" s="583" t="s">
        <v>141</v>
      </c>
      <c r="B40" s="170"/>
      <c r="C40" s="758">
        <v>1591163</v>
      </c>
      <c r="D40" s="755">
        <v>15647000</v>
      </c>
      <c r="E40" s="743">
        <v>15646992</v>
      </c>
      <c r="F40" s="743">
        <v>185348.77</v>
      </c>
      <c r="G40" s="743">
        <v>914008.02</v>
      </c>
      <c r="H40" s="755">
        <f t="shared" si="13"/>
        <v>6519580</v>
      </c>
      <c r="I40" s="259">
        <f t="shared" si="1"/>
        <v>5605571.9800000004</v>
      </c>
      <c r="J40" s="584">
        <f t="shared" si="2"/>
        <v>0.85980568993708195</v>
      </c>
      <c r="K40" s="745">
        <f>E40</f>
        <v>15646992</v>
      </c>
    </row>
    <row r="41" spans="1:11" ht="12.75" customHeight="1" x14ac:dyDescent="0.2">
      <c r="A41" s="583" t="s">
        <v>1282</v>
      </c>
      <c r="B41" s="170"/>
      <c r="C41" s="758"/>
      <c r="D41" s="755">
        <v>0</v>
      </c>
      <c r="E41" s="743">
        <v>0</v>
      </c>
      <c r="F41" s="743">
        <v>0</v>
      </c>
      <c r="G41" s="743">
        <v>0</v>
      </c>
      <c r="H41" s="743">
        <f t="shared" si="13"/>
        <v>0</v>
      </c>
      <c r="I41" s="259">
        <f t="shared" si="1"/>
        <v>0</v>
      </c>
      <c r="J41" s="584" t="str">
        <f t="shared" si="2"/>
        <v/>
      </c>
      <c r="K41" s="745">
        <f>E41</f>
        <v>0</v>
      </c>
    </row>
    <row r="42" spans="1:11" ht="12.75" customHeight="1" x14ac:dyDescent="0.2">
      <c r="A42" s="583" t="s">
        <v>1283</v>
      </c>
      <c r="B42" s="170"/>
      <c r="C42" s="758"/>
      <c r="D42" s="755" t="s">
        <v>1363</v>
      </c>
      <c r="E42" s="743">
        <v>0</v>
      </c>
      <c r="F42" s="743">
        <v>0</v>
      </c>
      <c r="G42" s="743">
        <v>0</v>
      </c>
      <c r="H42" s="743">
        <f t="shared" si="13"/>
        <v>0</v>
      </c>
      <c r="I42" s="259">
        <f t="shared" si="1"/>
        <v>0</v>
      </c>
      <c r="J42" s="584" t="str">
        <f t="shared" si="2"/>
        <v/>
      </c>
      <c r="K42" s="745" t="str">
        <f t="shared" ref="K42:K44" si="14">D42</f>
        <v>.</v>
      </c>
    </row>
    <row r="43" spans="1:11" ht="12.75" customHeight="1" x14ac:dyDescent="0.2">
      <c r="A43" s="583" t="s">
        <v>1284</v>
      </c>
      <c r="B43" s="170"/>
      <c r="C43" s="758"/>
      <c r="D43" s="755">
        <v>0</v>
      </c>
      <c r="E43" s="743">
        <v>0</v>
      </c>
      <c r="F43" s="743">
        <v>0</v>
      </c>
      <c r="G43" s="743">
        <v>0</v>
      </c>
      <c r="H43" s="743">
        <f t="shared" si="13"/>
        <v>0</v>
      </c>
      <c r="I43" s="259">
        <f t="shared" si="1"/>
        <v>0</v>
      </c>
      <c r="J43" s="584" t="str">
        <f t="shared" si="2"/>
        <v/>
      </c>
      <c r="K43" s="745">
        <f t="shared" si="14"/>
        <v>0</v>
      </c>
    </row>
    <row r="44" spans="1:11" ht="12.75" customHeight="1" x14ac:dyDescent="0.2">
      <c r="A44" s="583" t="s">
        <v>1256</v>
      </c>
      <c r="B44" s="170"/>
      <c r="C44" s="758"/>
      <c r="D44" s="755">
        <v>0</v>
      </c>
      <c r="E44" s="743">
        <v>0</v>
      </c>
      <c r="F44" s="743">
        <v>0</v>
      </c>
      <c r="G44" s="743">
        <v>0</v>
      </c>
      <c r="H44" s="743">
        <f t="shared" si="13"/>
        <v>0</v>
      </c>
      <c r="I44" s="259">
        <f t="shared" si="1"/>
        <v>0</v>
      </c>
      <c r="J44" s="584" t="str">
        <f t="shared" si="2"/>
        <v/>
      </c>
      <c r="K44" s="745">
        <f t="shared" si="14"/>
        <v>0</v>
      </c>
    </row>
    <row r="45" spans="1:11" ht="12.75" customHeight="1" x14ac:dyDescent="0.2">
      <c r="A45" s="520" t="s">
        <v>1285</v>
      </c>
      <c r="B45" s="170"/>
      <c r="C45" s="657">
        <f t="shared" ref="C45:H45" si="15">SUM(C46:C52)</f>
        <v>1017727</v>
      </c>
      <c r="D45" s="658">
        <f t="shared" si="15"/>
        <v>77955000</v>
      </c>
      <c r="E45" s="411">
        <f t="shared" si="15"/>
        <v>77955000</v>
      </c>
      <c r="F45" s="411">
        <f t="shared" si="15"/>
        <v>7387526.8499999996</v>
      </c>
      <c r="G45" s="411">
        <f t="shared" si="15"/>
        <v>26528236.050000001</v>
      </c>
      <c r="H45" s="411">
        <f t="shared" si="15"/>
        <v>32481249.999999996</v>
      </c>
      <c r="I45" s="259">
        <f t="shared" si="1"/>
        <v>5953013.9499999955</v>
      </c>
      <c r="J45" s="584">
        <f t="shared" si="2"/>
        <v>0.18327539580527216</v>
      </c>
      <c r="K45" s="651">
        <f>SUM(K46:K52)</f>
        <v>77955000</v>
      </c>
    </row>
    <row r="46" spans="1:11" ht="12.75" customHeight="1" x14ac:dyDescent="0.2">
      <c r="A46" s="583" t="s">
        <v>1286</v>
      </c>
      <c r="B46" s="170"/>
      <c r="C46" s="758"/>
      <c r="D46" s="755">
        <v>0</v>
      </c>
      <c r="E46" s="743">
        <v>0</v>
      </c>
      <c r="F46" s="743">
        <v>0</v>
      </c>
      <c r="G46" s="743">
        <v>0</v>
      </c>
      <c r="H46" s="743">
        <f t="shared" ref="H46:H52" si="16">E46/12*5</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si="16"/>
        <v>0</v>
      </c>
      <c r="I47" s="259">
        <f t="shared" si="1"/>
        <v>0</v>
      </c>
      <c r="J47" s="584" t="str">
        <f t="shared" si="2"/>
        <v/>
      </c>
      <c r="K47" s="745">
        <f t="shared" ref="K47" si="17">D47</f>
        <v>0</v>
      </c>
    </row>
    <row r="48" spans="1:11" ht="12.75" customHeight="1" x14ac:dyDescent="0.2">
      <c r="A48" s="583" t="s">
        <v>1288</v>
      </c>
      <c r="B48" s="170"/>
      <c r="C48" s="758"/>
      <c r="D48" s="755">
        <v>67899100</v>
      </c>
      <c r="E48" s="743">
        <v>67899100</v>
      </c>
      <c r="F48" s="743">
        <v>7387526.8499999996</v>
      </c>
      <c r="G48" s="743">
        <v>26528236.050000001</v>
      </c>
      <c r="H48" s="755">
        <f t="shared" si="16"/>
        <v>28291291.666666664</v>
      </c>
      <c r="I48" s="259">
        <f t="shared" si="1"/>
        <v>1763055.6166666634</v>
      </c>
      <c r="J48" s="584">
        <f t="shared" si="2"/>
        <v>6.2317961210089569E-2</v>
      </c>
      <c r="K48" s="745">
        <v>67899100</v>
      </c>
    </row>
    <row r="49" spans="1:11" ht="12.75" customHeight="1" x14ac:dyDescent="0.2">
      <c r="A49" s="583" t="s">
        <v>1289</v>
      </c>
      <c r="B49" s="170"/>
      <c r="C49" s="758">
        <v>1017727</v>
      </c>
      <c r="D49" s="755">
        <v>9695342</v>
      </c>
      <c r="E49" s="743">
        <v>9695342</v>
      </c>
      <c r="F49" s="743">
        <v>0</v>
      </c>
      <c r="G49" s="743">
        <v>0</v>
      </c>
      <c r="H49" s="755">
        <f t="shared" si="16"/>
        <v>4039725.833333333</v>
      </c>
      <c r="I49" s="259">
        <f t="shared" si="1"/>
        <v>4039725.833333333</v>
      </c>
      <c r="J49" s="584">
        <f t="shared" si="2"/>
        <v>1</v>
      </c>
      <c r="K49" s="745">
        <v>9695342</v>
      </c>
    </row>
    <row r="50" spans="1:11" ht="12.75" customHeight="1" x14ac:dyDescent="0.2">
      <c r="A50" s="583" t="s">
        <v>1290</v>
      </c>
      <c r="B50" s="170"/>
      <c r="C50" s="758"/>
      <c r="D50" s="755">
        <v>0</v>
      </c>
      <c r="E50" s="743">
        <v>0</v>
      </c>
      <c r="F50" s="743">
        <v>0</v>
      </c>
      <c r="G50" s="743">
        <v>0</v>
      </c>
      <c r="H50" s="743">
        <f t="shared" si="16"/>
        <v>0</v>
      </c>
      <c r="I50" s="259">
        <f t="shared" si="1"/>
        <v>0</v>
      </c>
      <c r="J50" s="584" t="str">
        <f t="shared" si="2"/>
        <v/>
      </c>
      <c r="K50" s="745">
        <v>0</v>
      </c>
    </row>
    <row r="51" spans="1:11" ht="12.75" customHeight="1" x14ac:dyDescent="0.2">
      <c r="A51" s="583" t="s">
        <v>1291</v>
      </c>
      <c r="B51" s="170"/>
      <c r="C51" s="758"/>
      <c r="D51" s="755">
        <v>0</v>
      </c>
      <c r="E51" s="743">
        <v>0</v>
      </c>
      <c r="F51" s="743">
        <v>0</v>
      </c>
      <c r="G51" s="743">
        <v>0</v>
      </c>
      <c r="H51" s="743">
        <f t="shared" si="16"/>
        <v>0</v>
      </c>
      <c r="I51" s="259">
        <f t="shared" si="1"/>
        <v>0</v>
      </c>
      <c r="J51" s="584" t="str">
        <f t="shared" si="2"/>
        <v/>
      </c>
      <c r="K51" s="745">
        <v>0</v>
      </c>
    </row>
    <row r="52" spans="1:11" ht="12.75" customHeight="1" x14ac:dyDescent="0.2">
      <c r="A52" s="583" t="s">
        <v>1256</v>
      </c>
      <c r="B52" s="170"/>
      <c r="C52" s="758"/>
      <c r="D52" s="755">
        <v>360558</v>
      </c>
      <c r="E52" s="743">
        <v>360558</v>
      </c>
      <c r="F52" s="743">
        <v>0</v>
      </c>
      <c r="G52" s="743">
        <v>0</v>
      </c>
      <c r="H52" s="755">
        <f t="shared" si="16"/>
        <v>150232.5</v>
      </c>
      <c r="I52" s="259">
        <f t="shared" si="1"/>
        <v>150232.5</v>
      </c>
      <c r="J52" s="584">
        <f t="shared" si="2"/>
        <v>1</v>
      </c>
      <c r="K52" s="745">
        <v>360558</v>
      </c>
    </row>
    <row r="53" spans="1:11" ht="12.75" customHeight="1" x14ac:dyDescent="0.2">
      <c r="A53" s="521" t="s">
        <v>1292</v>
      </c>
      <c r="B53" s="170"/>
      <c r="C53" s="657">
        <f t="shared" ref="C53:H53" si="18">SUM(C54:C62)</f>
        <v>0</v>
      </c>
      <c r="D53" s="658">
        <f t="shared" si="18"/>
        <v>0</v>
      </c>
      <c r="E53" s="411">
        <f t="shared" si="18"/>
        <v>0</v>
      </c>
      <c r="F53" s="411">
        <f t="shared" si="18"/>
        <v>0</v>
      </c>
      <c r="G53" s="411">
        <f t="shared" si="18"/>
        <v>0</v>
      </c>
      <c r="H53" s="411">
        <f t="shared" si="18"/>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19">D55/12*7</f>
        <v>0</v>
      </c>
      <c r="I55" s="259">
        <f t="shared" si="1"/>
        <v>0</v>
      </c>
      <c r="J55" s="584" t="str">
        <f t="shared" si="2"/>
        <v/>
      </c>
      <c r="K55" s="745">
        <f t="shared" ref="K55:K62" si="20">D55</f>
        <v>0</v>
      </c>
    </row>
    <row r="56" spans="1:11" ht="12.75" customHeight="1" x14ac:dyDescent="0.2">
      <c r="A56" s="583" t="s">
        <v>1295</v>
      </c>
      <c r="B56" s="170"/>
      <c r="C56" s="758"/>
      <c r="D56" s="755">
        <v>0</v>
      </c>
      <c r="E56" s="743">
        <v>0</v>
      </c>
      <c r="F56" s="743">
        <v>0</v>
      </c>
      <c r="G56" s="743">
        <v>0</v>
      </c>
      <c r="H56" s="743">
        <f t="shared" si="19"/>
        <v>0</v>
      </c>
      <c r="I56" s="259">
        <f t="shared" si="1"/>
        <v>0</v>
      </c>
      <c r="J56" s="584" t="str">
        <f t="shared" si="2"/>
        <v/>
      </c>
      <c r="K56" s="745">
        <f t="shared" si="20"/>
        <v>0</v>
      </c>
    </row>
    <row r="57" spans="1:11" ht="12.75" customHeight="1" x14ac:dyDescent="0.2">
      <c r="A57" s="583" t="s">
        <v>1258</v>
      </c>
      <c r="B57" s="170"/>
      <c r="C57" s="758"/>
      <c r="D57" s="755">
        <v>0</v>
      </c>
      <c r="E57" s="743">
        <v>0</v>
      </c>
      <c r="F57" s="743">
        <v>0</v>
      </c>
      <c r="G57" s="743">
        <v>0</v>
      </c>
      <c r="H57" s="743">
        <f t="shared" si="19"/>
        <v>0</v>
      </c>
      <c r="I57" s="259">
        <f t="shared" si="1"/>
        <v>0</v>
      </c>
      <c r="J57" s="584" t="str">
        <f t="shared" si="2"/>
        <v/>
      </c>
      <c r="K57" s="745">
        <f t="shared" si="20"/>
        <v>0</v>
      </c>
    </row>
    <row r="58" spans="1:11" ht="12.75" customHeight="1" x14ac:dyDescent="0.2">
      <c r="A58" s="583" t="s">
        <v>1259</v>
      </c>
      <c r="B58" s="170"/>
      <c r="C58" s="758"/>
      <c r="D58" s="755">
        <v>0</v>
      </c>
      <c r="E58" s="743">
        <v>0</v>
      </c>
      <c r="F58" s="743">
        <v>0</v>
      </c>
      <c r="G58" s="743">
        <v>0</v>
      </c>
      <c r="H58" s="743">
        <f t="shared" si="19"/>
        <v>0</v>
      </c>
      <c r="I58" s="259">
        <f t="shared" si="1"/>
        <v>0</v>
      </c>
      <c r="J58" s="584" t="str">
        <f t="shared" si="2"/>
        <v/>
      </c>
      <c r="K58" s="745">
        <f t="shared" si="20"/>
        <v>0</v>
      </c>
    </row>
    <row r="59" spans="1:11" ht="12.75" customHeight="1" x14ac:dyDescent="0.2">
      <c r="A59" s="583" t="s">
        <v>1260</v>
      </c>
      <c r="B59" s="170"/>
      <c r="C59" s="758"/>
      <c r="D59" s="755">
        <v>0</v>
      </c>
      <c r="E59" s="743">
        <v>0</v>
      </c>
      <c r="F59" s="743">
        <v>0</v>
      </c>
      <c r="G59" s="743">
        <v>0</v>
      </c>
      <c r="H59" s="743">
        <f t="shared" si="19"/>
        <v>0</v>
      </c>
      <c r="I59" s="259">
        <f t="shared" si="1"/>
        <v>0</v>
      </c>
      <c r="J59" s="584" t="str">
        <f t="shared" si="2"/>
        <v/>
      </c>
      <c r="K59" s="745">
        <f t="shared" si="20"/>
        <v>0</v>
      </c>
    </row>
    <row r="60" spans="1:11" ht="12.75" customHeight="1" x14ac:dyDescent="0.2">
      <c r="A60" s="583" t="s">
        <v>1266</v>
      </c>
      <c r="B60" s="170"/>
      <c r="C60" s="758"/>
      <c r="D60" s="755">
        <v>0</v>
      </c>
      <c r="E60" s="743">
        <v>0</v>
      </c>
      <c r="F60" s="743">
        <v>0</v>
      </c>
      <c r="G60" s="743">
        <v>0</v>
      </c>
      <c r="H60" s="743">
        <f t="shared" si="19"/>
        <v>0</v>
      </c>
      <c r="I60" s="259">
        <f t="shared" si="1"/>
        <v>0</v>
      </c>
      <c r="J60" s="584" t="str">
        <f t="shared" si="2"/>
        <v/>
      </c>
      <c r="K60" s="745">
        <f t="shared" si="20"/>
        <v>0</v>
      </c>
    </row>
    <row r="61" spans="1:11" ht="12.75" customHeight="1" x14ac:dyDescent="0.2">
      <c r="A61" s="583" t="s">
        <v>1269</v>
      </c>
      <c r="B61" s="170"/>
      <c r="C61" s="758"/>
      <c r="D61" s="755">
        <v>0</v>
      </c>
      <c r="E61" s="743">
        <v>0</v>
      </c>
      <c r="F61" s="743">
        <v>0</v>
      </c>
      <c r="G61" s="743">
        <v>0</v>
      </c>
      <c r="H61" s="743">
        <f t="shared" si="19"/>
        <v>0</v>
      </c>
      <c r="I61" s="259">
        <f t="shared" si="1"/>
        <v>0</v>
      </c>
      <c r="J61" s="584" t="str">
        <f t="shared" si="2"/>
        <v/>
      </c>
      <c r="K61" s="745">
        <f t="shared" si="20"/>
        <v>0</v>
      </c>
    </row>
    <row r="62" spans="1:11" ht="12.75" customHeight="1" x14ac:dyDescent="0.2">
      <c r="A62" s="583" t="s">
        <v>1256</v>
      </c>
      <c r="B62" s="170"/>
      <c r="C62" s="758">
        <v>0</v>
      </c>
      <c r="D62" s="755">
        <v>0</v>
      </c>
      <c r="E62" s="743">
        <v>0</v>
      </c>
      <c r="F62" s="743">
        <v>0</v>
      </c>
      <c r="G62" s="743">
        <v>0</v>
      </c>
      <c r="H62" s="743">
        <f t="shared" si="19"/>
        <v>0</v>
      </c>
      <c r="I62" s="259">
        <f t="shared" si="1"/>
        <v>0</v>
      </c>
      <c r="J62" s="584" t="str">
        <f t="shared" si="2"/>
        <v/>
      </c>
      <c r="K62" s="745">
        <f t="shared" si="20"/>
        <v>0</v>
      </c>
    </row>
    <row r="63" spans="1:11" ht="12.75" customHeight="1" x14ac:dyDescent="0.2">
      <c r="A63" s="520" t="s">
        <v>1296</v>
      </c>
      <c r="B63" s="170"/>
      <c r="C63" s="657">
        <f t="shared" ref="C63:H63" si="21">SUM(C64:C68)</f>
        <v>0</v>
      </c>
      <c r="D63" s="658">
        <f t="shared" si="21"/>
        <v>0</v>
      </c>
      <c r="E63" s="411">
        <f t="shared" si="21"/>
        <v>0</v>
      </c>
      <c r="F63" s="411">
        <f t="shared" si="21"/>
        <v>0</v>
      </c>
      <c r="G63" s="411">
        <f t="shared" si="21"/>
        <v>0</v>
      </c>
      <c r="H63" s="411">
        <f t="shared" si="21"/>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2">SUM(C70:C73)</f>
        <v>0</v>
      </c>
      <c r="D69" s="658">
        <f t="shared" si="22"/>
        <v>0</v>
      </c>
      <c r="E69" s="411">
        <f t="shared" si="22"/>
        <v>0</v>
      </c>
      <c r="F69" s="411">
        <f t="shared" si="22"/>
        <v>0</v>
      </c>
      <c r="G69" s="411">
        <f t="shared" si="22"/>
        <v>0</v>
      </c>
      <c r="H69" s="411">
        <f t="shared" si="22"/>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3">+C76+C99</f>
        <v>850000</v>
      </c>
      <c r="D75" s="586">
        <f t="shared" si="23"/>
        <v>56227188</v>
      </c>
      <c r="E75" s="587">
        <f t="shared" si="23"/>
        <v>56477388</v>
      </c>
      <c r="F75" s="587">
        <f t="shared" si="23"/>
        <v>3100461.6999999997</v>
      </c>
      <c r="G75" s="587">
        <f t="shared" si="23"/>
        <v>16177907.959999999</v>
      </c>
      <c r="H75" s="587">
        <f t="shared" si="23"/>
        <v>23532245</v>
      </c>
      <c r="I75" s="587">
        <f t="shared" si="1"/>
        <v>7354337.040000001</v>
      </c>
      <c r="J75" s="588">
        <f t="shared" si="2"/>
        <v>0.31252169268168001</v>
      </c>
      <c r="K75" s="589">
        <f>+K76+K99</f>
        <v>56477388</v>
      </c>
    </row>
    <row r="76" spans="1:11" ht="12.75" customHeight="1" x14ac:dyDescent="0.2">
      <c r="A76" s="521" t="s">
        <v>1305</v>
      </c>
      <c r="B76" s="170"/>
      <c r="C76" s="657">
        <f t="shared" ref="C76:H76" si="24">SUM(C77:C98)</f>
        <v>0</v>
      </c>
      <c r="D76" s="658">
        <f t="shared" si="24"/>
        <v>6885984</v>
      </c>
      <c r="E76" s="411">
        <f t="shared" si="24"/>
        <v>7136184</v>
      </c>
      <c r="F76" s="411">
        <f t="shared" si="24"/>
        <v>549167.93999999994</v>
      </c>
      <c r="G76" s="411">
        <f t="shared" si="24"/>
        <v>2820591.1899999995</v>
      </c>
      <c r="H76" s="411">
        <f t="shared" si="24"/>
        <v>2973410.0000000005</v>
      </c>
      <c r="I76" s="259">
        <f t="shared" si="1"/>
        <v>152818.81000000099</v>
      </c>
      <c r="J76" s="584">
        <f t="shared" si="2"/>
        <v>5.1395135551437897E-2</v>
      </c>
      <c r="K76" s="651">
        <f>SUM(K77:K98)</f>
        <v>7136184</v>
      </c>
    </row>
    <row r="77" spans="1:11" ht="12.75" customHeight="1" x14ac:dyDescent="0.2">
      <c r="A77" s="583" t="s">
        <v>1306</v>
      </c>
      <c r="B77" s="170"/>
      <c r="C77" s="758">
        <v>0</v>
      </c>
      <c r="D77" s="755">
        <f>5742996+610585</f>
        <v>6353581</v>
      </c>
      <c r="E77" s="743">
        <v>6603781</v>
      </c>
      <c r="F77" s="743">
        <v>294174.58</v>
      </c>
      <c r="G77" s="743">
        <v>2079914.2399999998</v>
      </c>
      <c r="H77" s="743">
        <f t="shared" ref="H77:H98" si="25">E77/12*5</f>
        <v>2751575.416666667</v>
      </c>
      <c r="I77" s="45">
        <f t="shared" si="1"/>
        <v>671661.17666666722</v>
      </c>
      <c r="J77" s="125">
        <f t="shared" si="2"/>
        <v>0.24410058782991156</v>
      </c>
      <c r="K77" s="745">
        <v>6603781</v>
      </c>
    </row>
    <row r="78" spans="1:11" ht="12.75" customHeight="1" x14ac:dyDescent="0.2">
      <c r="A78" s="583" t="s">
        <v>1307</v>
      </c>
      <c r="B78" s="170"/>
      <c r="C78" s="758">
        <v>0</v>
      </c>
      <c r="D78" s="763"/>
      <c r="E78" s="743">
        <v>0</v>
      </c>
      <c r="F78" s="743">
        <v>0</v>
      </c>
      <c r="G78" s="743">
        <v>0</v>
      </c>
      <c r="H78" s="743">
        <f t="shared" si="25"/>
        <v>0</v>
      </c>
      <c r="I78" s="45">
        <f t="shared" si="1"/>
        <v>0</v>
      </c>
      <c r="J78" s="125" t="str">
        <f t="shared" si="2"/>
        <v/>
      </c>
      <c r="K78" s="745">
        <v>0</v>
      </c>
    </row>
    <row r="79" spans="1:11" ht="12.75" customHeight="1" x14ac:dyDescent="0.2">
      <c r="A79" s="583" t="s">
        <v>1308</v>
      </c>
      <c r="B79" s="170"/>
      <c r="C79" s="758">
        <v>0</v>
      </c>
      <c r="D79" s="763">
        <v>0</v>
      </c>
      <c r="E79" s="743"/>
      <c r="F79" s="743">
        <v>0</v>
      </c>
      <c r="G79" s="743">
        <v>0</v>
      </c>
      <c r="H79" s="743">
        <f t="shared" si="25"/>
        <v>0</v>
      </c>
      <c r="I79" s="45">
        <f t="shared" si="1"/>
        <v>0</v>
      </c>
      <c r="J79" s="125" t="str">
        <f t="shared" si="2"/>
        <v/>
      </c>
      <c r="K79" s="745"/>
    </row>
    <row r="80" spans="1:11" ht="12.75" customHeight="1" x14ac:dyDescent="0.2">
      <c r="A80" s="583" t="s">
        <v>1309</v>
      </c>
      <c r="B80" s="170"/>
      <c r="C80" s="758">
        <v>0</v>
      </c>
      <c r="D80" s="763">
        <v>0</v>
      </c>
      <c r="E80" s="743">
        <v>0</v>
      </c>
      <c r="F80" s="743">
        <v>0</v>
      </c>
      <c r="G80" s="743">
        <v>0</v>
      </c>
      <c r="H80" s="743">
        <f t="shared" si="25"/>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25"/>
        <v>0</v>
      </c>
      <c r="I81" s="45">
        <f t="shared" si="1"/>
        <v>0</v>
      </c>
      <c r="J81" s="125" t="str">
        <f t="shared" si="2"/>
        <v/>
      </c>
      <c r="K81" s="745">
        <v>0</v>
      </c>
    </row>
    <row r="82" spans="1:11" ht="12.75" customHeight="1" x14ac:dyDescent="0.2">
      <c r="A82" s="583" t="s">
        <v>1311</v>
      </c>
      <c r="B82" s="170"/>
      <c r="C82" s="758">
        <v>0</v>
      </c>
      <c r="D82" s="755">
        <v>2105</v>
      </c>
      <c r="E82" s="743">
        <v>2105</v>
      </c>
      <c r="F82" s="743">
        <v>0</v>
      </c>
      <c r="G82" s="743">
        <v>0</v>
      </c>
      <c r="H82" s="743">
        <f t="shared" si="25"/>
        <v>877.08333333333326</v>
      </c>
      <c r="I82" s="45">
        <f t="shared" si="1"/>
        <v>877.08333333333326</v>
      </c>
      <c r="J82" s="125">
        <f t="shared" si="2"/>
        <v>1</v>
      </c>
      <c r="K82" s="745">
        <v>2105</v>
      </c>
    </row>
    <row r="83" spans="1:11" ht="12.75" customHeight="1" x14ac:dyDescent="0.2">
      <c r="A83" s="583" t="s">
        <v>1312</v>
      </c>
      <c r="B83" s="170"/>
      <c r="C83" s="758">
        <v>0</v>
      </c>
      <c r="D83" s="755">
        <v>18952</v>
      </c>
      <c r="E83" s="743">
        <v>18952</v>
      </c>
      <c r="F83" s="743">
        <v>0</v>
      </c>
      <c r="G83" s="743">
        <v>0</v>
      </c>
      <c r="H83" s="743">
        <f t="shared" si="25"/>
        <v>7896.6666666666661</v>
      </c>
      <c r="I83" s="45">
        <f t="shared" si="1"/>
        <v>7896.6666666666661</v>
      </c>
      <c r="J83" s="125">
        <f t="shared" si="2"/>
        <v>1</v>
      </c>
      <c r="K83" s="745">
        <v>18952</v>
      </c>
    </row>
    <row r="84" spans="1:11" ht="12.75" customHeight="1" x14ac:dyDescent="0.2">
      <c r="A84" s="583" t="s">
        <v>1313</v>
      </c>
      <c r="B84" s="170"/>
      <c r="C84" s="758">
        <v>0</v>
      </c>
      <c r="D84" s="755">
        <v>63976</v>
      </c>
      <c r="E84" s="743">
        <v>63976</v>
      </c>
      <c r="F84" s="743">
        <v>0</v>
      </c>
      <c r="G84" s="743">
        <v>0</v>
      </c>
      <c r="H84" s="743">
        <f t="shared" si="25"/>
        <v>26656.666666666664</v>
      </c>
      <c r="I84" s="45">
        <f t="shared" si="1"/>
        <v>26656.666666666664</v>
      </c>
      <c r="J84" s="125">
        <f t="shared" si="2"/>
        <v>1</v>
      </c>
      <c r="K84" s="745">
        <v>63976</v>
      </c>
    </row>
    <row r="85" spans="1:11" ht="12.75" customHeight="1" x14ac:dyDescent="0.2">
      <c r="A85" s="583" t="s">
        <v>1189</v>
      </c>
      <c r="B85" s="170"/>
      <c r="C85" s="758">
        <v>0</v>
      </c>
      <c r="D85" s="763">
        <v>0</v>
      </c>
      <c r="E85" s="743">
        <v>0</v>
      </c>
      <c r="F85" s="743">
        <v>0</v>
      </c>
      <c r="G85" s="743">
        <v>0</v>
      </c>
      <c r="H85" s="743">
        <f t="shared" si="25"/>
        <v>0</v>
      </c>
      <c r="I85" s="45">
        <f t="shared" si="1"/>
        <v>0</v>
      </c>
      <c r="J85" s="125" t="str">
        <f t="shared" si="2"/>
        <v/>
      </c>
      <c r="K85" s="745">
        <v>0</v>
      </c>
    </row>
    <row r="86" spans="1:11" ht="12.75" customHeight="1" x14ac:dyDescent="0.2">
      <c r="A86" s="583" t="s">
        <v>572</v>
      </c>
      <c r="B86" s="170"/>
      <c r="C86" s="758">
        <v>0</v>
      </c>
      <c r="D86" s="755">
        <v>40853</v>
      </c>
      <c r="E86" s="743">
        <v>40853</v>
      </c>
      <c r="F86" s="743">
        <v>0</v>
      </c>
      <c r="G86" s="743">
        <v>0</v>
      </c>
      <c r="H86" s="743">
        <f t="shared" si="25"/>
        <v>17022.083333333332</v>
      </c>
      <c r="I86" s="45">
        <f t="shared" si="1"/>
        <v>17022.083333333332</v>
      </c>
      <c r="J86" s="125">
        <f t="shared" si="2"/>
        <v>1</v>
      </c>
      <c r="K86" s="745">
        <v>40853</v>
      </c>
    </row>
    <row r="87" spans="1:11" ht="12.75" customHeight="1" x14ac:dyDescent="0.2">
      <c r="A87" s="583" t="s">
        <v>1314</v>
      </c>
      <c r="B87" s="170"/>
      <c r="C87" s="758">
        <v>0</v>
      </c>
      <c r="D87" s="763">
        <v>0</v>
      </c>
      <c r="E87" s="743">
        <v>0</v>
      </c>
      <c r="F87" s="743">
        <v>0</v>
      </c>
      <c r="G87" s="743">
        <v>0</v>
      </c>
      <c r="H87" s="743">
        <f t="shared" si="25"/>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25"/>
        <v>0</v>
      </c>
      <c r="I88" s="45">
        <f t="shared" si="1"/>
        <v>0</v>
      </c>
      <c r="J88" s="125" t="str">
        <f t="shared" si="2"/>
        <v/>
      </c>
      <c r="K88" s="745">
        <v>0</v>
      </c>
    </row>
    <row r="89" spans="1:11" ht="12.75" customHeight="1" x14ac:dyDescent="0.2">
      <c r="A89" s="583" t="s">
        <v>1315</v>
      </c>
      <c r="B89" s="170"/>
      <c r="C89" s="758">
        <v>0</v>
      </c>
      <c r="D89" s="763">
        <v>0</v>
      </c>
      <c r="E89" s="743">
        <v>0</v>
      </c>
      <c r="F89" s="743">
        <v>254993.36</v>
      </c>
      <c r="G89" s="743">
        <v>740676.95</v>
      </c>
      <c r="H89" s="743">
        <f t="shared" si="25"/>
        <v>0</v>
      </c>
      <c r="I89" s="45">
        <f t="shared" si="1"/>
        <v>-740676.95</v>
      </c>
      <c r="J89" s="125" t="e">
        <f t="shared" si="2"/>
        <v>#DIV/0!</v>
      </c>
      <c r="K89" s="745">
        <v>0</v>
      </c>
    </row>
    <row r="90" spans="1:11" ht="12.75" customHeight="1" x14ac:dyDescent="0.2">
      <c r="A90" s="583" t="s">
        <v>1316</v>
      </c>
      <c r="B90" s="170"/>
      <c r="C90" s="758">
        <v>0</v>
      </c>
      <c r="D90" s="763">
        <v>0</v>
      </c>
      <c r="E90" s="743">
        <v>0</v>
      </c>
      <c r="F90" s="743">
        <v>0</v>
      </c>
      <c r="G90" s="743">
        <v>0</v>
      </c>
      <c r="H90" s="743">
        <f t="shared" si="25"/>
        <v>0</v>
      </c>
      <c r="I90" s="45">
        <f t="shared" si="1"/>
        <v>0</v>
      </c>
      <c r="J90" s="125" t="str">
        <f t="shared" si="2"/>
        <v/>
      </c>
      <c r="K90" s="745">
        <v>0</v>
      </c>
    </row>
    <row r="91" spans="1:11" ht="12.75" customHeight="1" x14ac:dyDescent="0.2">
      <c r="A91" s="583" t="s">
        <v>1317</v>
      </c>
      <c r="B91" s="170"/>
      <c r="C91" s="758">
        <v>0</v>
      </c>
      <c r="D91" s="755">
        <v>399869</v>
      </c>
      <c r="E91" s="743">
        <v>399869</v>
      </c>
      <c r="F91" s="743">
        <v>0</v>
      </c>
      <c r="G91" s="743">
        <v>0</v>
      </c>
      <c r="H91" s="743">
        <f t="shared" si="25"/>
        <v>166612.08333333331</v>
      </c>
      <c r="I91" s="45">
        <f t="shared" si="1"/>
        <v>166612.08333333331</v>
      </c>
      <c r="J91" s="125">
        <f t="shared" si="2"/>
        <v>1</v>
      </c>
      <c r="K91" s="745">
        <v>399869</v>
      </c>
    </row>
    <row r="92" spans="1:11" ht="12.75" customHeight="1" x14ac:dyDescent="0.2">
      <c r="A92" s="583" t="s">
        <v>1318</v>
      </c>
      <c r="B92" s="170"/>
      <c r="C92" s="758">
        <v>0</v>
      </c>
      <c r="D92" s="763">
        <v>0</v>
      </c>
      <c r="E92" s="743">
        <v>0</v>
      </c>
      <c r="F92" s="743">
        <v>0</v>
      </c>
      <c r="G92" s="743">
        <v>0</v>
      </c>
      <c r="H92" s="743">
        <f t="shared" si="25"/>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25"/>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25"/>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25"/>
        <v>0</v>
      </c>
      <c r="I95" s="45">
        <f t="shared" si="1"/>
        <v>0</v>
      </c>
      <c r="J95" s="125" t="str">
        <f t="shared" si="2"/>
        <v/>
      </c>
      <c r="K95" s="745">
        <v>0</v>
      </c>
    </row>
    <row r="96" spans="1:11" ht="12.75" customHeight="1" x14ac:dyDescent="0.2">
      <c r="A96" s="583" t="s">
        <v>1320</v>
      </c>
      <c r="B96" s="170"/>
      <c r="C96" s="758">
        <v>0</v>
      </c>
      <c r="D96" s="755">
        <v>6648</v>
      </c>
      <c r="E96" s="743">
        <v>6648</v>
      </c>
      <c r="F96" s="743">
        <v>0</v>
      </c>
      <c r="G96" s="743">
        <v>0</v>
      </c>
      <c r="H96" s="743">
        <f t="shared" si="25"/>
        <v>2770</v>
      </c>
      <c r="I96" s="45">
        <f t="shared" si="1"/>
        <v>2770</v>
      </c>
      <c r="J96" s="125">
        <f t="shared" si="2"/>
        <v>1</v>
      </c>
      <c r="K96" s="745">
        <v>6648</v>
      </c>
    </row>
    <row r="97" spans="1:11" ht="12.75" customHeight="1" x14ac:dyDescent="0.2">
      <c r="A97" s="583" t="s">
        <v>1321</v>
      </c>
      <c r="B97" s="170"/>
      <c r="C97" s="758">
        <v>0</v>
      </c>
      <c r="D97" s="763">
        <v>0</v>
      </c>
      <c r="E97" s="743">
        <v>0</v>
      </c>
      <c r="F97" s="743">
        <v>0</v>
      </c>
      <c r="G97" s="743">
        <v>0</v>
      </c>
      <c r="H97" s="743">
        <f t="shared" si="25"/>
        <v>0</v>
      </c>
      <c r="I97" s="45">
        <f t="shared" si="1"/>
        <v>0</v>
      </c>
      <c r="J97" s="125" t="str">
        <f t="shared" si="2"/>
        <v/>
      </c>
      <c r="K97" s="745">
        <v>0</v>
      </c>
    </row>
    <row r="98" spans="1:11" ht="12.75" customHeight="1" x14ac:dyDescent="0.2">
      <c r="A98" s="583" t="s">
        <v>1256</v>
      </c>
      <c r="B98" s="170"/>
      <c r="C98" s="758">
        <v>0</v>
      </c>
      <c r="D98" s="763">
        <v>0</v>
      </c>
      <c r="E98" s="743">
        <v>0</v>
      </c>
      <c r="F98" s="743">
        <v>0</v>
      </c>
      <c r="G98" s="743">
        <v>0</v>
      </c>
      <c r="H98" s="743">
        <f t="shared" si="25"/>
        <v>0</v>
      </c>
      <c r="I98" s="45">
        <f t="shared" si="1"/>
        <v>0</v>
      </c>
      <c r="J98" s="125" t="str">
        <f t="shared" si="2"/>
        <v/>
      </c>
      <c r="K98" s="745">
        <v>0</v>
      </c>
    </row>
    <row r="99" spans="1:11" ht="12.75" customHeight="1" x14ac:dyDescent="0.2">
      <c r="A99" s="521" t="s">
        <v>1322</v>
      </c>
      <c r="B99" s="170"/>
      <c r="C99" s="657">
        <f t="shared" ref="C99:H99" si="26">SUM(C100:C102)</f>
        <v>850000</v>
      </c>
      <c r="D99" s="658">
        <f t="shared" si="26"/>
        <v>49341204</v>
      </c>
      <c r="E99" s="411">
        <f t="shared" si="26"/>
        <v>49341204</v>
      </c>
      <c r="F99" s="411">
        <f t="shared" si="26"/>
        <v>2551293.7599999998</v>
      </c>
      <c r="G99" s="411">
        <f t="shared" si="26"/>
        <v>13357316.77</v>
      </c>
      <c r="H99" s="411">
        <f t="shared" si="26"/>
        <v>20558835</v>
      </c>
      <c r="I99" s="259">
        <f t="shared" si="1"/>
        <v>7201518.2300000004</v>
      </c>
      <c r="J99" s="584">
        <f t="shared" si="2"/>
        <v>0.35028824493216665</v>
      </c>
      <c r="K99" s="651">
        <f>SUM(K100:K102)</f>
        <v>49341204</v>
      </c>
    </row>
    <row r="100" spans="1:11" ht="12.75" customHeight="1" x14ac:dyDescent="0.2">
      <c r="A100" s="583" t="s">
        <v>1323</v>
      </c>
      <c r="B100" s="170"/>
      <c r="C100" s="758">
        <v>850000</v>
      </c>
      <c r="D100" s="755">
        <v>49341204</v>
      </c>
      <c r="E100" s="743">
        <v>49341204</v>
      </c>
      <c r="F100" s="743">
        <v>2551293.7599999998</v>
      </c>
      <c r="G100" s="743">
        <v>13357316.77</v>
      </c>
      <c r="H100" s="755">
        <f t="shared" ref="H100:H102" si="27">E100/12*5</f>
        <v>20558835</v>
      </c>
      <c r="I100" s="45">
        <f t="shared" si="1"/>
        <v>7201518.2300000004</v>
      </c>
      <c r="J100" s="125">
        <f t="shared" si="2"/>
        <v>0.35028824493216665</v>
      </c>
      <c r="K100" s="745">
        <f>E100</f>
        <v>49341204</v>
      </c>
    </row>
    <row r="101" spans="1:11" ht="12.75" customHeight="1" x14ac:dyDescent="0.2">
      <c r="A101" s="583" t="s">
        <v>1324</v>
      </c>
      <c r="B101" s="170"/>
      <c r="C101" s="758"/>
      <c r="D101" s="763">
        <v>0</v>
      </c>
      <c r="E101" s="743">
        <v>0</v>
      </c>
      <c r="F101" s="743">
        <v>0</v>
      </c>
      <c r="G101" s="743">
        <v>0</v>
      </c>
      <c r="H101" s="743">
        <f t="shared" si="27"/>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 t="shared" si="27"/>
        <v>0</v>
      </c>
      <c r="I102" s="45">
        <f t="shared" si="1"/>
        <v>0</v>
      </c>
      <c r="J102" s="125" t="str">
        <f t="shared" si="2"/>
        <v/>
      </c>
      <c r="K102" s="745">
        <f>D102</f>
        <v>0</v>
      </c>
    </row>
    <row r="103" spans="1:11" ht="12.75" customHeight="1" x14ac:dyDescent="0.2">
      <c r="A103" s="553" t="s">
        <v>690</v>
      </c>
      <c r="B103" s="170"/>
      <c r="C103" s="250">
        <f t="shared" ref="C103:H103" si="28">SUM(C104:C108)</f>
        <v>0</v>
      </c>
      <c r="D103" s="265">
        <f t="shared" si="28"/>
        <v>0</v>
      </c>
      <c r="E103" s="100">
        <f t="shared" si="28"/>
        <v>0</v>
      </c>
      <c r="F103" s="100">
        <f t="shared" si="28"/>
        <v>0</v>
      </c>
      <c r="G103" s="100">
        <f>SUM(G104:G108)</f>
        <v>0</v>
      </c>
      <c r="H103" s="100">
        <f t="shared" si="28"/>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E104</f>
        <v>0</v>
      </c>
      <c r="I104" s="45">
        <f t="shared" si="1"/>
        <v>0</v>
      </c>
      <c r="J104" s="125" t="str">
        <f t="shared" si="2"/>
        <v/>
      </c>
      <c r="K104" s="745">
        <f>E104</f>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9">+C111+C114</f>
        <v>0</v>
      </c>
      <c r="D110" s="586">
        <f t="shared" si="29"/>
        <v>0</v>
      </c>
      <c r="E110" s="587">
        <f t="shared" si="29"/>
        <v>0</v>
      </c>
      <c r="F110" s="587">
        <f t="shared" si="29"/>
        <v>0</v>
      </c>
      <c r="G110" s="587">
        <f t="shared" si="29"/>
        <v>0</v>
      </c>
      <c r="H110" s="587">
        <f t="shared" si="29"/>
        <v>0</v>
      </c>
      <c r="I110" s="100">
        <f t="shared" si="1"/>
        <v>0</v>
      </c>
      <c r="J110" s="327" t="str">
        <f t="shared" si="2"/>
        <v/>
      </c>
      <c r="K110" s="589">
        <f>+K111+K114</f>
        <v>0</v>
      </c>
    </row>
    <row r="111" spans="1:11" ht="12.75" customHeight="1" x14ac:dyDescent="0.2">
      <c r="A111" s="521" t="s">
        <v>1331</v>
      </c>
      <c r="B111" s="170"/>
      <c r="C111" s="657">
        <f t="shared" ref="C111:H111" si="30">SUM(C112:C113)</f>
        <v>0</v>
      </c>
      <c r="D111" s="658">
        <f t="shared" si="30"/>
        <v>0</v>
      </c>
      <c r="E111" s="411">
        <f t="shared" si="30"/>
        <v>0</v>
      </c>
      <c r="F111" s="411">
        <f t="shared" si="30"/>
        <v>0</v>
      </c>
      <c r="G111" s="411">
        <f t="shared" si="30"/>
        <v>0</v>
      </c>
      <c r="H111" s="411">
        <f t="shared" si="30"/>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31">SUM(C115:C116)</f>
        <v>0</v>
      </c>
      <c r="D114" s="658">
        <f t="shared" si="31"/>
        <v>0</v>
      </c>
      <c r="E114" s="411">
        <f t="shared" si="31"/>
        <v>0</v>
      </c>
      <c r="F114" s="411">
        <f t="shared" si="31"/>
        <v>0</v>
      </c>
      <c r="G114" s="411">
        <f t="shared" si="31"/>
        <v>0</v>
      </c>
      <c r="H114" s="411">
        <f t="shared" si="31"/>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32">+C118+C130</f>
        <v>162537139</v>
      </c>
      <c r="D117" s="586">
        <f t="shared" si="32"/>
        <v>56592200</v>
      </c>
      <c r="E117" s="587">
        <f t="shared" si="32"/>
        <v>56459308</v>
      </c>
      <c r="F117" s="587">
        <f t="shared" si="32"/>
        <v>1644253.9900000002</v>
      </c>
      <c r="G117" s="587">
        <f t="shared" si="32"/>
        <v>20361785.43</v>
      </c>
      <c r="H117" s="587">
        <f t="shared" si="32"/>
        <v>23524711.666666664</v>
      </c>
      <c r="I117" s="587">
        <f t="shared" si="1"/>
        <v>3162926.2366666645</v>
      </c>
      <c r="J117" s="588">
        <f t="shared" si="2"/>
        <v>0.13445122225019115</v>
      </c>
      <c r="K117" s="589">
        <f>+K118+K130</f>
        <v>56459308</v>
      </c>
    </row>
    <row r="118" spans="1:11" ht="12.75" customHeight="1" x14ac:dyDescent="0.2">
      <c r="A118" s="521" t="s">
        <v>1335</v>
      </c>
      <c r="B118" s="170"/>
      <c r="C118" s="657">
        <f t="shared" ref="C118:H118" si="33">SUM(C119:C129)</f>
        <v>162537139</v>
      </c>
      <c r="D118" s="658">
        <f t="shared" si="33"/>
        <v>56592200</v>
      </c>
      <c r="E118" s="411">
        <f t="shared" si="33"/>
        <v>56459308</v>
      </c>
      <c r="F118" s="411">
        <f t="shared" si="33"/>
        <v>1644253.9900000002</v>
      </c>
      <c r="G118" s="411">
        <f t="shared" si="33"/>
        <v>20361785.43</v>
      </c>
      <c r="H118" s="411">
        <f t="shared" si="33"/>
        <v>23524711.666666664</v>
      </c>
      <c r="I118" s="259">
        <f t="shared" si="1"/>
        <v>3162926.2366666645</v>
      </c>
      <c r="J118" s="584">
        <f t="shared" si="2"/>
        <v>0.13445122225019115</v>
      </c>
      <c r="K118" s="651">
        <f>SUM(K119:K129)</f>
        <v>56459308</v>
      </c>
    </row>
    <row r="119" spans="1:11" ht="12.75" customHeight="1" x14ac:dyDescent="0.2">
      <c r="A119" s="583" t="s">
        <v>1336</v>
      </c>
      <c r="B119" s="170"/>
      <c r="C119" s="758">
        <v>33865757</v>
      </c>
      <c r="D119" s="755">
        <v>56592200</v>
      </c>
      <c r="E119" s="743">
        <v>56459308</v>
      </c>
      <c r="F119" s="743">
        <v>1644253.9900000002</v>
      </c>
      <c r="G119" s="743">
        <v>20361785.43</v>
      </c>
      <c r="H119" s="755">
        <f>E119/12*5</f>
        <v>23524711.666666664</v>
      </c>
      <c r="I119" s="45">
        <f t="shared" si="1"/>
        <v>3162926.2366666645</v>
      </c>
      <c r="J119" s="125">
        <f t="shared" si="2"/>
        <v>0.13445122225019115</v>
      </c>
      <c r="K119" s="745">
        <f>E119</f>
        <v>56459308</v>
      </c>
    </row>
    <row r="120" spans="1:11" ht="12.75" customHeight="1" x14ac:dyDescent="0.2">
      <c r="A120" s="583" t="s">
        <v>1337</v>
      </c>
      <c r="B120" s="170"/>
      <c r="C120" s="758">
        <v>0</v>
      </c>
      <c r="D120" s="763">
        <v>0</v>
      </c>
      <c r="E120" s="743">
        <v>0</v>
      </c>
      <c r="F120" s="743">
        <v>0</v>
      </c>
      <c r="G120" s="743">
        <v>0</v>
      </c>
      <c r="H120" s="743">
        <f t="shared" ref="H120:H128" si="34">E120/12*10</f>
        <v>0</v>
      </c>
      <c r="I120" s="45">
        <f t="shared" si="1"/>
        <v>0</v>
      </c>
      <c r="J120" s="125" t="str">
        <f t="shared" si="2"/>
        <v/>
      </c>
      <c r="K120" s="745">
        <f t="shared" ref="K120:K128" si="35">D120</f>
        <v>0</v>
      </c>
    </row>
    <row r="121" spans="1:11" ht="12.75" customHeight="1" x14ac:dyDescent="0.2">
      <c r="A121" s="583" t="s">
        <v>1338</v>
      </c>
      <c r="B121" s="170"/>
      <c r="C121" s="758">
        <v>0</v>
      </c>
      <c r="D121" s="763">
        <v>0</v>
      </c>
      <c r="E121" s="743">
        <v>0</v>
      </c>
      <c r="F121" s="743">
        <v>0</v>
      </c>
      <c r="G121" s="743">
        <v>0</v>
      </c>
      <c r="H121" s="743">
        <f t="shared" si="34"/>
        <v>0</v>
      </c>
      <c r="I121" s="45">
        <f t="shared" si="1"/>
        <v>0</v>
      </c>
      <c r="J121" s="125" t="str">
        <f t="shared" si="2"/>
        <v/>
      </c>
      <c r="K121" s="745">
        <f t="shared" si="35"/>
        <v>0</v>
      </c>
    </row>
    <row r="122" spans="1:11" ht="12.75" customHeight="1" x14ac:dyDescent="0.2">
      <c r="A122" s="583" t="s">
        <v>1339</v>
      </c>
      <c r="B122" s="170"/>
      <c r="C122" s="758">
        <v>0</v>
      </c>
      <c r="D122" s="763">
        <v>0</v>
      </c>
      <c r="E122" s="743">
        <v>0</v>
      </c>
      <c r="F122" s="743">
        <v>0</v>
      </c>
      <c r="G122" s="743">
        <v>0</v>
      </c>
      <c r="H122" s="743">
        <f t="shared" si="34"/>
        <v>0</v>
      </c>
      <c r="I122" s="45">
        <f t="shared" si="1"/>
        <v>0</v>
      </c>
      <c r="J122" s="125" t="str">
        <f t="shared" si="2"/>
        <v/>
      </c>
      <c r="K122" s="745">
        <f t="shared" si="35"/>
        <v>0</v>
      </c>
    </row>
    <row r="123" spans="1:11" ht="12.75" customHeight="1" x14ac:dyDescent="0.2">
      <c r="A123" s="583" t="s">
        <v>1340</v>
      </c>
      <c r="B123" s="170"/>
      <c r="C123" s="758">
        <v>0</v>
      </c>
      <c r="D123" s="763">
        <v>0</v>
      </c>
      <c r="E123" s="743">
        <v>0</v>
      </c>
      <c r="F123" s="743">
        <v>0</v>
      </c>
      <c r="G123" s="743">
        <v>0</v>
      </c>
      <c r="H123" s="743">
        <f t="shared" si="34"/>
        <v>0</v>
      </c>
      <c r="I123" s="45">
        <f t="shared" si="1"/>
        <v>0</v>
      </c>
      <c r="J123" s="125" t="str">
        <f t="shared" si="2"/>
        <v/>
      </c>
      <c r="K123" s="745">
        <f t="shared" si="35"/>
        <v>0</v>
      </c>
    </row>
    <row r="124" spans="1:11" ht="12.75" customHeight="1" x14ac:dyDescent="0.2">
      <c r="A124" s="583" t="s">
        <v>1341</v>
      </c>
      <c r="B124" s="170"/>
      <c r="C124" s="758">
        <v>0</v>
      </c>
      <c r="D124" s="763">
        <v>0</v>
      </c>
      <c r="E124" s="743">
        <v>0</v>
      </c>
      <c r="F124" s="743">
        <v>0</v>
      </c>
      <c r="G124" s="743">
        <v>0</v>
      </c>
      <c r="H124" s="743">
        <f t="shared" si="34"/>
        <v>0</v>
      </c>
      <c r="I124" s="45">
        <f t="shared" si="1"/>
        <v>0</v>
      </c>
      <c r="J124" s="125" t="str">
        <f t="shared" si="2"/>
        <v/>
      </c>
      <c r="K124" s="745">
        <f t="shared" si="35"/>
        <v>0</v>
      </c>
    </row>
    <row r="125" spans="1:11" ht="12.75" customHeight="1" x14ac:dyDescent="0.2">
      <c r="A125" s="583" t="s">
        <v>1342</v>
      </c>
      <c r="B125" s="170"/>
      <c r="C125" s="758">
        <v>0</v>
      </c>
      <c r="D125" s="763">
        <v>0</v>
      </c>
      <c r="E125" s="743">
        <v>0</v>
      </c>
      <c r="F125" s="743">
        <v>0</v>
      </c>
      <c r="G125" s="743">
        <v>0</v>
      </c>
      <c r="H125" s="743">
        <f t="shared" si="34"/>
        <v>0</v>
      </c>
      <c r="I125" s="45">
        <f t="shared" si="1"/>
        <v>0</v>
      </c>
      <c r="J125" s="125" t="str">
        <f t="shared" si="2"/>
        <v/>
      </c>
      <c r="K125" s="745">
        <f t="shared" si="35"/>
        <v>0</v>
      </c>
    </row>
    <row r="126" spans="1:11" ht="12.75" customHeight="1" x14ac:dyDescent="0.2">
      <c r="A126" s="583" t="s">
        <v>1343</v>
      </c>
      <c r="B126" s="170"/>
      <c r="C126" s="758">
        <v>0</v>
      </c>
      <c r="D126" s="763">
        <v>0</v>
      </c>
      <c r="E126" s="743">
        <v>0</v>
      </c>
      <c r="F126" s="743">
        <v>0</v>
      </c>
      <c r="G126" s="743">
        <v>0</v>
      </c>
      <c r="H126" s="743">
        <f t="shared" si="34"/>
        <v>0</v>
      </c>
      <c r="I126" s="45">
        <f t="shared" si="1"/>
        <v>0</v>
      </c>
      <c r="J126" s="125" t="str">
        <f t="shared" si="2"/>
        <v/>
      </c>
      <c r="K126" s="745">
        <f t="shared" si="35"/>
        <v>0</v>
      </c>
    </row>
    <row r="127" spans="1:11" ht="12.75" customHeight="1" x14ac:dyDescent="0.2">
      <c r="A127" s="583" t="s">
        <v>1344</v>
      </c>
      <c r="B127" s="170"/>
      <c r="C127" s="758">
        <v>0</v>
      </c>
      <c r="D127" s="763">
        <v>0</v>
      </c>
      <c r="E127" s="743">
        <v>0</v>
      </c>
      <c r="F127" s="743">
        <v>0</v>
      </c>
      <c r="G127" s="743">
        <v>0</v>
      </c>
      <c r="H127" s="743">
        <f t="shared" si="34"/>
        <v>0</v>
      </c>
      <c r="I127" s="45">
        <f t="shared" si="1"/>
        <v>0</v>
      </c>
      <c r="J127" s="125" t="str">
        <f t="shared" si="2"/>
        <v/>
      </c>
      <c r="K127" s="745">
        <f t="shared" si="35"/>
        <v>0</v>
      </c>
    </row>
    <row r="128" spans="1:11" ht="12.75" customHeight="1" x14ac:dyDescent="0.2">
      <c r="A128" s="583" t="s">
        <v>1345</v>
      </c>
      <c r="B128" s="170"/>
      <c r="C128" s="758">
        <v>0</v>
      </c>
      <c r="D128" s="763">
        <v>0</v>
      </c>
      <c r="E128" s="743">
        <v>0</v>
      </c>
      <c r="F128" s="743">
        <v>0</v>
      </c>
      <c r="G128" s="743">
        <v>0</v>
      </c>
      <c r="H128" s="743">
        <f t="shared" si="34"/>
        <v>0</v>
      </c>
      <c r="I128" s="45">
        <f t="shared" si="1"/>
        <v>0</v>
      </c>
      <c r="J128" s="125" t="str">
        <f t="shared" si="2"/>
        <v/>
      </c>
      <c r="K128" s="745">
        <f t="shared" si="35"/>
        <v>0</v>
      </c>
    </row>
    <row r="129" spans="1:11" ht="12.75" customHeight="1" x14ac:dyDescent="0.2">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
      <c r="A130" s="521" t="s">
        <v>733</v>
      </c>
      <c r="B130" s="170"/>
      <c r="C130" s="657">
        <f t="shared" ref="C130:H130" si="36">SUM(C131:C133)</f>
        <v>0</v>
      </c>
      <c r="D130" s="658">
        <f t="shared" si="36"/>
        <v>0</v>
      </c>
      <c r="E130" s="411">
        <f t="shared" si="36"/>
        <v>0</v>
      </c>
      <c r="F130" s="411">
        <f t="shared" si="36"/>
        <v>0</v>
      </c>
      <c r="G130" s="411">
        <f t="shared" si="36"/>
        <v>0</v>
      </c>
      <c r="H130" s="411">
        <f t="shared" si="36"/>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7">SUM(C136:C136)</f>
        <v>0</v>
      </c>
      <c r="D135" s="586">
        <f t="shared" si="37"/>
        <v>0</v>
      </c>
      <c r="E135" s="587">
        <f t="shared" si="37"/>
        <v>0</v>
      </c>
      <c r="F135" s="587">
        <f t="shared" si="37"/>
        <v>0</v>
      </c>
      <c r="G135" s="587">
        <f t="shared" si="37"/>
        <v>0</v>
      </c>
      <c r="H135" s="587">
        <f t="shared" si="37"/>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8">IF(I137=0,"",I137/H137)</f>
        <v/>
      </c>
      <c r="K137" s="145"/>
    </row>
    <row r="138" spans="1:11" s="101" customFormat="1" ht="12.75" customHeight="1" x14ac:dyDescent="0.2">
      <c r="A138" s="553" t="s">
        <v>1349</v>
      </c>
      <c r="B138" s="172"/>
      <c r="C138" s="952">
        <f t="shared" ref="C138:H138" si="39">SUM(C139:C140)</f>
        <v>0</v>
      </c>
      <c r="D138" s="953">
        <f t="shared" si="39"/>
        <v>18000000</v>
      </c>
      <c r="E138" s="954">
        <f t="shared" si="39"/>
        <v>18000000</v>
      </c>
      <c r="F138" s="954">
        <f t="shared" si="39"/>
        <v>5816982.7599999998</v>
      </c>
      <c r="G138" s="954">
        <f t="shared" si="39"/>
        <v>7429926.4000000004</v>
      </c>
      <c r="H138" s="954">
        <f t="shared" si="39"/>
        <v>7500000</v>
      </c>
      <c r="I138" s="954">
        <f t="shared" ref="I138:I146" si="40">H138-G138</f>
        <v>70073.599999999627</v>
      </c>
      <c r="J138" s="327">
        <f t="shared" si="38"/>
        <v>9.3431466666666178E-3</v>
      </c>
      <c r="K138" s="955">
        <f>SUM(K139:K140)</f>
        <v>18000000</v>
      </c>
    </row>
    <row r="139" spans="1:11" ht="12.75" customHeight="1" x14ac:dyDescent="0.2">
      <c r="A139" s="520" t="s">
        <v>1350</v>
      </c>
      <c r="B139" s="170"/>
      <c r="C139" s="758"/>
      <c r="D139" s="763"/>
      <c r="E139" s="743"/>
      <c r="F139" s="743"/>
      <c r="G139" s="743"/>
      <c r="H139" s="743"/>
      <c r="I139" s="45">
        <f t="shared" si="40"/>
        <v>0</v>
      </c>
      <c r="J139" s="125" t="str">
        <f t="shared" si="38"/>
        <v/>
      </c>
      <c r="K139" s="745"/>
    </row>
    <row r="140" spans="1:11" ht="12.75" customHeight="1" x14ac:dyDescent="0.2">
      <c r="A140" s="520" t="s">
        <v>1351</v>
      </c>
      <c r="B140" s="170"/>
      <c r="C140" s="657">
        <f t="shared" ref="C140:H140" si="41">SUM(C141:C146)</f>
        <v>0</v>
      </c>
      <c r="D140" s="658">
        <f t="shared" si="41"/>
        <v>18000000</v>
      </c>
      <c r="E140" s="411">
        <f t="shared" si="41"/>
        <v>18000000</v>
      </c>
      <c r="F140" s="411">
        <f t="shared" si="41"/>
        <v>5816982.7599999998</v>
      </c>
      <c r="G140" s="411">
        <f t="shared" si="41"/>
        <v>7429926.4000000004</v>
      </c>
      <c r="H140" s="411">
        <f t="shared" si="41"/>
        <v>7500000</v>
      </c>
      <c r="I140" s="259">
        <f t="shared" si="40"/>
        <v>70073.599999999627</v>
      </c>
      <c r="J140" s="584">
        <f t="shared" si="38"/>
        <v>9.3431466666666178E-3</v>
      </c>
      <c r="K140" s="651">
        <f>SUM(K141:K146)</f>
        <v>18000000</v>
      </c>
    </row>
    <row r="141" spans="1:11" ht="12.75" customHeight="1" x14ac:dyDescent="0.2">
      <c r="A141" s="583" t="s">
        <v>1352</v>
      </c>
      <c r="B141" s="170"/>
      <c r="C141" s="758">
        <v>0</v>
      </c>
      <c r="D141" s="763">
        <v>0</v>
      </c>
      <c r="E141" s="743">
        <v>0</v>
      </c>
      <c r="F141" s="743">
        <v>0</v>
      </c>
      <c r="G141" s="743">
        <v>0</v>
      </c>
      <c r="H141" s="743">
        <f t="shared" ref="H141:H146" si="42">E141/12*5</f>
        <v>0</v>
      </c>
      <c r="I141" s="45">
        <f t="shared" si="40"/>
        <v>0</v>
      </c>
      <c r="J141" s="125" t="str">
        <f t="shared" si="38"/>
        <v/>
      </c>
      <c r="K141" s="745">
        <f t="shared" ref="K141:K146" si="43">D141</f>
        <v>0</v>
      </c>
    </row>
    <row r="142" spans="1:11" ht="12.75" customHeight="1" x14ac:dyDescent="0.2">
      <c r="A142" s="583" t="s">
        <v>1353</v>
      </c>
      <c r="B142" s="170"/>
      <c r="C142" s="758">
        <v>0</v>
      </c>
      <c r="D142" s="763">
        <v>0</v>
      </c>
      <c r="E142" s="743">
        <v>0</v>
      </c>
      <c r="F142" s="743">
        <v>0</v>
      </c>
      <c r="G142" s="743">
        <v>0</v>
      </c>
      <c r="H142" s="743">
        <f t="shared" si="42"/>
        <v>0</v>
      </c>
      <c r="I142" s="45">
        <f t="shared" si="40"/>
        <v>0</v>
      </c>
      <c r="J142" s="125" t="str">
        <f t="shared" si="38"/>
        <v/>
      </c>
      <c r="K142" s="745">
        <f t="shared" si="43"/>
        <v>0</v>
      </c>
    </row>
    <row r="143" spans="1:11" ht="12.75" customHeight="1" x14ac:dyDescent="0.2">
      <c r="A143" s="583" t="s">
        <v>1354</v>
      </c>
      <c r="B143" s="170"/>
      <c r="C143" s="758">
        <v>0</v>
      </c>
      <c r="D143" s="763">
        <v>0</v>
      </c>
      <c r="E143" s="743">
        <v>0</v>
      </c>
      <c r="F143" s="743">
        <v>0</v>
      </c>
      <c r="G143" s="743">
        <v>0</v>
      </c>
      <c r="H143" s="743">
        <f t="shared" si="42"/>
        <v>0</v>
      </c>
      <c r="I143" s="45">
        <f t="shared" si="40"/>
        <v>0</v>
      </c>
      <c r="J143" s="125" t="str">
        <f t="shared" si="38"/>
        <v/>
      </c>
      <c r="K143" s="745">
        <f t="shared" si="43"/>
        <v>0</v>
      </c>
    </row>
    <row r="144" spans="1:11" ht="12.75" customHeight="1" x14ac:dyDescent="0.2">
      <c r="A144" s="583" t="s">
        <v>1355</v>
      </c>
      <c r="B144" s="170"/>
      <c r="C144" s="758">
        <v>0</v>
      </c>
      <c r="D144" s="755">
        <v>18000000</v>
      </c>
      <c r="E144" s="743">
        <v>18000000</v>
      </c>
      <c r="F144" s="743">
        <v>5816982.7599999998</v>
      </c>
      <c r="G144" s="743">
        <v>7429926.4000000004</v>
      </c>
      <c r="H144" s="755">
        <f t="shared" si="42"/>
        <v>7500000</v>
      </c>
      <c r="I144" s="45">
        <f t="shared" si="40"/>
        <v>70073.599999999627</v>
      </c>
      <c r="J144" s="125">
        <f t="shared" si="38"/>
        <v>9.3431466666666178E-3</v>
      </c>
      <c r="K144" s="745">
        <f>E144</f>
        <v>18000000</v>
      </c>
    </row>
    <row r="145" spans="1:12" ht="12.75" customHeight="1" x14ac:dyDescent="0.2">
      <c r="A145" s="583" t="s">
        <v>1356</v>
      </c>
      <c r="B145" s="170"/>
      <c r="C145" s="758">
        <v>0</v>
      </c>
      <c r="D145" s="763">
        <v>0</v>
      </c>
      <c r="E145" s="743">
        <v>0</v>
      </c>
      <c r="F145" s="743">
        <v>0</v>
      </c>
      <c r="G145" s="743">
        <v>0</v>
      </c>
      <c r="H145" s="743">
        <f t="shared" si="42"/>
        <v>0</v>
      </c>
      <c r="I145" s="45">
        <f t="shared" si="40"/>
        <v>0</v>
      </c>
      <c r="J145" s="125" t="str">
        <f t="shared" si="38"/>
        <v/>
      </c>
      <c r="K145" s="745">
        <f t="shared" si="43"/>
        <v>0</v>
      </c>
    </row>
    <row r="146" spans="1:12" ht="12.75" customHeight="1" x14ac:dyDescent="0.2">
      <c r="A146" s="583" t="s">
        <v>1357</v>
      </c>
      <c r="B146" s="170"/>
      <c r="C146" s="758">
        <v>0</v>
      </c>
      <c r="D146" s="763">
        <v>0</v>
      </c>
      <c r="E146" s="743">
        <v>0</v>
      </c>
      <c r="F146" s="743">
        <v>0</v>
      </c>
      <c r="G146" s="743">
        <v>0</v>
      </c>
      <c r="H146" s="743">
        <f t="shared" si="42"/>
        <v>0</v>
      </c>
      <c r="I146" s="45">
        <f t="shared" si="40"/>
        <v>0</v>
      </c>
      <c r="J146" s="125" t="str">
        <f t="shared" si="38"/>
        <v/>
      </c>
      <c r="K146" s="745">
        <f t="shared" si="43"/>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4">SUM(C149:C149)</f>
        <v>0</v>
      </c>
      <c r="D148" s="586">
        <f>SUM(D149:D149)</f>
        <v>6000000</v>
      </c>
      <c r="E148" s="587">
        <f t="shared" si="44"/>
        <v>6000000</v>
      </c>
      <c r="F148" s="587">
        <f>SUM(F149:F149)</f>
        <v>400551.52</v>
      </c>
      <c r="G148" s="587">
        <f t="shared" si="44"/>
        <v>2079812.75</v>
      </c>
      <c r="H148" s="587">
        <f t="shared" si="44"/>
        <v>2500000</v>
      </c>
      <c r="I148" s="587">
        <f>H148-G148</f>
        <v>420187.25</v>
      </c>
      <c r="J148" s="327">
        <f>IF(I148=0,"",I148/H148)</f>
        <v>0.1680749</v>
      </c>
      <c r="K148" s="589">
        <f>SUM(K149)</f>
        <v>6000000</v>
      </c>
    </row>
    <row r="149" spans="1:12" ht="12.75" customHeight="1" x14ac:dyDescent="0.2">
      <c r="A149" s="521" t="s">
        <v>1358</v>
      </c>
      <c r="B149" s="170"/>
      <c r="C149" s="758"/>
      <c r="D149" s="755">
        <v>6000000</v>
      </c>
      <c r="E149" s="743">
        <v>6000000</v>
      </c>
      <c r="F149" s="743">
        <v>400551.52</v>
      </c>
      <c r="G149" s="743">
        <v>2079812.75</v>
      </c>
      <c r="H149" s="755">
        <f>E149/12*5</f>
        <v>2500000</v>
      </c>
      <c r="I149" s="45">
        <f>H149-G149</f>
        <v>420187.25</v>
      </c>
      <c r="J149" s="125">
        <f>IF(I149=0,"",I149/H149)</f>
        <v>0.1680749</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5">SUM(C152:C152)</f>
        <v>0</v>
      </c>
      <c r="D151" s="586">
        <f t="shared" si="45"/>
        <v>12390000</v>
      </c>
      <c r="E151" s="587">
        <f t="shared" si="45"/>
        <v>12390000</v>
      </c>
      <c r="F151" s="587">
        <f t="shared" si="45"/>
        <v>1431858.72</v>
      </c>
      <c r="G151" s="587">
        <f t="shared" si="45"/>
        <v>6293730.3799999999</v>
      </c>
      <c r="H151" s="587">
        <f t="shared" si="45"/>
        <v>5162500</v>
      </c>
      <c r="I151" s="587">
        <f>H151-G151</f>
        <v>-1131230.3799999999</v>
      </c>
      <c r="J151" s="327">
        <f>IF(I151=0,"",I151/H151)</f>
        <v>-0.21912452881355929</v>
      </c>
      <c r="K151" s="589">
        <f>SUM(K152)</f>
        <v>12390000</v>
      </c>
    </row>
    <row r="152" spans="1:12" ht="12.75" customHeight="1" x14ac:dyDescent="0.2">
      <c r="A152" s="521" t="s">
        <v>1359</v>
      </c>
      <c r="B152" s="170"/>
      <c r="C152" s="758"/>
      <c r="D152" s="755">
        <v>12390000</v>
      </c>
      <c r="E152" s="743">
        <v>12390000</v>
      </c>
      <c r="F152" s="743">
        <v>1431858.72</v>
      </c>
      <c r="G152" s="743">
        <v>6293730.3799999999</v>
      </c>
      <c r="H152" s="755">
        <f>E152/12*5</f>
        <v>5162500</v>
      </c>
      <c r="I152" s="45">
        <f>H152-G152</f>
        <v>-1131230.3799999999</v>
      </c>
      <c r="J152" s="125">
        <f>IF(I152=0,"",I152/H152)</f>
        <v>-0.21912452881355929</v>
      </c>
      <c r="K152" s="745">
        <f>E152</f>
        <v>12390000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6">SUM(C155:C155)</f>
        <v>0</v>
      </c>
      <c r="D154" s="586">
        <f t="shared" si="46"/>
        <v>569292</v>
      </c>
      <c r="E154" s="587">
        <f t="shared" si="46"/>
        <v>569292</v>
      </c>
      <c r="F154" s="587">
        <f t="shared" si="46"/>
        <v>50361.64</v>
      </c>
      <c r="G154" s="587">
        <f t="shared" si="46"/>
        <v>142555.76999999999</v>
      </c>
      <c r="H154" s="587">
        <f t="shared" si="46"/>
        <v>237205</v>
      </c>
      <c r="I154" s="587">
        <f>H154-G154</f>
        <v>94649.23000000001</v>
      </c>
      <c r="J154" s="327">
        <f>IF(I154=0,"",I154/H154)</f>
        <v>0.39901869690773806</v>
      </c>
      <c r="K154" s="589">
        <f>SUM(K155)</f>
        <v>569292</v>
      </c>
    </row>
    <row r="155" spans="1:12" ht="12.75" customHeight="1" x14ac:dyDescent="0.2">
      <c r="A155" s="521" t="s">
        <v>1360</v>
      </c>
      <c r="B155" s="170"/>
      <c r="C155" s="758"/>
      <c r="D155" s="755">
        <v>569292</v>
      </c>
      <c r="E155" s="743">
        <v>569292</v>
      </c>
      <c r="F155" s="743">
        <v>50361.64</v>
      </c>
      <c r="G155" s="743">
        <v>142555.76999999999</v>
      </c>
      <c r="H155" s="755">
        <f>E155/12*5</f>
        <v>237205</v>
      </c>
      <c r="I155" s="45">
        <f>H155-G155</f>
        <v>94649.23000000001</v>
      </c>
      <c r="J155" s="125">
        <f>IF(I155=0,"",I155/H155)</f>
        <v>0.39901869690773806</v>
      </c>
      <c r="K155" s="745">
        <f>E155</f>
        <v>569292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7">SUM(C158:C158)</f>
        <v>0</v>
      </c>
      <c r="D157" s="586">
        <f t="shared" si="47"/>
        <v>36148608</v>
      </c>
      <c r="E157" s="587">
        <f t="shared" si="47"/>
        <v>35998608</v>
      </c>
      <c r="F157" s="587">
        <f t="shared" si="47"/>
        <v>171678.03</v>
      </c>
      <c r="G157" s="587">
        <f t="shared" si="47"/>
        <v>9785332.4199999999</v>
      </c>
      <c r="H157" s="587">
        <f t="shared" si="47"/>
        <v>14999420</v>
      </c>
      <c r="I157" s="587">
        <f>H157-G157</f>
        <v>5214087.58</v>
      </c>
      <c r="J157" s="327">
        <f>IF(I157=0,"",I157/H157)</f>
        <v>0.34761927994549124</v>
      </c>
      <c r="K157" s="589">
        <f>SUM(K158)</f>
        <v>35998608</v>
      </c>
    </row>
    <row r="158" spans="1:12" ht="12.75" customHeight="1" x14ac:dyDescent="0.2">
      <c r="A158" s="521" t="s">
        <v>1361</v>
      </c>
      <c r="B158" s="170"/>
      <c r="C158" s="758"/>
      <c r="D158" s="755">
        <v>36148608</v>
      </c>
      <c r="E158" s="743">
        <v>35998608</v>
      </c>
      <c r="F158" s="743">
        <v>171678.03</v>
      </c>
      <c r="G158" s="743">
        <v>9785332.4199999999</v>
      </c>
      <c r="H158" s="755">
        <f>E158/12*5</f>
        <v>14999420</v>
      </c>
      <c r="I158" s="45">
        <f>H158-G158</f>
        <v>5214087.58</v>
      </c>
      <c r="J158" s="125">
        <f>IF(I158=0,"",I158/H158)</f>
        <v>0.34761927994549124</v>
      </c>
      <c r="K158" s="745">
        <f>E158</f>
        <v>35998608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8">SUM(C161:C161)</f>
        <v>0</v>
      </c>
      <c r="D160" s="586">
        <f t="shared" si="48"/>
        <v>0</v>
      </c>
      <c r="E160" s="587">
        <f t="shared" si="48"/>
        <v>0</v>
      </c>
      <c r="F160" s="587">
        <f t="shared" si="48"/>
        <v>0</v>
      </c>
      <c r="G160" s="587">
        <f t="shared" si="48"/>
        <v>0</v>
      </c>
      <c r="H160" s="587">
        <f t="shared" si="48"/>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49">SUM(C164:C164)</f>
        <v>0</v>
      </c>
      <c r="D163" s="586">
        <f t="shared" si="49"/>
        <v>0</v>
      </c>
      <c r="E163" s="587">
        <f t="shared" si="49"/>
        <v>0</v>
      </c>
      <c r="F163" s="587">
        <f t="shared" si="49"/>
        <v>0</v>
      </c>
      <c r="G163" s="587">
        <f t="shared" si="49"/>
        <v>0</v>
      </c>
      <c r="H163" s="587">
        <f t="shared" si="49"/>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50">C7+C75+C103+C110+C117+C135+C138+C148+C151+C154+C157+C160+C163</f>
        <v>289039668</v>
      </c>
      <c r="D166" s="272">
        <f t="shared" si="50"/>
        <v>598520288</v>
      </c>
      <c r="E166" s="56">
        <f t="shared" si="50"/>
        <v>633488108</v>
      </c>
      <c r="F166" s="56">
        <f t="shared" si="50"/>
        <v>36342510.770000003</v>
      </c>
      <c r="G166" s="56">
        <f t="shared" si="50"/>
        <v>161976940.89999998</v>
      </c>
      <c r="H166" s="56">
        <f t="shared" si="50"/>
        <v>263953378.33333334</v>
      </c>
      <c r="I166" s="56">
        <f t="shared" si="1"/>
        <v>101976437.43333337</v>
      </c>
      <c r="J166" s="293">
        <f t="shared" si="2"/>
        <v>0.38634261124914449</v>
      </c>
      <c r="K166" s="236">
        <f>K7+K75+K103+K110+K117+K135+K138+K148+K151+K154+K157+K160+K163</f>
        <v>633487700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7" activePane="bottomRight" state="frozen"/>
      <selection pane="topRight"/>
      <selection pane="bottomLeft"/>
      <selection pane="bottomRight" activeCell="L163" sqref="L163"/>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"&amp;S71Sd&amp; " - "&amp;Head57</f>
        <v>LIM354 Polokwane - Supporting Table SC13d Monthly Budget Statement - depreciation by asset class - M06 December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0</v>
      </c>
      <c r="F7" s="103">
        <f t="shared" si="0"/>
        <v>10301416.666666666</v>
      </c>
      <c r="G7" s="103">
        <f t="shared" si="0"/>
        <v>41205666.666666664</v>
      </c>
      <c r="H7" s="103">
        <f t="shared" si="0"/>
        <v>41205666.666666664</v>
      </c>
      <c r="I7" s="102">
        <f t="shared" ref="I7:I166" si="1">H7-G7</f>
        <v>0</v>
      </c>
      <c r="J7" s="588" t="str">
        <f t="shared" ref="J7:J166" si="2">IF(I7=0,"",I7/H7)</f>
        <v/>
      </c>
      <c r="K7" s="612">
        <f>K8+K13+K17+K27+K38+K45+K53+K63+K69</f>
        <v>123617000</v>
      </c>
    </row>
    <row r="8" spans="1:11" ht="12.75" customHeight="1" x14ac:dyDescent="0.2">
      <c r="A8" s="521" t="s">
        <v>1253</v>
      </c>
      <c r="B8" s="170"/>
      <c r="C8" s="686">
        <f t="shared" ref="C8:H8" si="3">SUM(C9:C12)</f>
        <v>53578947.875910059</v>
      </c>
      <c r="D8" s="618">
        <f t="shared" si="3"/>
        <v>60579000</v>
      </c>
      <c r="E8" s="617">
        <f t="shared" si="3"/>
        <v>0</v>
      </c>
      <c r="F8" s="617">
        <f t="shared" si="3"/>
        <v>5048250</v>
      </c>
      <c r="G8" s="617">
        <f t="shared" si="3"/>
        <v>20193000</v>
      </c>
      <c r="H8" s="617">
        <f t="shared" si="3"/>
        <v>20193000</v>
      </c>
      <c r="I8" s="259">
        <f t="shared" si="1"/>
        <v>0</v>
      </c>
      <c r="J8" s="584" t="str">
        <f t="shared" si="2"/>
        <v/>
      </c>
      <c r="K8" s="619">
        <f>SUM(K9:K12)</f>
        <v>60579000</v>
      </c>
    </row>
    <row r="9" spans="1:11" ht="12.75" customHeight="1" x14ac:dyDescent="0.2">
      <c r="A9" s="583" t="s">
        <v>175</v>
      </c>
      <c r="B9" s="170"/>
      <c r="C9" s="758">
        <v>45516148.736055359</v>
      </c>
      <c r="D9" s="755">
        <v>52516000</v>
      </c>
      <c r="E9" s="743">
        <v>0</v>
      </c>
      <c r="F9" s="743">
        <f t="shared" ref="F9:F12" si="4">D9/12</f>
        <v>4376333.333333333</v>
      </c>
      <c r="G9" s="743">
        <f>H9</f>
        <v>17505333.333333332</v>
      </c>
      <c r="H9" s="743">
        <f>D9/12*4</f>
        <v>17505333.333333332</v>
      </c>
      <c r="I9" s="259">
        <f t="shared" si="1"/>
        <v>0</v>
      </c>
      <c r="J9" s="584" t="str">
        <f t="shared" si="2"/>
        <v/>
      </c>
      <c r="K9" s="745">
        <f>D9</f>
        <v>52516000</v>
      </c>
    </row>
    <row r="10" spans="1:11" ht="12.75" customHeight="1" x14ac:dyDescent="0.2">
      <c r="A10" s="583" t="s">
        <v>1254</v>
      </c>
      <c r="B10" s="170"/>
      <c r="C10" s="758">
        <v>7470028.0282234093</v>
      </c>
      <c r="D10" s="755">
        <v>7470000</v>
      </c>
      <c r="E10" s="743">
        <v>0</v>
      </c>
      <c r="F10" s="743">
        <f>D10/12</f>
        <v>622500</v>
      </c>
      <c r="G10" s="743">
        <f t="shared" ref="G10:G11" si="5">H10</f>
        <v>2490000</v>
      </c>
      <c r="H10" s="743">
        <f t="shared" ref="H10:H11" si="6">D10/12*4</f>
        <v>2490000</v>
      </c>
      <c r="I10" s="259">
        <f t="shared" si="1"/>
        <v>0</v>
      </c>
      <c r="J10" s="584" t="str">
        <f t="shared" si="2"/>
        <v/>
      </c>
      <c r="K10" s="745">
        <f>D10</f>
        <v>7470000</v>
      </c>
    </row>
    <row r="11" spans="1:11" ht="12.75" customHeight="1" x14ac:dyDescent="0.2">
      <c r="A11" s="583" t="s">
        <v>1255</v>
      </c>
      <c r="B11" s="170"/>
      <c r="C11" s="758">
        <v>592771.11163129122</v>
      </c>
      <c r="D11" s="755">
        <v>593000</v>
      </c>
      <c r="E11" s="743">
        <v>0</v>
      </c>
      <c r="F11" s="743">
        <f t="shared" si="4"/>
        <v>49416.666666666664</v>
      </c>
      <c r="G11" s="743">
        <f t="shared" si="5"/>
        <v>197666.66666666666</v>
      </c>
      <c r="H11" s="743">
        <f t="shared" si="6"/>
        <v>197666.66666666666</v>
      </c>
      <c r="I11" s="259">
        <f t="shared" si="1"/>
        <v>0</v>
      </c>
      <c r="J11" s="584" t="str">
        <f t="shared" si="2"/>
        <v/>
      </c>
      <c r="K11" s="745">
        <f>D11</f>
        <v>593000</v>
      </c>
    </row>
    <row r="12" spans="1:11" ht="12.75" customHeight="1" x14ac:dyDescent="0.2">
      <c r="A12" s="583" t="s">
        <v>1256</v>
      </c>
      <c r="B12" s="170"/>
      <c r="C12" s="758">
        <v>0</v>
      </c>
      <c r="D12" s="755"/>
      <c r="E12" s="743">
        <v>0</v>
      </c>
      <c r="F12" s="743">
        <f t="shared" si="4"/>
        <v>0</v>
      </c>
      <c r="G12" s="743">
        <f>H12</f>
        <v>0</v>
      </c>
      <c r="H12" s="743">
        <f t="shared" ref="H12" si="7">D12/12*3</f>
        <v>0</v>
      </c>
      <c r="I12" s="259">
        <f t="shared" si="1"/>
        <v>0</v>
      </c>
      <c r="J12" s="584" t="str">
        <f t="shared" si="2"/>
        <v/>
      </c>
      <c r="K12" s="745">
        <f>D12</f>
        <v>0</v>
      </c>
    </row>
    <row r="13" spans="1:11" ht="12.75" customHeight="1" x14ac:dyDescent="0.2">
      <c r="A13" s="521" t="s">
        <v>1257</v>
      </c>
      <c r="B13" s="170"/>
      <c r="C13" s="657">
        <f t="shared" ref="C13:H13" si="8">SUM(C14:C16)</f>
        <v>7893148.4379749699</v>
      </c>
      <c r="D13" s="658">
        <f t="shared" si="8"/>
        <v>7893000</v>
      </c>
      <c r="E13" s="411">
        <f t="shared" si="8"/>
        <v>0</v>
      </c>
      <c r="F13" s="411">
        <f t="shared" si="8"/>
        <v>657750</v>
      </c>
      <c r="G13" s="411">
        <f t="shared" si="8"/>
        <v>2631000</v>
      </c>
      <c r="H13" s="411">
        <f t="shared" si="8"/>
        <v>2631000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 t="shared" ref="H14:H16" si="9">D14/12*2</f>
        <v>0</v>
      </c>
      <c r="I14" s="259">
        <f t="shared" si="1"/>
        <v>0</v>
      </c>
      <c r="J14" s="584" t="str">
        <f t="shared" si="2"/>
        <v/>
      </c>
      <c r="K14" s="745">
        <f>D14</f>
        <v>0</v>
      </c>
    </row>
    <row r="15" spans="1:11" ht="12.75" customHeight="1" x14ac:dyDescent="0.2">
      <c r="A15" s="583" t="s">
        <v>1259</v>
      </c>
      <c r="B15" s="170"/>
      <c r="C15" s="758">
        <v>7893148.4379749699</v>
      </c>
      <c r="D15" s="755">
        <v>7893000</v>
      </c>
      <c r="E15" s="743">
        <v>0</v>
      </c>
      <c r="F15" s="743">
        <f t="shared" ref="F15:F43" si="10">D15/12</f>
        <v>657750</v>
      </c>
      <c r="G15" s="743">
        <f>H15</f>
        <v>2631000</v>
      </c>
      <c r="H15" s="743">
        <f>D15/12*4</f>
        <v>2631000</v>
      </c>
      <c r="I15" s="259">
        <f t="shared" si="1"/>
        <v>0</v>
      </c>
      <c r="J15" s="584" t="str">
        <f t="shared" si="2"/>
        <v/>
      </c>
      <c r="K15" s="745">
        <f>D15</f>
        <v>7893000</v>
      </c>
    </row>
    <row r="16" spans="1:11" ht="12.75" customHeight="1" x14ac:dyDescent="0.2">
      <c r="A16" s="583" t="s">
        <v>1260</v>
      </c>
      <c r="B16" s="170"/>
      <c r="C16" s="758"/>
      <c r="D16" s="755"/>
      <c r="E16" s="743">
        <v>0</v>
      </c>
      <c r="F16" s="743">
        <f t="shared" si="10"/>
        <v>0</v>
      </c>
      <c r="G16" s="743">
        <f>F16*3</f>
        <v>0</v>
      </c>
      <c r="H16" s="743">
        <f t="shared" si="9"/>
        <v>0</v>
      </c>
      <c r="I16" s="259">
        <f t="shared" si="1"/>
        <v>0</v>
      </c>
      <c r="J16" s="584" t="str">
        <f t="shared" si="2"/>
        <v/>
      </c>
      <c r="K16" s="745">
        <f>D16</f>
        <v>0</v>
      </c>
    </row>
    <row r="17" spans="1:11" ht="12.75" customHeight="1" x14ac:dyDescent="0.2">
      <c r="A17" s="521" t="s">
        <v>1261</v>
      </c>
      <c r="B17" s="170"/>
      <c r="C17" s="657">
        <f t="shared" ref="C17:H17" si="11">SUM(C18:C26)</f>
        <v>22479198.11145559</v>
      </c>
      <c r="D17" s="658">
        <f t="shared" si="11"/>
        <v>22479000</v>
      </c>
      <c r="E17" s="411">
        <f t="shared" si="11"/>
        <v>0</v>
      </c>
      <c r="F17" s="411">
        <f t="shared" si="11"/>
        <v>1873250.0000000002</v>
      </c>
      <c r="G17" s="411">
        <f t="shared" si="11"/>
        <v>7493000.0000000009</v>
      </c>
      <c r="H17" s="411">
        <f t="shared" si="11"/>
        <v>7493000.0000000009</v>
      </c>
      <c r="I17" s="259">
        <f t="shared" si="1"/>
        <v>0</v>
      </c>
      <c r="J17" s="584" t="str">
        <f t="shared" si="2"/>
        <v/>
      </c>
      <c r="K17" s="651">
        <f>SUM(K18:K26)</f>
        <v>22479000</v>
      </c>
    </row>
    <row r="18" spans="1:11" ht="12.75" customHeight="1" x14ac:dyDescent="0.2">
      <c r="A18" s="583" t="s">
        <v>1262</v>
      </c>
      <c r="B18" s="170"/>
      <c r="C18" s="758">
        <v>0</v>
      </c>
      <c r="D18" s="755"/>
      <c r="E18" s="743">
        <v>0</v>
      </c>
      <c r="F18" s="743">
        <f t="shared" si="10"/>
        <v>0</v>
      </c>
      <c r="G18" s="743">
        <f>F18*3</f>
        <v>0</v>
      </c>
      <c r="H18" s="743">
        <f t="shared" ref="H18" si="12">D18/12*2</f>
        <v>0</v>
      </c>
      <c r="I18" s="259">
        <f t="shared" si="1"/>
        <v>0</v>
      </c>
      <c r="J18" s="584" t="str">
        <f t="shared" si="2"/>
        <v/>
      </c>
      <c r="K18" s="745">
        <f>D18</f>
        <v>0</v>
      </c>
    </row>
    <row r="19" spans="1:11" ht="12.75" customHeight="1" x14ac:dyDescent="0.2">
      <c r="A19" s="583" t="s">
        <v>1263</v>
      </c>
      <c r="B19" s="170"/>
      <c r="C19" s="758">
        <v>4887379.4075908195</v>
      </c>
      <c r="D19" s="755">
        <v>4887000</v>
      </c>
      <c r="E19" s="743">
        <v>0</v>
      </c>
      <c r="F19" s="743">
        <f t="shared" si="10"/>
        <v>407250</v>
      </c>
      <c r="G19" s="743">
        <f t="shared" ref="G19:G25" si="13">H19</f>
        <v>1629000</v>
      </c>
      <c r="H19" s="743">
        <f t="shared" ref="H19:H25" si="14">D19/12*4</f>
        <v>1629000</v>
      </c>
      <c r="I19" s="259">
        <f t="shared" si="1"/>
        <v>0</v>
      </c>
      <c r="J19" s="584" t="str">
        <f t="shared" si="2"/>
        <v/>
      </c>
      <c r="K19" s="745">
        <f t="shared" ref="K19:K26" si="15">D19</f>
        <v>4887000</v>
      </c>
    </row>
    <row r="20" spans="1:11" ht="12.75" customHeight="1" x14ac:dyDescent="0.2">
      <c r="A20" s="583" t="s">
        <v>1264</v>
      </c>
      <c r="B20" s="170"/>
      <c r="C20" s="758">
        <v>0</v>
      </c>
      <c r="D20" s="755">
        <v>0</v>
      </c>
      <c r="E20" s="743">
        <v>0</v>
      </c>
      <c r="F20" s="743">
        <f t="shared" si="10"/>
        <v>0</v>
      </c>
      <c r="G20" s="743">
        <f t="shared" si="13"/>
        <v>0</v>
      </c>
      <c r="H20" s="743">
        <f t="shared" si="14"/>
        <v>0</v>
      </c>
      <c r="I20" s="259">
        <f t="shared" si="1"/>
        <v>0</v>
      </c>
      <c r="J20" s="584" t="str">
        <f t="shared" si="2"/>
        <v/>
      </c>
      <c r="K20" s="745">
        <f t="shared" si="15"/>
        <v>0</v>
      </c>
    </row>
    <row r="21" spans="1:11" ht="12.75" customHeight="1" x14ac:dyDescent="0.2">
      <c r="A21" s="583" t="s">
        <v>1265</v>
      </c>
      <c r="B21" s="170"/>
      <c r="C21" s="758">
        <v>0</v>
      </c>
      <c r="D21" s="755">
        <v>0</v>
      </c>
      <c r="E21" s="743">
        <v>0</v>
      </c>
      <c r="F21" s="743">
        <f t="shared" si="10"/>
        <v>0</v>
      </c>
      <c r="G21" s="743">
        <f t="shared" si="13"/>
        <v>0</v>
      </c>
      <c r="H21" s="743">
        <f t="shared" si="14"/>
        <v>0</v>
      </c>
      <c r="I21" s="259">
        <f t="shared" si="1"/>
        <v>0</v>
      </c>
      <c r="J21" s="584" t="str">
        <f t="shared" si="2"/>
        <v/>
      </c>
      <c r="K21" s="745">
        <f t="shared" si="15"/>
        <v>0</v>
      </c>
    </row>
    <row r="22" spans="1:11" ht="12.75" customHeight="1" x14ac:dyDescent="0.2">
      <c r="A22" s="583" t="s">
        <v>1266</v>
      </c>
      <c r="B22" s="170"/>
      <c r="C22" s="758">
        <v>0</v>
      </c>
      <c r="D22" s="755">
        <v>0</v>
      </c>
      <c r="E22" s="743">
        <v>0</v>
      </c>
      <c r="F22" s="743">
        <f t="shared" si="10"/>
        <v>0</v>
      </c>
      <c r="G22" s="743">
        <f t="shared" si="13"/>
        <v>0</v>
      </c>
      <c r="H22" s="743">
        <f t="shared" si="14"/>
        <v>0</v>
      </c>
      <c r="I22" s="259">
        <f t="shared" si="1"/>
        <v>0</v>
      </c>
      <c r="J22" s="584" t="str">
        <f t="shared" si="2"/>
        <v/>
      </c>
      <c r="K22" s="745">
        <f t="shared" si="15"/>
        <v>0</v>
      </c>
    </row>
    <row r="23" spans="1:11" ht="12.75" customHeight="1" x14ac:dyDescent="0.2">
      <c r="A23" s="583" t="s">
        <v>1267</v>
      </c>
      <c r="B23" s="170"/>
      <c r="C23" s="758">
        <v>0</v>
      </c>
      <c r="D23" s="755">
        <v>0</v>
      </c>
      <c r="E23" s="743">
        <v>0</v>
      </c>
      <c r="F23" s="743">
        <f t="shared" si="10"/>
        <v>0</v>
      </c>
      <c r="G23" s="743">
        <f t="shared" si="13"/>
        <v>0</v>
      </c>
      <c r="H23" s="743">
        <f t="shared" si="14"/>
        <v>0</v>
      </c>
      <c r="I23" s="259">
        <f t="shared" si="1"/>
        <v>0</v>
      </c>
      <c r="J23" s="584" t="str">
        <f t="shared" si="2"/>
        <v/>
      </c>
      <c r="K23" s="745">
        <f t="shared" si="15"/>
        <v>0</v>
      </c>
    </row>
    <row r="24" spans="1:11" ht="12.75" customHeight="1" x14ac:dyDescent="0.2">
      <c r="A24" s="583" t="s">
        <v>1268</v>
      </c>
      <c r="B24" s="170"/>
      <c r="C24" s="758">
        <v>12012961.636498075</v>
      </c>
      <c r="D24" s="755">
        <v>12013000</v>
      </c>
      <c r="E24" s="743">
        <v>0</v>
      </c>
      <c r="F24" s="743">
        <f t="shared" si="10"/>
        <v>1001083.3333333334</v>
      </c>
      <c r="G24" s="743">
        <f t="shared" si="13"/>
        <v>4004333.3333333335</v>
      </c>
      <c r="H24" s="743">
        <f t="shared" si="14"/>
        <v>4004333.3333333335</v>
      </c>
      <c r="I24" s="259">
        <f t="shared" si="1"/>
        <v>0</v>
      </c>
      <c r="J24" s="584" t="str">
        <f t="shared" si="2"/>
        <v/>
      </c>
      <c r="K24" s="745">
        <f t="shared" si="15"/>
        <v>12013000</v>
      </c>
    </row>
    <row r="25" spans="1:11" ht="12.75" customHeight="1" x14ac:dyDescent="0.2">
      <c r="A25" s="583" t="s">
        <v>1269</v>
      </c>
      <c r="B25" s="170"/>
      <c r="C25" s="758">
        <v>5578857.067366696</v>
      </c>
      <c r="D25" s="755">
        <v>5579000</v>
      </c>
      <c r="E25" s="743">
        <v>0</v>
      </c>
      <c r="F25" s="743">
        <f t="shared" si="10"/>
        <v>464916.66666666669</v>
      </c>
      <c r="G25" s="743">
        <f t="shared" si="13"/>
        <v>1859666.6666666667</v>
      </c>
      <c r="H25" s="743">
        <f t="shared" si="14"/>
        <v>1859666.6666666667</v>
      </c>
      <c r="I25" s="259">
        <f t="shared" si="1"/>
        <v>0</v>
      </c>
      <c r="J25" s="584" t="str">
        <f t="shared" si="2"/>
        <v/>
      </c>
      <c r="K25" s="745">
        <f t="shared" si="15"/>
        <v>5579000</v>
      </c>
    </row>
    <row r="26" spans="1:11" ht="12.75" customHeight="1" x14ac:dyDescent="0.2">
      <c r="A26" s="583" t="s">
        <v>1256</v>
      </c>
      <c r="B26" s="170"/>
      <c r="C26" s="758">
        <v>0</v>
      </c>
      <c r="D26" s="755"/>
      <c r="E26" s="743">
        <v>0</v>
      </c>
      <c r="F26" s="743">
        <f t="shared" si="10"/>
        <v>0</v>
      </c>
      <c r="G26" s="743">
        <f t="shared" ref="G26" si="16">H26</f>
        <v>0</v>
      </c>
      <c r="H26" s="743">
        <f t="shared" ref="H26" si="17">D26/12*3</f>
        <v>0</v>
      </c>
      <c r="I26" s="259">
        <f t="shared" si="1"/>
        <v>0</v>
      </c>
      <c r="J26" s="584" t="str">
        <f t="shared" si="2"/>
        <v/>
      </c>
      <c r="K26" s="745">
        <f t="shared" si="15"/>
        <v>0</v>
      </c>
    </row>
    <row r="27" spans="1:11" ht="12.75" customHeight="1" x14ac:dyDescent="0.2">
      <c r="A27" s="520" t="s">
        <v>1270</v>
      </c>
      <c r="B27" s="170"/>
      <c r="C27" s="657">
        <f t="shared" ref="C27:H27" si="18">SUM(C28:C37)</f>
        <v>22921384.394252159</v>
      </c>
      <c r="D27" s="658">
        <f t="shared" si="18"/>
        <v>22921000</v>
      </c>
      <c r="E27" s="411">
        <f t="shared" si="18"/>
        <v>0</v>
      </c>
      <c r="F27" s="411">
        <f t="shared" si="18"/>
        <v>1910083.3333333335</v>
      </c>
      <c r="G27" s="411">
        <f t="shared" si="18"/>
        <v>7640333.333333334</v>
      </c>
      <c r="H27" s="411">
        <f t="shared" si="18"/>
        <v>7640333.333333334</v>
      </c>
      <c r="I27" s="259">
        <f t="shared" si="1"/>
        <v>0</v>
      </c>
      <c r="J27" s="584" t="str">
        <f t="shared" si="2"/>
        <v/>
      </c>
      <c r="K27" s="651">
        <f>SUM(K28:K37)</f>
        <v>22921000</v>
      </c>
    </row>
    <row r="28" spans="1:11" ht="12.75" customHeight="1" x14ac:dyDescent="0.2">
      <c r="A28" s="583" t="s">
        <v>1271</v>
      </c>
      <c r="B28" s="170"/>
      <c r="C28" s="758">
        <v>627032.38651248696</v>
      </c>
      <c r="D28" s="755">
        <v>627000</v>
      </c>
      <c r="E28" s="743">
        <v>0</v>
      </c>
      <c r="F28" s="743">
        <f t="shared" si="10"/>
        <v>52250</v>
      </c>
      <c r="G28" s="743">
        <f t="shared" ref="G28:G36" si="19">H28</f>
        <v>209000</v>
      </c>
      <c r="H28" s="743">
        <f t="shared" ref="H28:H36" si="20">D28/12*4</f>
        <v>209000</v>
      </c>
      <c r="I28" s="259">
        <f t="shared" si="1"/>
        <v>0</v>
      </c>
      <c r="J28" s="584" t="str">
        <f t="shared" si="2"/>
        <v/>
      </c>
      <c r="K28" s="745">
        <f>D28</f>
        <v>627000</v>
      </c>
    </row>
    <row r="29" spans="1:11" ht="12.75" customHeight="1" x14ac:dyDescent="0.2">
      <c r="A29" s="583" t="s">
        <v>1272</v>
      </c>
      <c r="B29" s="170"/>
      <c r="C29" s="758">
        <v>1728167.292737965</v>
      </c>
      <c r="D29" s="755">
        <v>1728000</v>
      </c>
      <c r="E29" s="743">
        <v>0</v>
      </c>
      <c r="F29" s="743">
        <f t="shared" si="10"/>
        <v>144000</v>
      </c>
      <c r="G29" s="743">
        <f t="shared" si="19"/>
        <v>576000</v>
      </c>
      <c r="H29" s="743">
        <f t="shared" si="20"/>
        <v>576000</v>
      </c>
      <c r="I29" s="259">
        <f t="shared" si="1"/>
        <v>0</v>
      </c>
      <c r="J29" s="584" t="str">
        <f t="shared" si="2"/>
        <v/>
      </c>
      <c r="K29" s="745">
        <f t="shared" ref="K29:K37" si="21">D29</f>
        <v>1728000</v>
      </c>
    </row>
    <row r="30" spans="1:11" ht="12.75" customHeight="1" x14ac:dyDescent="0.2">
      <c r="A30" s="583" t="s">
        <v>1273</v>
      </c>
      <c r="B30" s="170"/>
      <c r="C30" s="758">
        <v>4561389.2653264934</v>
      </c>
      <c r="D30" s="755">
        <v>4561000</v>
      </c>
      <c r="E30" s="743">
        <v>0</v>
      </c>
      <c r="F30" s="743">
        <f t="shared" si="10"/>
        <v>380083.33333333331</v>
      </c>
      <c r="G30" s="743">
        <f t="shared" si="19"/>
        <v>1520333.3333333333</v>
      </c>
      <c r="H30" s="743">
        <f t="shared" si="20"/>
        <v>1520333.3333333333</v>
      </c>
      <c r="I30" s="259">
        <f t="shared" si="1"/>
        <v>0</v>
      </c>
      <c r="J30" s="584" t="str">
        <f t="shared" si="2"/>
        <v/>
      </c>
      <c r="K30" s="745">
        <f t="shared" si="21"/>
        <v>4561000</v>
      </c>
    </row>
    <row r="31" spans="1:11" ht="12.75" customHeight="1" x14ac:dyDescent="0.2">
      <c r="A31" s="583" t="s">
        <v>1274</v>
      </c>
      <c r="B31" s="170"/>
      <c r="C31" s="758">
        <v>653887.14392628463</v>
      </c>
      <c r="D31" s="755">
        <v>654000</v>
      </c>
      <c r="E31" s="743">
        <v>0</v>
      </c>
      <c r="F31" s="743">
        <f t="shared" si="10"/>
        <v>54500</v>
      </c>
      <c r="G31" s="743">
        <f t="shared" si="19"/>
        <v>218000</v>
      </c>
      <c r="H31" s="743">
        <f t="shared" si="20"/>
        <v>218000</v>
      </c>
      <c r="I31" s="259">
        <f t="shared" si="1"/>
        <v>0</v>
      </c>
      <c r="J31" s="584" t="str">
        <f t="shared" si="2"/>
        <v/>
      </c>
      <c r="K31" s="745">
        <f t="shared" si="21"/>
        <v>654000</v>
      </c>
    </row>
    <row r="32" spans="1:11" ht="12.75" customHeight="1" x14ac:dyDescent="0.2">
      <c r="A32" s="583" t="s">
        <v>1275</v>
      </c>
      <c r="B32" s="170"/>
      <c r="C32" s="758">
        <v>780401.29302530445</v>
      </c>
      <c r="D32" s="755">
        <v>780000</v>
      </c>
      <c r="E32" s="743">
        <v>0</v>
      </c>
      <c r="F32" s="743">
        <f t="shared" si="10"/>
        <v>65000</v>
      </c>
      <c r="G32" s="743">
        <f t="shared" si="19"/>
        <v>260000</v>
      </c>
      <c r="H32" s="743">
        <f t="shared" si="20"/>
        <v>260000</v>
      </c>
      <c r="I32" s="259">
        <f t="shared" si="1"/>
        <v>0</v>
      </c>
      <c r="J32" s="584" t="str">
        <f t="shared" si="2"/>
        <v/>
      </c>
      <c r="K32" s="745">
        <f t="shared" si="21"/>
        <v>780000</v>
      </c>
    </row>
    <row r="33" spans="1:11" ht="12.75" customHeight="1" x14ac:dyDescent="0.2">
      <c r="A33" s="583" t="s">
        <v>1276</v>
      </c>
      <c r="B33" s="170"/>
      <c r="C33" s="758">
        <v>3214812.4276203746</v>
      </c>
      <c r="D33" s="755">
        <v>3215000</v>
      </c>
      <c r="E33" s="743">
        <v>0</v>
      </c>
      <c r="F33" s="743">
        <f t="shared" si="10"/>
        <v>267916.66666666669</v>
      </c>
      <c r="G33" s="743">
        <f t="shared" si="19"/>
        <v>1071666.6666666667</v>
      </c>
      <c r="H33" s="743">
        <f t="shared" si="20"/>
        <v>1071666.6666666667</v>
      </c>
      <c r="I33" s="259">
        <f t="shared" si="1"/>
        <v>0</v>
      </c>
      <c r="J33" s="584" t="str">
        <f t="shared" si="2"/>
        <v/>
      </c>
      <c r="K33" s="745">
        <f t="shared" si="21"/>
        <v>3215000</v>
      </c>
    </row>
    <row r="34" spans="1:11" ht="12.75" customHeight="1" x14ac:dyDescent="0.2">
      <c r="A34" s="583" t="s">
        <v>1277</v>
      </c>
      <c r="B34" s="170"/>
      <c r="C34" s="758">
        <v>10934725.278179128</v>
      </c>
      <c r="D34" s="755">
        <v>10935000</v>
      </c>
      <c r="E34" s="743">
        <v>0</v>
      </c>
      <c r="F34" s="743">
        <f t="shared" si="10"/>
        <v>911250</v>
      </c>
      <c r="G34" s="743">
        <f t="shared" si="19"/>
        <v>3645000</v>
      </c>
      <c r="H34" s="743">
        <f t="shared" si="20"/>
        <v>3645000</v>
      </c>
      <c r="I34" s="259">
        <f t="shared" si="1"/>
        <v>0</v>
      </c>
      <c r="J34" s="584" t="str">
        <f t="shared" si="2"/>
        <v/>
      </c>
      <c r="K34" s="745">
        <f t="shared" si="21"/>
        <v>10935000</v>
      </c>
    </row>
    <row r="35" spans="1:11" ht="12.75" customHeight="1" x14ac:dyDescent="0.2">
      <c r="A35" s="583" t="s">
        <v>1278</v>
      </c>
      <c r="B35" s="170"/>
      <c r="C35" s="758">
        <v>413443.41942884983</v>
      </c>
      <c r="D35" s="755">
        <v>413000</v>
      </c>
      <c r="E35" s="743">
        <v>0</v>
      </c>
      <c r="F35" s="743">
        <f t="shared" si="10"/>
        <v>34416.666666666664</v>
      </c>
      <c r="G35" s="743">
        <f t="shared" si="19"/>
        <v>137666.66666666666</v>
      </c>
      <c r="H35" s="743">
        <f t="shared" si="20"/>
        <v>137666.66666666666</v>
      </c>
      <c r="I35" s="259">
        <f t="shared" si="1"/>
        <v>0</v>
      </c>
      <c r="J35" s="584" t="str">
        <f t="shared" si="2"/>
        <v/>
      </c>
      <c r="K35" s="745">
        <f t="shared" si="21"/>
        <v>413000</v>
      </c>
    </row>
    <row r="36" spans="1:11" ht="12.75" customHeight="1" x14ac:dyDescent="0.2">
      <c r="A36" s="583" t="s">
        <v>1279</v>
      </c>
      <c r="B36" s="170"/>
      <c r="C36" s="758">
        <v>7525.8874952716833</v>
      </c>
      <c r="D36" s="755">
        <v>8000</v>
      </c>
      <c r="E36" s="743">
        <v>0</v>
      </c>
      <c r="F36" s="743">
        <f t="shared" si="10"/>
        <v>666.66666666666663</v>
      </c>
      <c r="G36" s="743">
        <f t="shared" si="19"/>
        <v>2666.6666666666665</v>
      </c>
      <c r="H36" s="743">
        <f t="shared" si="20"/>
        <v>2666.6666666666665</v>
      </c>
      <c r="I36" s="259">
        <f t="shared" si="1"/>
        <v>0</v>
      </c>
      <c r="J36" s="584" t="str">
        <f t="shared" si="2"/>
        <v/>
      </c>
      <c r="K36" s="745">
        <f t="shared" si="21"/>
        <v>8000</v>
      </c>
    </row>
    <row r="37" spans="1:11" ht="12.75" customHeight="1" x14ac:dyDescent="0.2">
      <c r="A37" s="583" t="s">
        <v>1256</v>
      </c>
      <c r="B37" s="170"/>
      <c r="C37" s="758">
        <v>0</v>
      </c>
      <c r="D37" s="755"/>
      <c r="E37" s="743">
        <v>0</v>
      </c>
      <c r="F37" s="743">
        <f t="shared" si="10"/>
        <v>0</v>
      </c>
      <c r="G37" s="743">
        <v>0</v>
      </c>
      <c r="H37" s="743">
        <f t="shared" ref="H37" si="22">D37/12*3</f>
        <v>0</v>
      </c>
      <c r="I37" s="259">
        <f t="shared" si="1"/>
        <v>0</v>
      </c>
      <c r="J37" s="584" t="str">
        <f t="shared" si="2"/>
        <v/>
      </c>
      <c r="K37" s="745">
        <f t="shared" si="21"/>
        <v>0</v>
      </c>
    </row>
    <row r="38" spans="1:11" ht="12.75" customHeight="1" x14ac:dyDescent="0.2">
      <c r="A38" s="520" t="s">
        <v>1280</v>
      </c>
      <c r="B38" s="170"/>
      <c r="C38" s="657">
        <f t="shared" ref="C38:H38" si="23">SUM(C39:C44)</f>
        <v>6950625.7136387117</v>
      </c>
      <c r="D38" s="658">
        <f t="shared" si="23"/>
        <v>6951000</v>
      </c>
      <c r="E38" s="411">
        <f t="shared" si="23"/>
        <v>0</v>
      </c>
      <c r="F38" s="411">
        <f t="shared" si="23"/>
        <v>579250</v>
      </c>
      <c r="G38" s="411">
        <f t="shared" si="23"/>
        <v>2317000</v>
      </c>
      <c r="H38" s="411">
        <f t="shared" si="23"/>
        <v>2317000</v>
      </c>
      <c r="I38" s="259">
        <f t="shared" si="1"/>
        <v>0</v>
      </c>
      <c r="J38" s="584" t="str">
        <f t="shared" si="2"/>
        <v/>
      </c>
      <c r="K38" s="651">
        <f>SUM(K39:K44)</f>
        <v>6951000</v>
      </c>
    </row>
    <row r="39" spans="1:11" ht="12.75" customHeight="1" x14ac:dyDescent="0.2">
      <c r="A39" s="583" t="s">
        <v>1281</v>
      </c>
      <c r="B39" s="170"/>
      <c r="C39" s="758">
        <v>303924.13797742582</v>
      </c>
      <c r="D39" s="755">
        <v>304000</v>
      </c>
      <c r="E39" s="743">
        <v>0</v>
      </c>
      <c r="F39" s="743">
        <f t="shared" si="10"/>
        <v>25333.333333333332</v>
      </c>
      <c r="G39" s="743">
        <f t="shared" ref="G39:G43" si="24">H39</f>
        <v>101333.33333333333</v>
      </c>
      <c r="H39" s="743">
        <f t="shared" ref="H39:H43" si="25">D39/12*4</f>
        <v>101333.33333333333</v>
      </c>
      <c r="I39" s="259">
        <f t="shared" si="1"/>
        <v>0</v>
      </c>
      <c r="J39" s="584" t="str">
        <f t="shared" si="2"/>
        <v/>
      </c>
      <c r="K39" s="745">
        <f t="shared" ref="K39:K44" si="26">D39</f>
        <v>304000</v>
      </c>
    </row>
    <row r="40" spans="1:11" ht="12.75" customHeight="1" x14ac:dyDescent="0.2">
      <c r="A40" s="583" t="s">
        <v>141</v>
      </c>
      <c r="B40" s="170"/>
      <c r="C40" s="758">
        <v>2250172.3812103868</v>
      </c>
      <c r="D40" s="755">
        <v>2250000</v>
      </c>
      <c r="E40" s="743">
        <v>0</v>
      </c>
      <c r="F40" s="743">
        <f t="shared" si="10"/>
        <v>187500</v>
      </c>
      <c r="G40" s="743">
        <f t="shared" si="24"/>
        <v>750000</v>
      </c>
      <c r="H40" s="743">
        <f t="shared" si="25"/>
        <v>750000</v>
      </c>
      <c r="I40" s="259">
        <f t="shared" si="1"/>
        <v>0</v>
      </c>
      <c r="J40" s="584" t="str">
        <f t="shared" si="2"/>
        <v/>
      </c>
      <c r="K40" s="745">
        <f t="shared" si="26"/>
        <v>2250000</v>
      </c>
    </row>
    <row r="41" spans="1:11" ht="12.75" customHeight="1" x14ac:dyDescent="0.2">
      <c r="A41" s="583" t="s">
        <v>1282</v>
      </c>
      <c r="B41" s="170"/>
      <c r="C41" s="758">
        <v>3245025.4263593936</v>
      </c>
      <c r="D41" s="755">
        <v>3245000</v>
      </c>
      <c r="E41" s="743">
        <v>0</v>
      </c>
      <c r="F41" s="743">
        <f t="shared" si="10"/>
        <v>270416.66666666669</v>
      </c>
      <c r="G41" s="743">
        <f t="shared" si="24"/>
        <v>1081666.6666666667</v>
      </c>
      <c r="H41" s="743">
        <f t="shared" si="25"/>
        <v>1081666.6666666667</v>
      </c>
      <c r="I41" s="259">
        <f t="shared" si="1"/>
        <v>0</v>
      </c>
      <c r="J41" s="584" t="str">
        <f t="shared" si="2"/>
        <v/>
      </c>
      <c r="K41" s="745">
        <f t="shared" si="26"/>
        <v>3245000</v>
      </c>
    </row>
    <row r="42" spans="1:11" ht="12.75" customHeight="1" x14ac:dyDescent="0.2">
      <c r="A42" s="583" t="s">
        <v>1283</v>
      </c>
      <c r="B42" s="170"/>
      <c r="C42" s="758">
        <v>1151503.7680915052</v>
      </c>
      <c r="D42" s="755">
        <v>1152000</v>
      </c>
      <c r="E42" s="743">
        <v>0</v>
      </c>
      <c r="F42" s="743">
        <f t="shared" si="10"/>
        <v>96000</v>
      </c>
      <c r="G42" s="743">
        <f t="shared" si="24"/>
        <v>384000</v>
      </c>
      <c r="H42" s="743">
        <f t="shared" si="25"/>
        <v>384000</v>
      </c>
      <c r="I42" s="259">
        <f t="shared" si="1"/>
        <v>0</v>
      </c>
      <c r="J42" s="584" t="str">
        <f t="shared" si="2"/>
        <v/>
      </c>
      <c r="K42" s="745">
        <f t="shared" si="26"/>
        <v>1152000</v>
      </c>
    </row>
    <row r="43" spans="1:11" ht="12.75" customHeight="1" x14ac:dyDescent="0.2">
      <c r="A43" s="583" t="s">
        <v>1284</v>
      </c>
      <c r="B43" s="170"/>
      <c r="C43" s="758">
        <v>0</v>
      </c>
      <c r="D43" s="755"/>
      <c r="E43" s="743">
        <v>0</v>
      </c>
      <c r="F43" s="743">
        <f t="shared" si="10"/>
        <v>0</v>
      </c>
      <c r="G43" s="743">
        <f t="shared" si="24"/>
        <v>0</v>
      </c>
      <c r="H43" s="743">
        <f t="shared" si="25"/>
        <v>0</v>
      </c>
      <c r="I43" s="259">
        <f t="shared" si="1"/>
        <v>0</v>
      </c>
      <c r="J43" s="584" t="str">
        <f t="shared" si="2"/>
        <v/>
      </c>
      <c r="K43" s="745">
        <f t="shared" si="26"/>
        <v>0</v>
      </c>
    </row>
    <row r="44" spans="1:11" ht="12.75" customHeight="1" x14ac:dyDescent="0.2">
      <c r="A44" s="583" t="s">
        <v>1256</v>
      </c>
      <c r="B44" s="170"/>
      <c r="C44" s="758">
        <v>0</v>
      </c>
      <c r="D44" s="755"/>
      <c r="E44" s="743">
        <v>0</v>
      </c>
      <c r="F44" s="743">
        <v>0</v>
      </c>
      <c r="G44" s="743">
        <f t="shared" ref="G44" si="27">H44</f>
        <v>0</v>
      </c>
      <c r="H44" s="743">
        <f t="shared" ref="H44" si="28">D44/12*3</f>
        <v>0</v>
      </c>
      <c r="I44" s="259">
        <f t="shared" si="1"/>
        <v>0</v>
      </c>
      <c r="J44" s="584" t="str">
        <f t="shared" si="2"/>
        <v/>
      </c>
      <c r="K44" s="745">
        <f t="shared" si="26"/>
        <v>0</v>
      </c>
    </row>
    <row r="45" spans="1:11" ht="12.75" customHeight="1" x14ac:dyDescent="0.2">
      <c r="A45" s="520" t="s">
        <v>1285</v>
      </c>
      <c r="B45" s="170"/>
      <c r="C45" s="657">
        <f t="shared" ref="C45:H45" si="29">SUM(C46:C52)</f>
        <v>2138396.3364921669</v>
      </c>
      <c r="D45" s="658">
        <f t="shared" si="29"/>
        <v>2138000</v>
      </c>
      <c r="E45" s="411">
        <f t="shared" si="29"/>
        <v>0</v>
      </c>
      <c r="F45" s="411">
        <f t="shared" si="29"/>
        <v>178166.66666666666</v>
      </c>
      <c r="G45" s="411">
        <f t="shared" si="29"/>
        <v>712666.66666666663</v>
      </c>
      <c r="H45" s="411">
        <f t="shared" si="29"/>
        <v>712666.66666666663</v>
      </c>
      <c r="I45" s="259">
        <f t="shared" si="1"/>
        <v>0</v>
      </c>
      <c r="J45" s="584" t="str">
        <f t="shared" si="2"/>
        <v/>
      </c>
      <c r="K45" s="651">
        <f>SUM(K46:K52)</f>
        <v>2138000</v>
      </c>
    </row>
    <row r="46" spans="1:11" ht="12.75" customHeight="1" x14ac:dyDescent="0.2">
      <c r="A46" s="583" t="s">
        <v>1286</v>
      </c>
      <c r="B46" s="170"/>
      <c r="C46" s="758">
        <v>2090905.9671906205</v>
      </c>
      <c r="D46" s="755">
        <v>2091000</v>
      </c>
      <c r="E46" s="743">
        <v>0</v>
      </c>
      <c r="F46" s="743">
        <f t="shared" ref="F46:F47" si="30">D46/12</f>
        <v>174250</v>
      </c>
      <c r="G46" s="743">
        <f t="shared" ref="G46:G47" si="31">H46</f>
        <v>697000</v>
      </c>
      <c r="H46" s="743">
        <f t="shared" ref="H46:H47" si="32">D46/12*4</f>
        <v>697000</v>
      </c>
      <c r="I46" s="259">
        <f t="shared" si="1"/>
        <v>0</v>
      </c>
      <c r="J46" s="584" t="str">
        <f t="shared" si="2"/>
        <v/>
      </c>
      <c r="K46" s="745">
        <f>D46</f>
        <v>2091000</v>
      </c>
    </row>
    <row r="47" spans="1:11" ht="12.75" customHeight="1" x14ac:dyDescent="0.2">
      <c r="A47" s="583" t="s">
        <v>1287</v>
      </c>
      <c r="B47" s="170"/>
      <c r="C47" s="758">
        <v>47490.369301546518</v>
      </c>
      <c r="D47" s="755">
        <v>47000</v>
      </c>
      <c r="E47" s="743">
        <v>0</v>
      </c>
      <c r="F47" s="743">
        <f t="shared" si="30"/>
        <v>3916.6666666666665</v>
      </c>
      <c r="G47" s="743">
        <f t="shared" si="31"/>
        <v>15666.666666666666</v>
      </c>
      <c r="H47" s="743">
        <f t="shared" si="32"/>
        <v>15666.666666666666</v>
      </c>
      <c r="I47" s="259">
        <f t="shared" si="1"/>
        <v>0</v>
      </c>
      <c r="J47" s="584" t="str">
        <f t="shared" si="2"/>
        <v/>
      </c>
      <c r="K47" s="745">
        <f t="shared" ref="K47:K52" si="33">D47</f>
        <v>47000</v>
      </c>
    </row>
    <row r="48" spans="1:11" ht="12.75" customHeight="1" x14ac:dyDescent="0.2">
      <c r="A48" s="583" t="s">
        <v>1288</v>
      </c>
      <c r="B48" s="170"/>
      <c r="C48" s="758">
        <v>0</v>
      </c>
      <c r="D48" s="755"/>
      <c r="E48" s="743">
        <v>0</v>
      </c>
      <c r="F48" s="743">
        <v>0</v>
      </c>
      <c r="G48" s="743">
        <v>0</v>
      </c>
      <c r="H48" s="743">
        <f t="shared" ref="H48:H52" si="34">D48/12*3</f>
        <v>0</v>
      </c>
      <c r="I48" s="259">
        <f t="shared" si="1"/>
        <v>0</v>
      </c>
      <c r="J48" s="584" t="str">
        <f t="shared" si="2"/>
        <v/>
      </c>
      <c r="K48" s="745">
        <f t="shared" si="33"/>
        <v>0</v>
      </c>
    </row>
    <row r="49" spans="1:11" ht="12.75" customHeight="1" x14ac:dyDescent="0.2">
      <c r="A49" s="583" t="s">
        <v>1289</v>
      </c>
      <c r="B49" s="170"/>
      <c r="C49" s="758">
        <v>0</v>
      </c>
      <c r="D49" s="755"/>
      <c r="E49" s="743">
        <v>0</v>
      </c>
      <c r="F49" s="743">
        <v>0</v>
      </c>
      <c r="G49" s="743">
        <f>F49*3</f>
        <v>0</v>
      </c>
      <c r="H49" s="743">
        <f t="shared" si="34"/>
        <v>0</v>
      </c>
      <c r="I49" s="259">
        <f t="shared" si="1"/>
        <v>0</v>
      </c>
      <c r="J49" s="584" t="str">
        <f t="shared" si="2"/>
        <v/>
      </c>
      <c r="K49" s="745">
        <f t="shared" si="33"/>
        <v>0</v>
      </c>
    </row>
    <row r="50" spans="1:11" ht="12.75" customHeight="1" x14ac:dyDescent="0.2">
      <c r="A50" s="583" t="s">
        <v>1290</v>
      </c>
      <c r="B50" s="170"/>
      <c r="C50" s="758">
        <v>0</v>
      </c>
      <c r="D50" s="755"/>
      <c r="E50" s="743">
        <v>0</v>
      </c>
      <c r="F50" s="743">
        <v>0</v>
      </c>
      <c r="G50" s="743">
        <f>F50*3</f>
        <v>0</v>
      </c>
      <c r="H50" s="743">
        <f t="shared" si="34"/>
        <v>0</v>
      </c>
      <c r="I50" s="259">
        <f t="shared" si="1"/>
        <v>0</v>
      </c>
      <c r="J50" s="584" t="str">
        <f t="shared" si="2"/>
        <v/>
      </c>
      <c r="K50" s="745">
        <f t="shared" si="33"/>
        <v>0</v>
      </c>
    </row>
    <row r="51" spans="1:11" ht="12.75" customHeight="1" x14ac:dyDescent="0.2">
      <c r="A51" s="583" t="s">
        <v>1291</v>
      </c>
      <c r="B51" s="170"/>
      <c r="C51" s="758">
        <v>0</v>
      </c>
      <c r="D51" s="755"/>
      <c r="E51" s="743">
        <v>0</v>
      </c>
      <c r="F51" s="743">
        <v>0</v>
      </c>
      <c r="G51" s="743">
        <f>F51*3</f>
        <v>0</v>
      </c>
      <c r="H51" s="743">
        <f t="shared" si="34"/>
        <v>0</v>
      </c>
      <c r="I51" s="259">
        <f t="shared" si="1"/>
        <v>0</v>
      </c>
      <c r="J51" s="584" t="str">
        <f t="shared" si="2"/>
        <v/>
      </c>
      <c r="K51" s="745">
        <f t="shared" si="33"/>
        <v>0</v>
      </c>
    </row>
    <row r="52" spans="1:11" ht="12.75" customHeight="1" x14ac:dyDescent="0.2">
      <c r="A52" s="583" t="s">
        <v>1256</v>
      </c>
      <c r="B52" s="170"/>
      <c r="C52" s="758">
        <v>0</v>
      </c>
      <c r="D52" s="755"/>
      <c r="E52" s="743">
        <v>0</v>
      </c>
      <c r="F52" s="743">
        <v>0</v>
      </c>
      <c r="G52" s="743">
        <f>F52*3</f>
        <v>0</v>
      </c>
      <c r="H52" s="743">
        <f t="shared" si="34"/>
        <v>0</v>
      </c>
      <c r="I52" s="259">
        <f t="shared" si="1"/>
        <v>0</v>
      </c>
      <c r="J52" s="584" t="str">
        <f t="shared" si="2"/>
        <v/>
      </c>
      <c r="K52" s="745">
        <f t="shared" si="33"/>
        <v>0</v>
      </c>
    </row>
    <row r="53" spans="1:11" ht="12.75" customHeight="1" x14ac:dyDescent="0.2">
      <c r="A53" s="521" t="s">
        <v>1292</v>
      </c>
      <c r="B53" s="170"/>
      <c r="C53" s="657">
        <f t="shared" ref="C53:H53" si="35">SUM(C54:C62)</f>
        <v>0</v>
      </c>
      <c r="D53" s="658">
        <f t="shared" si="35"/>
        <v>0</v>
      </c>
      <c r="E53" s="411">
        <f t="shared" si="35"/>
        <v>0</v>
      </c>
      <c r="F53" s="411">
        <f t="shared" si="35"/>
        <v>0</v>
      </c>
      <c r="G53" s="411">
        <f t="shared" si="35"/>
        <v>0</v>
      </c>
      <c r="H53" s="411">
        <f t="shared" si="35"/>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36">SUM(C64:C68)</f>
        <v>0</v>
      </c>
      <c r="D63" s="658">
        <f t="shared" si="36"/>
        <v>0</v>
      </c>
      <c r="E63" s="411">
        <f t="shared" si="36"/>
        <v>0</v>
      </c>
      <c r="F63" s="411">
        <f t="shared" si="36"/>
        <v>0</v>
      </c>
      <c r="G63" s="411">
        <f t="shared" si="36"/>
        <v>0</v>
      </c>
      <c r="H63" s="411">
        <f t="shared" si="36"/>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37">SUM(C70:C73)</f>
        <v>656470.44071846176</v>
      </c>
      <c r="D69" s="658">
        <f t="shared" si="37"/>
        <v>656000</v>
      </c>
      <c r="E69" s="411">
        <f t="shared" si="37"/>
        <v>0</v>
      </c>
      <c r="F69" s="411">
        <f t="shared" si="37"/>
        <v>54666.666666666672</v>
      </c>
      <c r="G69" s="411">
        <f t="shared" si="37"/>
        <v>218666.66666666669</v>
      </c>
      <c r="H69" s="411">
        <f t="shared" si="37"/>
        <v>218666.66666666669</v>
      </c>
      <c r="I69" s="259">
        <f t="shared" si="1"/>
        <v>0</v>
      </c>
      <c r="J69" s="584" t="str">
        <f t="shared" si="2"/>
        <v/>
      </c>
      <c r="K69" s="651">
        <f>SUM(K70:K73)</f>
        <v>656000</v>
      </c>
    </row>
    <row r="70" spans="1:11" ht="12.75" customHeight="1" x14ac:dyDescent="0.2">
      <c r="A70" s="583" t="s">
        <v>1302</v>
      </c>
      <c r="B70" s="170"/>
      <c r="C70" s="758">
        <v>197014.27353979216</v>
      </c>
      <c r="D70" s="755">
        <v>197000</v>
      </c>
      <c r="E70" s="743">
        <v>0</v>
      </c>
      <c r="F70" s="743">
        <f t="shared" ref="F70:F73" si="38">D70/12</f>
        <v>16416.666666666668</v>
      </c>
      <c r="G70" s="743">
        <f t="shared" ref="G70:G73" si="39">H70</f>
        <v>65666.666666666672</v>
      </c>
      <c r="H70" s="743">
        <f t="shared" ref="H70:H73" si="40">D70/12*4</f>
        <v>65666.666666666672</v>
      </c>
      <c r="I70" s="259">
        <f t="shared" si="1"/>
        <v>0</v>
      </c>
      <c r="J70" s="584" t="str">
        <f t="shared" si="2"/>
        <v/>
      </c>
      <c r="K70" s="745">
        <f>D70</f>
        <v>197000</v>
      </c>
    </row>
    <row r="71" spans="1:11" ht="12.75" customHeight="1" x14ac:dyDescent="0.2">
      <c r="A71" s="583" t="s">
        <v>1303</v>
      </c>
      <c r="B71" s="170"/>
      <c r="C71" s="758">
        <v>426864.03560711676</v>
      </c>
      <c r="D71" s="755">
        <v>427000</v>
      </c>
      <c r="E71" s="743">
        <v>0</v>
      </c>
      <c r="F71" s="743">
        <f t="shared" si="38"/>
        <v>35583.333333333336</v>
      </c>
      <c r="G71" s="743">
        <f t="shared" si="39"/>
        <v>142333.33333333334</v>
      </c>
      <c r="H71" s="743">
        <f t="shared" si="40"/>
        <v>142333.33333333334</v>
      </c>
      <c r="I71" s="259">
        <f t="shared" si="1"/>
        <v>0</v>
      </c>
      <c r="J71" s="584" t="str">
        <f t="shared" si="2"/>
        <v/>
      </c>
      <c r="K71" s="745">
        <f>D71</f>
        <v>427000</v>
      </c>
    </row>
    <row r="72" spans="1:11" ht="12.75" customHeight="1" x14ac:dyDescent="0.2">
      <c r="A72" s="583" t="s">
        <v>1304</v>
      </c>
      <c r="B72" s="170"/>
      <c r="C72" s="758">
        <v>10276.224895699947</v>
      </c>
      <c r="D72" s="755">
        <v>10000</v>
      </c>
      <c r="E72" s="743">
        <v>0</v>
      </c>
      <c r="F72" s="743">
        <f t="shared" si="38"/>
        <v>833.33333333333337</v>
      </c>
      <c r="G72" s="743">
        <f t="shared" si="39"/>
        <v>3333.3333333333335</v>
      </c>
      <c r="H72" s="743">
        <f t="shared" si="40"/>
        <v>3333.3333333333335</v>
      </c>
      <c r="I72" s="259">
        <f t="shared" si="1"/>
        <v>0</v>
      </c>
      <c r="J72" s="584" t="str">
        <f t="shared" si="2"/>
        <v/>
      </c>
      <c r="K72" s="745">
        <f>D72</f>
        <v>10000</v>
      </c>
    </row>
    <row r="73" spans="1:11" ht="12.75" customHeight="1" x14ac:dyDescent="0.2">
      <c r="A73" s="583" t="s">
        <v>1256</v>
      </c>
      <c r="B73" s="170"/>
      <c r="C73" s="758">
        <v>22315.906675852788</v>
      </c>
      <c r="D73" s="755">
        <v>22000</v>
      </c>
      <c r="E73" s="743">
        <v>0</v>
      </c>
      <c r="F73" s="743">
        <f t="shared" si="38"/>
        <v>1833.3333333333333</v>
      </c>
      <c r="G73" s="743">
        <f t="shared" si="39"/>
        <v>7333.333333333333</v>
      </c>
      <c r="H73" s="743">
        <f t="shared" si="40"/>
        <v>7333.333333333333</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41">+C76+C99</f>
        <v>576342324.37879765</v>
      </c>
      <c r="D75" s="586">
        <f t="shared" si="41"/>
        <v>49730000</v>
      </c>
      <c r="E75" s="587">
        <f t="shared" si="41"/>
        <v>0</v>
      </c>
      <c r="F75" s="587">
        <f t="shared" si="41"/>
        <v>4144166.666666667</v>
      </c>
      <c r="G75" s="587">
        <f t="shared" si="41"/>
        <v>16576666.666666668</v>
      </c>
      <c r="H75" s="587">
        <f t="shared" si="41"/>
        <v>16576666.666666668</v>
      </c>
      <c r="I75" s="587">
        <f t="shared" si="1"/>
        <v>0</v>
      </c>
      <c r="J75" s="588" t="str">
        <f t="shared" si="2"/>
        <v/>
      </c>
      <c r="K75" s="589">
        <f>+K76+K99</f>
        <v>49730000</v>
      </c>
    </row>
    <row r="76" spans="1:11" ht="12.75" customHeight="1" x14ac:dyDescent="0.2">
      <c r="A76" s="521" t="s">
        <v>1305</v>
      </c>
      <c r="B76" s="170"/>
      <c r="C76" s="657">
        <f t="shared" ref="C76:H76" si="42">SUM(C77:C98)</f>
        <v>551572324.37879765</v>
      </c>
      <c r="D76" s="658">
        <f t="shared" si="42"/>
        <v>24960000</v>
      </c>
      <c r="E76" s="411">
        <f t="shared" si="42"/>
        <v>0</v>
      </c>
      <c r="F76" s="411">
        <f t="shared" si="42"/>
        <v>2080000</v>
      </c>
      <c r="G76" s="411">
        <f t="shared" si="42"/>
        <v>8320000</v>
      </c>
      <c r="H76" s="411">
        <f t="shared" si="42"/>
        <v>8320000</v>
      </c>
      <c r="I76" s="259">
        <f t="shared" si="1"/>
        <v>0</v>
      </c>
      <c r="J76" s="584" t="str">
        <f t="shared" si="2"/>
        <v/>
      </c>
      <c r="K76" s="651">
        <f>SUM(K77:K98)</f>
        <v>24960000</v>
      </c>
    </row>
    <row r="77" spans="1:11" ht="12.75" customHeight="1" x14ac:dyDescent="0.2">
      <c r="A77" s="583" t="s">
        <v>1306</v>
      </c>
      <c r="B77" s="170"/>
      <c r="C77" s="758">
        <v>737280.80532067432</v>
      </c>
      <c r="D77" s="763">
        <v>737000</v>
      </c>
      <c r="E77" s="743">
        <v>0</v>
      </c>
      <c r="F77" s="743">
        <f t="shared" ref="F77:F98" si="43">D77/12</f>
        <v>61416.666666666664</v>
      </c>
      <c r="G77" s="743">
        <f t="shared" ref="G77:G98" si="44">H77</f>
        <v>245666.66666666666</v>
      </c>
      <c r="H77" s="743">
        <f t="shared" ref="H77:H98" si="45">D77/12*4</f>
        <v>245666.66666666666</v>
      </c>
      <c r="I77" s="45">
        <f t="shared" si="1"/>
        <v>0</v>
      </c>
      <c r="J77" s="125" t="str">
        <f t="shared" si="2"/>
        <v/>
      </c>
      <c r="K77" s="745">
        <f>D77</f>
        <v>737000</v>
      </c>
    </row>
    <row r="78" spans="1:11" ht="12.75" customHeight="1" x14ac:dyDescent="0.2">
      <c r="A78" s="583" t="s">
        <v>1307</v>
      </c>
      <c r="B78" s="170"/>
      <c r="C78" s="758">
        <v>24527.586418446826</v>
      </c>
      <c r="D78" s="763">
        <v>25000</v>
      </c>
      <c r="E78" s="743">
        <v>0</v>
      </c>
      <c r="F78" s="743">
        <f t="shared" si="43"/>
        <v>2083.3333333333335</v>
      </c>
      <c r="G78" s="743">
        <f t="shared" si="44"/>
        <v>8333.3333333333339</v>
      </c>
      <c r="H78" s="743">
        <f t="shared" si="45"/>
        <v>8333.3333333333339</v>
      </c>
      <c r="I78" s="45">
        <f t="shared" si="1"/>
        <v>0</v>
      </c>
      <c r="J78" s="125" t="str">
        <f t="shared" si="2"/>
        <v/>
      </c>
      <c r="K78" s="745">
        <f t="shared" ref="K78:K98" si="46">D78</f>
        <v>25000</v>
      </c>
    </row>
    <row r="79" spans="1:11" ht="12.75" customHeight="1" x14ac:dyDescent="0.2">
      <c r="A79" s="583" t="s">
        <v>1308</v>
      </c>
      <c r="B79" s="170"/>
      <c r="C79" s="758">
        <v>0</v>
      </c>
      <c r="D79" s="763">
        <v>0</v>
      </c>
      <c r="E79" s="743">
        <v>0</v>
      </c>
      <c r="F79" s="743">
        <f t="shared" si="43"/>
        <v>0</v>
      </c>
      <c r="G79" s="743">
        <f t="shared" si="44"/>
        <v>0</v>
      </c>
      <c r="H79" s="743">
        <f t="shared" si="45"/>
        <v>0</v>
      </c>
      <c r="I79" s="45">
        <f t="shared" si="1"/>
        <v>0</v>
      </c>
      <c r="J79" s="125" t="str">
        <f t="shared" si="2"/>
        <v/>
      </c>
      <c r="K79" s="745">
        <f t="shared" si="46"/>
        <v>0</v>
      </c>
    </row>
    <row r="80" spans="1:11" ht="12.75" customHeight="1" x14ac:dyDescent="0.2">
      <c r="A80" s="583" t="s">
        <v>1309</v>
      </c>
      <c r="B80" s="170"/>
      <c r="C80" s="758">
        <v>56322.64417652478</v>
      </c>
      <c r="D80" s="763">
        <v>56000</v>
      </c>
      <c r="E80" s="743">
        <v>0</v>
      </c>
      <c r="F80" s="743">
        <f t="shared" si="43"/>
        <v>4666.666666666667</v>
      </c>
      <c r="G80" s="743">
        <f t="shared" si="44"/>
        <v>18666.666666666668</v>
      </c>
      <c r="H80" s="743">
        <f t="shared" si="45"/>
        <v>18666.666666666668</v>
      </c>
      <c r="I80" s="45">
        <f t="shared" si="1"/>
        <v>0</v>
      </c>
      <c r="J80" s="125" t="str">
        <f t="shared" si="2"/>
        <v/>
      </c>
      <c r="K80" s="745">
        <f t="shared" si="46"/>
        <v>56000</v>
      </c>
    </row>
    <row r="81" spans="1:11" ht="12.75" customHeight="1" x14ac:dyDescent="0.2">
      <c r="A81" s="583" t="s">
        <v>1310</v>
      </c>
      <c r="B81" s="170"/>
      <c r="C81" s="758">
        <v>692805.3659456484</v>
      </c>
      <c r="D81" s="763">
        <v>693000</v>
      </c>
      <c r="E81" s="743">
        <v>0</v>
      </c>
      <c r="F81" s="743">
        <f t="shared" si="43"/>
        <v>57750</v>
      </c>
      <c r="G81" s="743">
        <f t="shared" si="44"/>
        <v>231000</v>
      </c>
      <c r="H81" s="743">
        <f t="shared" si="45"/>
        <v>231000</v>
      </c>
      <c r="I81" s="45">
        <f t="shared" si="1"/>
        <v>0</v>
      </c>
      <c r="J81" s="125" t="str">
        <f t="shared" si="2"/>
        <v/>
      </c>
      <c r="K81" s="745">
        <f t="shared" si="46"/>
        <v>693000</v>
      </c>
    </row>
    <row r="82" spans="1:11" ht="12.75" customHeight="1" x14ac:dyDescent="0.2">
      <c r="A82" s="583" t="s">
        <v>1311</v>
      </c>
      <c r="B82" s="170"/>
      <c r="C82" s="758">
        <v>120676.3284151273</v>
      </c>
      <c r="D82" s="763">
        <v>121000</v>
      </c>
      <c r="E82" s="743">
        <v>0</v>
      </c>
      <c r="F82" s="743">
        <f t="shared" si="43"/>
        <v>10083.333333333334</v>
      </c>
      <c r="G82" s="743">
        <f t="shared" si="44"/>
        <v>40333.333333333336</v>
      </c>
      <c r="H82" s="743">
        <f t="shared" si="45"/>
        <v>40333.333333333336</v>
      </c>
      <c r="I82" s="45">
        <f t="shared" si="1"/>
        <v>0</v>
      </c>
      <c r="J82" s="125" t="str">
        <f t="shared" si="2"/>
        <v/>
      </c>
      <c r="K82" s="745">
        <f t="shared" si="46"/>
        <v>121000</v>
      </c>
    </row>
    <row r="83" spans="1:11" ht="12.75" customHeight="1" x14ac:dyDescent="0.2">
      <c r="A83" s="583" t="s">
        <v>1312</v>
      </c>
      <c r="B83" s="170"/>
      <c r="C83" s="758">
        <v>1749530.2907444544</v>
      </c>
      <c r="D83" s="763">
        <v>1750000</v>
      </c>
      <c r="E83" s="743">
        <v>0</v>
      </c>
      <c r="F83" s="743">
        <f t="shared" si="43"/>
        <v>145833.33333333334</v>
      </c>
      <c r="G83" s="743">
        <f t="shared" si="44"/>
        <v>583333.33333333337</v>
      </c>
      <c r="H83" s="743">
        <f t="shared" si="45"/>
        <v>583333.33333333337</v>
      </c>
      <c r="I83" s="45">
        <f t="shared" si="1"/>
        <v>0</v>
      </c>
      <c r="J83" s="125" t="str">
        <f t="shared" si="2"/>
        <v/>
      </c>
      <c r="K83" s="745">
        <f t="shared" si="46"/>
        <v>1750000</v>
      </c>
    </row>
    <row r="84" spans="1:11" ht="12.75" customHeight="1" x14ac:dyDescent="0.2">
      <c r="A84" s="583" t="s">
        <v>1313</v>
      </c>
      <c r="B84" s="170"/>
      <c r="C84" s="758">
        <v>0</v>
      </c>
      <c r="D84" s="763">
        <v>0</v>
      </c>
      <c r="E84" s="743">
        <v>0</v>
      </c>
      <c r="F84" s="743">
        <f t="shared" si="43"/>
        <v>0</v>
      </c>
      <c r="G84" s="743">
        <f t="shared" si="44"/>
        <v>0</v>
      </c>
      <c r="H84" s="743">
        <f t="shared" si="45"/>
        <v>0</v>
      </c>
      <c r="I84" s="45">
        <f t="shared" si="1"/>
        <v>0</v>
      </c>
      <c r="J84" s="125" t="str">
        <f t="shared" si="2"/>
        <v/>
      </c>
      <c r="K84" s="745">
        <f t="shared" si="46"/>
        <v>0</v>
      </c>
    </row>
    <row r="85" spans="1:11" ht="12.75" customHeight="1" x14ac:dyDescent="0.2">
      <c r="A85" s="583" t="s">
        <v>1189</v>
      </c>
      <c r="B85" s="170"/>
      <c r="C85" s="758">
        <v>0</v>
      </c>
      <c r="D85" s="763">
        <v>0</v>
      </c>
      <c r="E85" s="743">
        <v>0</v>
      </c>
      <c r="F85" s="743">
        <f t="shared" si="43"/>
        <v>0</v>
      </c>
      <c r="G85" s="743">
        <f t="shared" si="44"/>
        <v>0</v>
      </c>
      <c r="H85" s="743">
        <f t="shared" si="45"/>
        <v>0</v>
      </c>
      <c r="I85" s="45">
        <f t="shared" si="1"/>
        <v>0</v>
      </c>
      <c r="J85" s="125" t="str">
        <f t="shared" si="2"/>
        <v/>
      </c>
      <c r="K85" s="745">
        <f t="shared" si="46"/>
        <v>0</v>
      </c>
    </row>
    <row r="86" spans="1:11" ht="12.75" customHeight="1" x14ac:dyDescent="0.2">
      <c r="A86" s="583" t="s">
        <v>572</v>
      </c>
      <c r="B86" s="170"/>
      <c r="C86" s="758">
        <v>0</v>
      </c>
      <c r="D86" s="763">
        <v>0</v>
      </c>
      <c r="E86" s="743">
        <v>0</v>
      </c>
      <c r="F86" s="743">
        <f t="shared" si="43"/>
        <v>0</v>
      </c>
      <c r="G86" s="743">
        <f t="shared" si="44"/>
        <v>0</v>
      </c>
      <c r="H86" s="743">
        <f t="shared" si="45"/>
        <v>0</v>
      </c>
      <c r="I86" s="45">
        <f t="shared" si="1"/>
        <v>0</v>
      </c>
      <c r="J86" s="125" t="str">
        <f t="shared" si="2"/>
        <v/>
      </c>
      <c r="K86" s="745">
        <f t="shared" si="46"/>
        <v>0</v>
      </c>
    </row>
    <row r="87" spans="1:11" ht="12.75" customHeight="1" x14ac:dyDescent="0.2">
      <c r="A87" s="583" t="s">
        <v>1314</v>
      </c>
      <c r="B87" s="170"/>
      <c r="C87" s="758">
        <v>245019.25354075246</v>
      </c>
      <c r="D87" s="763">
        <v>245000</v>
      </c>
      <c r="E87" s="743">
        <v>0</v>
      </c>
      <c r="F87" s="743">
        <f t="shared" si="43"/>
        <v>20416.666666666668</v>
      </c>
      <c r="G87" s="743">
        <f t="shared" si="44"/>
        <v>81666.666666666672</v>
      </c>
      <c r="H87" s="743">
        <f t="shared" si="45"/>
        <v>81666.666666666672</v>
      </c>
      <c r="I87" s="45">
        <f t="shared" si="1"/>
        <v>0</v>
      </c>
      <c r="J87" s="125" t="str">
        <f t="shared" si="2"/>
        <v/>
      </c>
      <c r="K87" s="745">
        <f t="shared" si="46"/>
        <v>245000</v>
      </c>
    </row>
    <row r="88" spans="1:11" ht="12.75" customHeight="1" x14ac:dyDescent="0.2">
      <c r="A88" s="583" t="s">
        <v>173</v>
      </c>
      <c r="B88" s="170"/>
      <c r="C88" s="758">
        <v>0</v>
      </c>
      <c r="D88" s="763">
        <v>0</v>
      </c>
      <c r="E88" s="743">
        <v>0</v>
      </c>
      <c r="F88" s="743">
        <f t="shared" si="43"/>
        <v>0</v>
      </c>
      <c r="G88" s="743">
        <f t="shared" si="44"/>
        <v>0</v>
      </c>
      <c r="H88" s="743">
        <f t="shared" si="45"/>
        <v>0</v>
      </c>
      <c r="I88" s="45">
        <f t="shared" si="1"/>
        <v>0</v>
      </c>
      <c r="J88" s="125" t="str">
        <f t="shared" si="2"/>
        <v/>
      </c>
      <c r="K88" s="745">
        <f t="shared" si="46"/>
        <v>0</v>
      </c>
    </row>
    <row r="89" spans="1:11" ht="12.75" customHeight="1" x14ac:dyDescent="0.2">
      <c r="A89" s="583" t="s">
        <v>1315</v>
      </c>
      <c r="B89" s="170"/>
      <c r="C89" s="758">
        <v>0</v>
      </c>
      <c r="D89" s="763">
        <v>0</v>
      </c>
      <c r="E89" s="743">
        <v>0</v>
      </c>
      <c r="F89" s="743">
        <f t="shared" si="43"/>
        <v>0</v>
      </c>
      <c r="G89" s="743">
        <f t="shared" si="44"/>
        <v>0</v>
      </c>
      <c r="H89" s="743">
        <f t="shared" si="45"/>
        <v>0</v>
      </c>
      <c r="I89" s="45">
        <f t="shared" si="1"/>
        <v>0</v>
      </c>
      <c r="J89" s="125" t="str">
        <f t="shared" si="2"/>
        <v/>
      </c>
      <c r="K89" s="745">
        <f t="shared" si="46"/>
        <v>0</v>
      </c>
    </row>
    <row r="90" spans="1:11" ht="12.75" customHeight="1" x14ac:dyDescent="0.2">
      <c r="A90" s="583" t="s">
        <v>1316</v>
      </c>
      <c r="B90" s="170"/>
      <c r="C90" s="758">
        <v>1248691.1100178929</v>
      </c>
      <c r="D90" s="763">
        <v>1249000</v>
      </c>
      <c r="E90" s="743">
        <v>0</v>
      </c>
      <c r="F90" s="743">
        <f t="shared" si="43"/>
        <v>104083.33333333333</v>
      </c>
      <c r="G90" s="743">
        <f t="shared" si="44"/>
        <v>416333.33333333331</v>
      </c>
      <c r="H90" s="743">
        <f t="shared" si="45"/>
        <v>416333.33333333331</v>
      </c>
      <c r="I90" s="45">
        <f t="shared" si="1"/>
        <v>0</v>
      </c>
      <c r="J90" s="125" t="str">
        <f t="shared" si="2"/>
        <v/>
      </c>
      <c r="K90" s="745">
        <f t="shared" si="46"/>
        <v>1249000</v>
      </c>
    </row>
    <row r="91" spans="1:11" ht="12.75" customHeight="1" x14ac:dyDescent="0.2">
      <c r="A91" s="583" t="s">
        <v>1317</v>
      </c>
      <c r="B91" s="170"/>
      <c r="C91" s="758">
        <v>0</v>
      </c>
      <c r="D91" s="763">
        <v>0</v>
      </c>
      <c r="E91" s="743">
        <v>0</v>
      </c>
      <c r="F91" s="743">
        <f t="shared" si="43"/>
        <v>0</v>
      </c>
      <c r="G91" s="743">
        <f t="shared" si="44"/>
        <v>0</v>
      </c>
      <c r="H91" s="743">
        <f t="shared" si="45"/>
        <v>0</v>
      </c>
      <c r="I91" s="45">
        <f t="shared" si="1"/>
        <v>0</v>
      </c>
      <c r="J91" s="125" t="str">
        <f t="shared" si="2"/>
        <v/>
      </c>
      <c r="K91" s="745">
        <f t="shared" si="46"/>
        <v>0</v>
      </c>
    </row>
    <row r="92" spans="1:11" ht="12.75" customHeight="1" x14ac:dyDescent="0.2">
      <c r="A92" s="583" t="s">
        <v>1318</v>
      </c>
      <c r="B92" s="170"/>
      <c r="C92" s="758">
        <v>0</v>
      </c>
      <c r="D92" s="763">
        <v>0</v>
      </c>
      <c r="E92" s="743">
        <v>0</v>
      </c>
      <c r="F92" s="743">
        <f t="shared" si="43"/>
        <v>0</v>
      </c>
      <c r="G92" s="743">
        <f t="shared" si="44"/>
        <v>0</v>
      </c>
      <c r="H92" s="743">
        <f t="shared" si="45"/>
        <v>0</v>
      </c>
      <c r="I92" s="45">
        <f t="shared" si="1"/>
        <v>0</v>
      </c>
      <c r="J92" s="125" t="str">
        <f t="shared" si="2"/>
        <v/>
      </c>
      <c r="K92" s="745">
        <f t="shared" si="46"/>
        <v>0</v>
      </c>
    </row>
    <row r="93" spans="1:11" ht="12.75" customHeight="1" x14ac:dyDescent="0.2">
      <c r="A93" s="583" t="s">
        <v>451</v>
      </c>
      <c r="B93" s="170"/>
      <c r="C93" s="758">
        <v>246453.20630807124</v>
      </c>
      <c r="D93" s="763">
        <v>246000</v>
      </c>
      <c r="E93" s="743">
        <v>0</v>
      </c>
      <c r="F93" s="743">
        <f t="shared" si="43"/>
        <v>20500</v>
      </c>
      <c r="G93" s="743">
        <f t="shared" si="44"/>
        <v>82000</v>
      </c>
      <c r="H93" s="743">
        <f t="shared" si="45"/>
        <v>82000</v>
      </c>
      <c r="I93" s="45">
        <f t="shared" si="1"/>
        <v>0</v>
      </c>
      <c r="J93" s="125" t="str">
        <f t="shared" si="2"/>
        <v/>
      </c>
      <c r="K93" s="745">
        <f t="shared" si="46"/>
        <v>246000</v>
      </c>
    </row>
    <row r="94" spans="1:11" ht="12.75" customHeight="1" x14ac:dyDescent="0.2">
      <c r="A94" s="583" t="s">
        <v>1319</v>
      </c>
      <c r="B94" s="170"/>
      <c r="C94" s="758">
        <v>0</v>
      </c>
      <c r="D94" s="763">
        <v>0</v>
      </c>
      <c r="E94" s="743">
        <v>0</v>
      </c>
      <c r="F94" s="743">
        <f t="shared" si="43"/>
        <v>0</v>
      </c>
      <c r="G94" s="743">
        <f t="shared" si="44"/>
        <v>0</v>
      </c>
      <c r="H94" s="743">
        <f t="shared" si="45"/>
        <v>0</v>
      </c>
      <c r="I94" s="45">
        <f t="shared" si="1"/>
        <v>0</v>
      </c>
      <c r="J94" s="125" t="str">
        <f t="shared" si="2"/>
        <v/>
      </c>
      <c r="K94" s="745">
        <f t="shared" si="46"/>
        <v>0</v>
      </c>
    </row>
    <row r="95" spans="1:11" ht="12.75" customHeight="1" x14ac:dyDescent="0.2">
      <c r="A95" s="583" t="s">
        <v>450</v>
      </c>
      <c r="B95" s="170"/>
      <c r="C95" s="758">
        <v>0</v>
      </c>
      <c r="D95" s="763">
        <v>0</v>
      </c>
      <c r="E95" s="743">
        <v>0</v>
      </c>
      <c r="F95" s="743">
        <f t="shared" si="43"/>
        <v>0</v>
      </c>
      <c r="G95" s="743">
        <f t="shared" si="44"/>
        <v>0</v>
      </c>
      <c r="H95" s="743">
        <f t="shared" si="45"/>
        <v>0</v>
      </c>
      <c r="I95" s="45">
        <f t="shared" si="1"/>
        <v>0</v>
      </c>
      <c r="J95" s="125" t="str">
        <f t="shared" si="2"/>
        <v/>
      </c>
      <c r="K95" s="745">
        <f t="shared" si="46"/>
        <v>0</v>
      </c>
    </row>
    <row r="96" spans="1:11" ht="12.75" customHeight="1" x14ac:dyDescent="0.2">
      <c r="A96" s="583" t="s">
        <v>1320</v>
      </c>
      <c r="B96" s="170"/>
      <c r="C96" s="758">
        <v>821301.40992593137</v>
      </c>
      <c r="D96" s="763">
        <v>821000</v>
      </c>
      <c r="E96" s="743">
        <v>0</v>
      </c>
      <c r="F96" s="743">
        <f t="shared" si="43"/>
        <v>68416.666666666672</v>
      </c>
      <c r="G96" s="743">
        <f t="shared" si="44"/>
        <v>273666.66666666669</v>
      </c>
      <c r="H96" s="743">
        <f t="shared" si="45"/>
        <v>273666.66666666669</v>
      </c>
      <c r="I96" s="45">
        <f t="shared" si="1"/>
        <v>0</v>
      </c>
      <c r="J96" s="125" t="str">
        <f t="shared" si="2"/>
        <v/>
      </c>
      <c r="K96" s="745">
        <f t="shared" si="46"/>
        <v>821000</v>
      </c>
    </row>
    <row r="97" spans="1:11" ht="12.75" customHeight="1" x14ac:dyDescent="0.2">
      <c r="A97" s="583" t="s">
        <v>1321</v>
      </c>
      <c r="B97" s="170"/>
      <c r="C97" s="758">
        <v>961725.86332520179</v>
      </c>
      <c r="D97" s="763">
        <v>962000</v>
      </c>
      <c r="E97" s="743">
        <v>0</v>
      </c>
      <c r="F97" s="743">
        <f t="shared" si="43"/>
        <v>80166.666666666672</v>
      </c>
      <c r="G97" s="743">
        <f t="shared" si="44"/>
        <v>320666.66666666669</v>
      </c>
      <c r="H97" s="743">
        <f t="shared" si="45"/>
        <v>320666.66666666669</v>
      </c>
      <c r="I97" s="45">
        <f t="shared" si="1"/>
        <v>0</v>
      </c>
      <c r="J97" s="125" t="str">
        <f t="shared" si="2"/>
        <v/>
      </c>
      <c r="K97" s="745">
        <f t="shared" si="46"/>
        <v>962000</v>
      </c>
    </row>
    <row r="98" spans="1:11" ht="12.75" customHeight="1" x14ac:dyDescent="0.2">
      <c r="A98" s="583" t="s">
        <v>1256</v>
      </c>
      <c r="B98" s="170"/>
      <c r="C98" s="758">
        <v>544667990.51465893</v>
      </c>
      <c r="D98" s="763">
        <v>18055000</v>
      </c>
      <c r="E98" s="743">
        <v>0</v>
      </c>
      <c r="F98" s="743">
        <f t="shared" si="43"/>
        <v>1504583.3333333333</v>
      </c>
      <c r="G98" s="743">
        <f t="shared" si="44"/>
        <v>6018333.333333333</v>
      </c>
      <c r="H98" s="743">
        <f t="shared" si="45"/>
        <v>6018333.333333333</v>
      </c>
      <c r="I98" s="45">
        <f t="shared" si="1"/>
        <v>0</v>
      </c>
      <c r="J98" s="125" t="str">
        <f t="shared" si="2"/>
        <v/>
      </c>
      <c r="K98" s="745">
        <f t="shared" si="46"/>
        <v>18055000</v>
      </c>
    </row>
    <row r="99" spans="1:11" ht="12.75" customHeight="1" x14ac:dyDescent="0.2">
      <c r="A99" s="521" t="s">
        <v>1322</v>
      </c>
      <c r="B99" s="170"/>
      <c r="C99" s="657">
        <f t="shared" ref="C99:H99" si="47">SUM(C100:C102)</f>
        <v>24770000</v>
      </c>
      <c r="D99" s="658">
        <f t="shared" si="47"/>
        <v>24770000</v>
      </c>
      <c r="E99" s="411">
        <f t="shared" si="47"/>
        <v>0</v>
      </c>
      <c r="F99" s="411">
        <f t="shared" si="47"/>
        <v>2064166.6666666667</v>
      </c>
      <c r="G99" s="411">
        <f t="shared" si="47"/>
        <v>8256666.666666667</v>
      </c>
      <c r="H99" s="411">
        <f t="shared" si="47"/>
        <v>8256666.666666667</v>
      </c>
      <c r="I99" s="259">
        <f t="shared" si="1"/>
        <v>0</v>
      </c>
      <c r="J99" s="584" t="str">
        <f t="shared" si="2"/>
        <v/>
      </c>
      <c r="K99" s="651">
        <f>SUM(K100:K102)</f>
        <v>24770000</v>
      </c>
    </row>
    <row r="100" spans="1:11" ht="12.75" customHeight="1" x14ac:dyDescent="0.2">
      <c r="A100" s="583" t="s">
        <v>1323</v>
      </c>
      <c r="B100" s="170"/>
      <c r="C100" s="758">
        <v>1569000</v>
      </c>
      <c r="D100" s="763">
        <v>1569000</v>
      </c>
      <c r="E100" s="743">
        <v>0</v>
      </c>
      <c r="F100" s="743">
        <f t="shared" ref="F100:F101" si="48">D100/12</f>
        <v>130750</v>
      </c>
      <c r="G100" s="743">
        <f t="shared" ref="G100:G101" si="49">H100</f>
        <v>523000</v>
      </c>
      <c r="H100" s="743">
        <f t="shared" ref="H100:H102" si="50">D100/12*4</f>
        <v>523000</v>
      </c>
      <c r="I100" s="45">
        <f t="shared" si="1"/>
        <v>0</v>
      </c>
      <c r="J100" s="125" t="str">
        <f t="shared" si="2"/>
        <v/>
      </c>
      <c r="K100" s="745">
        <f>D100</f>
        <v>1569000</v>
      </c>
    </row>
    <row r="101" spans="1:11" ht="12.75" customHeight="1" x14ac:dyDescent="0.2">
      <c r="A101" s="583" t="s">
        <v>1324</v>
      </c>
      <c r="B101" s="170"/>
      <c r="C101" s="758">
        <v>23201000</v>
      </c>
      <c r="D101" s="763">
        <v>23201000</v>
      </c>
      <c r="E101" s="743">
        <v>0</v>
      </c>
      <c r="F101" s="743">
        <f t="shared" si="48"/>
        <v>1933416.6666666667</v>
      </c>
      <c r="G101" s="743">
        <f t="shared" si="49"/>
        <v>7733666.666666667</v>
      </c>
      <c r="H101" s="743">
        <f t="shared" si="50"/>
        <v>7733666.666666667</v>
      </c>
      <c r="I101" s="45">
        <f>H101-G101</f>
        <v>0</v>
      </c>
      <c r="J101" s="125" t="str">
        <f>IF(I101=0,"",I101/H101)</f>
        <v/>
      </c>
      <c r="K101" s="745">
        <f>D101</f>
        <v>23201000</v>
      </c>
    </row>
    <row r="102" spans="1:11" ht="12.75" customHeight="1" x14ac:dyDescent="0.2">
      <c r="A102" s="583" t="s">
        <v>1256</v>
      </c>
      <c r="B102" s="170"/>
      <c r="C102" s="758"/>
      <c r="D102" s="763"/>
      <c r="E102" s="743">
        <v>0</v>
      </c>
      <c r="F102" s="743">
        <v>0</v>
      </c>
      <c r="G102" s="743">
        <f>H102</f>
        <v>0</v>
      </c>
      <c r="H102" s="743">
        <f t="shared" si="50"/>
        <v>0</v>
      </c>
      <c r="I102" s="45">
        <f t="shared" si="1"/>
        <v>0</v>
      </c>
      <c r="J102" s="125" t="str">
        <f t="shared" si="2"/>
        <v/>
      </c>
      <c r="K102" s="745">
        <f>D102</f>
        <v>0</v>
      </c>
    </row>
    <row r="103" spans="1:11" ht="12.75" customHeight="1" x14ac:dyDescent="0.2">
      <c r="A103" s="553" t="s">
        <v>690</v>
      </c>
      <c r="B103" s="170"/>
      <c r="C103" s="250">
        <f t="shared" ref="C103:H103" si="51">SUM(C104:C108)</f>
        <v>0</v>
      </c>
      <c r="D103" s="265">
        <f t="shared" si="51"/>
        <v>0</v>
      </c>
      <c r="E103" s="100">
        <f t="shared" si="51"/>
        <v>0</v>
      </c>
      <c r="F103" s="100">
        <f t="shared" si="51"/>
        <v>0</v>
      </c>
      <c r="G103" s="100">
        <f t="shared" si="51"/>
        <v>0</v>
      </c>
      <c r="H103" s="100">
        <f t="shared" si="51"/>
        <v>0</v>
      </c>
      <c r="I103" s="100">
        <f t="shared" si="1"/>
        <v>0</v>
      </c>
      <c r="J103" s="327" t="str">
        <f t="shared" si="2"/>
        <v/>
      </c>
      <c r="K103" s="196">
        <f>SUM(K104:K108)</f>
        <v>0</v>
      </c>
    </row>
    <row r="104" spans="1:11" ht="12.75" customHeight="1" x14ac:dyDescent="0.2">
      <c r="A104" s="521" t="s">
        <v>1326</v>
      </c>
      <c r="B104" s="170"/>
      <c r="C104" s="796"/>
      <c r="D104" s="763"/>
      <c r="E104" s="743"/>
      <c r="F104" s="743"/>
      <c r="G104" s="743"/>
      <c r="H104" s="743"/>
      <c r="I104" s="45">
        <f t="shared" si="1"/>
        <v>0</v>
      </c>
      <c r="J104" s="125" t="str">
        <f t="shared" si="2"/>
        <v/>
      </c>
      <c r="K104" s="745"/>
    </row>
    <row r="105" spans="1:11" ht="12.75" customHeight="1" x14ac:dyDescent="0.2">
      <c r="A105" s="520" t="s">
        <v>1327</v>
      </c>
      <c r="B105" s="170"/>
      <c r="C105" s="796"/>
      <c r="D105" s="763"/>
      <c r="E105" s="743"/>
      <c r="F105" s="743"/>
      <c r="G105" s="743"/>
      <c r="H105" s="743"/>
      <c r="I105" s="45">
        <f t="shared" si="1"/>
        <v>0</v>
      </c>
      <c r="J105" s="125" t="str">
        <f t="shared" si="2"/>
        <v/>
      </c>
      <c r="K105" s="745"/>
    </row>
    <row r="106" spans="1:11" ht="12.75" customHeight="1" x14ac:dyDescent="0.2">
      <c r="A106" s="521" t="s">
        <v>1328</v>
      </c>
      <c r="B106" s="170"/>
      <c r="C106" s="796"/>
      <c r="D106" s="763"/>
      <c r="E106" s="743"/>
      <c r="F106" s="743"/>
      <c r="G106" s="743"/>
      <c r="H106" s="743"/>
      <c r="I106" s="45">
        <f t="shared" si="1"/>
        <v>0</v>
      </c>
      <c r="J106" s="125" t="str">
        <f t="shared" si="2"/>
        <v/>
      </c>
      <c r="K106" s="745"/>
    </row>
    <row r="107" spans="1:11" ht="12.75" customHeight="1" x14ac:dyDescent="0.2">
      <c r="A107" s="521" t="s">
        <v>1329</v>
      </c>
      <c r="B107" s="170"/>
      <c r="C107" s="796"/>
      <c r="D107" s="763"/>
      <c r="E107" s="743"/>
      <c r="F107" s="743"/>
      <c r="G107" s="743"/>
      <c r="H107" s="743"/>
      <c r="I107" s="45">
        <f t="shared" si="1"/>
        <v>0</v>
      </c>
      <c r="J107" s="125" t="str">
        <f t="shared" si="2"/>
        <v/>
      </c>
      <c r="K107" s="745"/>
    </row>
    <row r="108" spans="1:11" ht="12.75" customHeight="1" x14ac:dyDescent="0.2">
      <c r="A108" s="520" t="s">
        <v>1330</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52">+C111+C114</f>
        <v>0</v>
      </c>
      <c r="D110" s="586">
        <f t="shared" si="52"/>
        <v>0</v>
      </c>
      <c r="E110" s="587">
        <f t="shared" si="52"/>
        <v>0</v>
      </c>
      <c r="F110" s="587">
        <f t="shared" si="52"/>
        <v>0</v>
      </c>
      <c r="G110" s="587">
        <f t="shared" si="52"/>
        <v>0</v>
      </c>
      <c r="H110" s="587">
        <f t="shared" si="52"/>
        <v>0</v>
      </c>
      <c r="I110" s="100">
        <f t="shared" si="1"/>
        <v>0</v>
      </c>
      <c r="J110" s="327" t="str">
        <f t="shared" si="2"/>
        <v/>
      </c>
      <c r="K110" s="589">
        <f>+K111+K114</f>
        <v>0</v>
      </c>
    </row>
    <row r="111" spans="1:11" ht="12.75" customHeight="1" x14ac:dyDescent="0.2">
      <c r="A111" s="521" t="s">
        <v>1331</v>
      </c>
      <c r="B111" s="170"/>
      <c r="C111" s="657">
        <f t="shared" ref="C111:H111" si="53">SUM(C112:C113)</f>
        <v>0</v>
      </c>
      <c r="D111" s="658">
        <f t="shared" si="53"/>
        <v>0</v>
      </c>
      <c r="E111" s="411">
        <f t="shared" si="53"/>
        <v>0</v>
      </c>
      <c r="F111" s="411">
        <f t="shared" si="53"/>
        <v>0</v>
      </c>
      <c r="G111" s="411">
        <f t="shared" si="53"/>
        <v>0</v>
      </c>
      <c r="H111" s="411">
        <f t="shared" si="53"/>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54">SUM(C115:C116)</f>
        <v>0</v>
      </c>
      <c r="D114" s="658">
        <f t="shared" si="54"/>
        <v>0</v>
      </c>
      <c r="E114" s="411">
        <f t="shared" si="54"/>
        <v>0</v>
      </c>
      <c r="F114" s="411">
        <f t="shared" si="54"/>
        <v>0</v>
      </c>
      <c r="G114" s="411">
        <f t="shared" si="54"/>
        <v>0</v>
      </c>
      <c r="H114" s="411">
        <f t="shared" si="54"/>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51" t="s">
        <v>692</v>
      </c>
      <c r="B117" s="170"/>
      <c r="C117" s="585">
        <f t="shared" ref="C117:H117" si="55">+C118+C130</f>
        <v>6409506.2927598981</v>
      </c>
      <c r="D117" s="586">
        <f t="shared" si="55"/>
        <v>28934000</v>
      </c>
      <c r="E117" s="587">
        <f t="shared" si="55"/>
        <v>0</v>
      </c>
      <c r="F117" s="587">
        <f t="shared" si="55"/>
        <v>2411166.6666666665</v>
      </c>
      <c r="G117" s="587">
        <f t="shared" si="55"/>
        <v>9644666.666666666</v>
      </c>
      <c r="H117" s="587">
        <f t="shared" si="55"/>
        <v>9644666.666666666</v>
      </c>
      <c r="I117" s="587">
        <f t="shared" si="1"/>
        <v>0</v>
      </c>
      <c r="J117" s="588" t="str">
        <f t="shared" si="2"/>
        <v/>
      </c>
      <c r="K117" s="589">
        <f>+K118+K130</f>
        <v>28934000</v>
      </c>
    </row>
    <row r="118" spans="1:11" ht="12.75" customHeight="1" x14ac:dyDescent="0.2">
      <c r="A118" s="521" t="s">
        <v>1335</v>
      </c>
      <c r="B118" s="170"/>
      <c r="C118" s="657">
        <f t="shared" ref="C118:H118" si="56">SUM(C119:C129)</f>
        <v>6200263.2724808287</v>
      </c>
      <c r="D118" s="658">
        <f t="shared" si="56"/>
        <v>28725000</v>
      </c>
      <c r="E118" s="411">
        <f t="shared" si="56"/>
        <v>0</v>
      </c>
      <c r="F118" s="411">
        <f t="shared" si="56"/>
        <v>2393750</v>
      </c>
      <c r="G118" s="411">
        <f t="shared" si="56"/>
        <v>9575000</v>
      </c>
      <c r="H118" s="411">
        <f t="shared" si="56"/>
        <v>9575000</v>
      </c>
      <c r="I118" s="259">
        <f t="shared" si="1"/>
        <v>0</v>
      </c>
      <c r="J118" s="584" t="str">
        <f t="shared" si="2"/>
        <v/>
      </c>
      <c r="K118" s="651">
        <f>SUM(K119:K129)</f>
        <v>28725000</v>
      </c>
    </row>
    <row r="119" spans="1:11" ht="12.75" customHeight="1" x14ac:dyDescent="0.2">
      <c r="A119" s="583" t="s">
        <v>1336</v>
      </c>
      <c r="B119" s="170"/>
      <c r="C119" s="758">
        <v>4528374.4485785291</v>
      </c>
      <c r="D119" s="763">
        <v>4528000</v>
      </c>
      <c r="E119" s="743">
        <v>0</v>
      </c>
      <c r="F119" s="743">
        <f t="shared" ref="F119:F129" si="57">D119/12</f>
        <v>377333.33333333331</v>
      </c>
      <c r="G119" s="743">
        <f t="shared" ref="G119:G129" si="58">H119</f>
        <v>1509333.3333333333</v>
      </c>
      <c r="H119" s="743">
        <f t="shared" ref="H119:H129" si="59">D119/12*4</f>
        <v>1509333.3333333333</v>
      </c>
      <c r="I119" s="45">
        <f t="shared" si="1"/>
        <v>0</v>
      </c>
      <c r="J119" s="125" t="str">
        <f t="shared" si="2"/>
        <v/>
      </c>
      <c r="K119" s="745">
        <f>D119</f>
        <v>4528000</v>
      </c>
    </row>
    <row r="120" spans="1:11" ht="12.75" customHeight="1" x14ac:dyDescent="0.2">
      <c r="A120" s="583" t="s">
        <v>1337</v>
      </c>
      <c r="B120" s="170"/>
      <c r="C120" s="758">
        <v>330565.5555232754</v>
      </c>
      <c r="D120" s="763">
        <v>331000</v>
      </c>
      <c r="E120" s="743">
        <v>0</v>
      </c>
      <c r="F120" s="743">
        <f t="shared" si="57"/>
        <v>27583.333333333332</v>
      </c>
      <c r="G120" s="743">
        <f t="shared" si="58"/>
        <v>110333.33333333333</v>
      </c>
      <c r="H120" s="743">
        <f t="shared" si="59"/>
        <v>110333.33333333333</v>
      </c>
      <c r="I120" s="45">
        <f t="shared" si="1"/>
        <v>0</v>
      </c>
      <c r="J120" s="125" t="str">
        <f t="shared" si="2"/>
        <v/>
      </c>
      <c r="K120" s="745">
        <f t="shared" ref="K120:K129" si="60">D120</f>
        <v>331000</v>
      </c>
    </row>
    <row r="121" spans="1:11" ht="12.75" customHeight="1" x14ac:dyDescent="0.2">
      <c r="A121" s="583" t="s">
        <v>1338</v>
      </c>
      <c r="B121" s="170"/>
      <c r="C121" s="758">
        <v>0</v>
      </c>
      <c r="D121" s="763">
        <v>0</v>
      </c>
      <c r="E121" s="743">
        <v>0</v>
      </c>
      <c r="F121" s="743">
        <f t="shared" si="57"/>
        <v>0</v>
      </c>
      <c r="G121" s="743">
        <f t="shared" si="58"/>
        <v>0</v>
      </c>
      <c r="H121" s="743">
        <f t="shared" si="59"/>
        <v>0</v>
      </c>
      <c r="I121" s="45">
        <f t="shared" si="1"/>
        <v>0</v>
      </c>
      <c r="J121" s="125" t="str">
        <f t="shared" si="2"/>
        <v/>
      </c>
      <c r="K121" s="745">
        <f t="shared" si="60"/>
        <v>0</v>
      </c>
    </row>
    <row r="122" spans="1:11" ht="12.75" customHeight="1" x14ac:dyDescent="0.2">
      <c r="A122" s="583" t="s">
        <v>1339</v>
      </c>
      <c r="B122" s="170"/>
      <c r="C122" s="758">
        <v>373628.73360190185</v>
      </c>
      <c r="D122" s="763">
        <v>374000</v>
      </c>
      <c r="E122" s="743">
        <v>0</v>
      </c>
      <c r="F122" s="743">
        <f t="shared" si="57"/>
        <v>31166.666666666668</v>
      </c>
      <c r="G122" s="743">
        <f t="shared" si="58"/>
        <v>124666.66666666667</v>
      </c>
      <c r="H122" s="743">
        <f t="shared" si="59"/>
        <v>124666.66666666667</v>
      </c>
      <c r="I122" s="45">
        <f t="shared" si="1"/>
        <v>0</v>
      </c>
      <c r="J122" s="125" t="str">
        <f t="shared" si="2"/>
        <v/>
      </c>
      <c r="K122" s="745">
        <f t="shared" si="60"/>
        <v>374000</v>
      </c>
    </row>
    <row r="123" spans="1:11" ht="12.75" customHeight="1" x14ac:dyDescent="0.2">
      <c r="A123" s="583" t="s">
        <v>1340</v>
      </c>
      <c r="B123" s="170"/>
      <c r="C123" s="758">
        <v>967694.53477712267</v>
      </c>
      <c r="D123" s="763">
        <v>968000</v>
      </c>
      <c r="E123" s="743">
        <v>0</v>
      </c>
      <c r="F123" s="743">
        <f t="shared" si="57"/>
        <v>80666.666666666672</v>
      </c>
      <c r="G123" s="743">
        <f t="shared" si="58"/>
        <v>322666.66666666669</v>
      </c>
      <c r="H123" s="743">
        <f t="shared" si="59"/>
        <v>322666.66666666669</v>
      </c>
      <c r="I123" s="45">
        <f t="shared" si="1"/>
        <v>0</v>
      </c>
      <c r="J123" s="125" t="str">
        <f t="shared" si="2"/>
        <v/>
      </c>
      <c r="K123" s="745">
        <f t="shared" si="60"/>
        <v>968000</v>
      </c>
    </row>
    <row r="124" spans="1:11" ht="12.75" customHeight="1" x14ac:dyDescent="0.2">
      <c r="A124" s="583" t="s">
        <v>1341</v>
      </c>
      <c r="B124" s="170"/>
      <c r="C124" s="758">
        <v>0</v>
      </c>
      <c r="D124" s="743">
        <v>0</v>
      </c>
      <c r="E124" s="743">
        <v>0</v>
      </c>
      <c r="F124" s="743">
        <f t="shared" si="57"/>
        <v>0</v>
      </c>
      <c r="G124" s="743">
        <f t="shared" si="58"/>
        <v>0</v>
      </c>
      <c r="H124" s="743">
        <f t="shared" si="59"/>
        <v>0</v>
      </c>
      <c r="I124" s="45">
        <f t="shared" si="1"/>
        <v>0</v>
      </c>
      <c r="J124" s="125" t="str">
        <f t="shared" si="2"/>
        <v/>
      </c>
      <c r="K124" s="745">
        <f t="shared" si="60"/>
        <v>0</v>
      </c>
    </row>
    <row r="125" spans="1:11" ht="12.75" customHeight="1" x14ac:dyDescent="0.2">
      <c r="A125" s="583" t="s">
        <v>1342</v>
      </c>
      <c r="B125" s="170"/>
      <c r="C125" s="758">
        <v>0</v>
      </c>
      <c r="D125" s="743">
        <v>0</v>
      </c>
      <c r="E125" s="743">
        <v>0</v>
      </c>
      <c r="F125" s="743">
        <f t="shared" si="57"/>
        <v>0</v>
      </c>
      <c r="G125" s="743">
        <f t="shared" si="58"/>
        <v>0</v>
      </c>
      <c r="H125" s="743">
        <f t="shared" si="59"/>
        <v>0</v>
      </c>
      <c r="I125" s="45">
        <f t="shared" si="1"/>
        <v>0</v>
      </c>
      <c r="J125" s="125" t="str">
        <f t="shared" si="2"/>
        <v/>
      </c>
      <c r="K125" s="745">
        <f t="shared" si="60"/>
        <v>0</v>
      </c>
    </row>
    <row r="126" spans="1:11" ht="12.75" customHeight="1" x14ac:dyDescent="0.2">
      <c r="A126" s="583" t="s">
        <v>1343</v>
      </c>
      <c r="B126" s="170"/>
      <c r="C126" s="758">
        <v>0</v>
      </c>
      <c r="D126" s="743">
        <v>0</v>
      </c>
      <c r="E126" s="743">
        <v>0</v>
      </c>
      <c r="F126" s="743">
        <f t="shared" si="57"/>
        <v>0</v>
      </c>
      <c r="G126" s="743">
        <f t="shared" si="58"/>
        <v>0</v>
      </c>
      <c r="H126" s="743">
        <f t="shared" si="59"/>
        <v>0</v>
      </c>
      <c r="I126" s="45">
        <f t="shared" si="1"/>
        <v>0</v>
      </c>
      <c r="J126" s="125" t="str">
        <f t="shared" si="2"/>
        <v/>
      </c>
      <c r="K126" s="745">
        <f t="shared" si="60"/>
        <v>0</v>
      </c>
    </row>
    <row r="127" spans="1:11" ht="12.75" customHeight="1" x14ac:dyDescent="0.2">
      <c r="A127" s="583" t="s">
        <v>1344</v>
      </c>
      <c r="B127" s="170"/>
      <c r="C127" s="758">
        <v>0</v>
      </c>
      <c r="D127" s="743">
        <v>0</v>
      </c>
      <c r="E127" s="743">
        <v>0</v>
      </c>
      <c r="F127" s="743">
        <f t="shared" si="57"/>
        <v>0</v>
      </c>
      <c r="G127" s="743">
        <f t="shared" si="58"/>
        <v>0</v>
      </c>
      <c r="H127" s="743">
        <f t="shared" si="59"/>
        <v>0</v>
      </c>
      <c r="I127" s="45">
        <f t="shared" si="1"/>
        <v>0</v>
      </c>
      <c r="J127" s="125" t="str">
        <f t="shared" si="2"/>
        <v/>
      </c>
      <c r="K127" s="745">
        <f t="shared" si="60"/>
        <v>0</v>
      </c>
    </row>
    <row r="128" spans="1:11" ht="12.75" customHeight="1" x14ac:dyDescent="0.2">
      <c r="A128" s="583" t="s">
        <v>1345</v>
      </c>
      <c r="B128" s="170"/>
      <c r="C128" s="758">
        <v>0</v>
      </c>
      <c r="D128" s="743">
        <v>0</v>
      </c>
      <c r="E128" s="743">
        <v>0</v>
      </c>
      <c r="F128" s="743">
        <f t="shared" si="57"/>
        <v>0</v>
      </c>
      <c r="G128" s="743">
        <f t="shared" si="58"/>
        <v>0</v>
      </c>
      <c r="H128" s="743">
        <f t="shared" si="59"/>
        <v>0</v>
      </c>
      <c r="I128" s="45">
        <f t="shared" si="1"/>
        <v>0</v>
      </c>
      <c r="J128" s="125" t="str">
        <f t="shared" si="2"/>
        <v/>
      </c>
      <c r="K128" s="745">
        <f t="shared" si="60"/>
        <v>0</v>
      </c>
    </row>
    <row r="129" spans="1:11" ht="12.75" customHeight="1" x14ac:dyDescent="0.2">
      <c r="A129" s="583" t="s">
        <v>1256</v>
      </c>
      <c r="B129" s="170"/>
      <c r="C129" s="758">
        <v>0</v>
      </c>
      <c r="D129" s="743">
        <v>22524000</v>
      </c>
      <c r="E129" s="743">
        <v>0</v>
      </c>
      <c r="F129" s="743">
        <f t="shared" si="57"/>
        <v>1877000</v>
      </c>
      <c r="G129" s="743">
        <f t="shared" si="58"/>
        <v>7508000</v>
      </c>
      <c r="H129" s="743">
        <f t="shared" si="59"/>
        <v>7508000</v>
      </c>
      <c r="I129" s="45">
        <f t="shared" si="1"/>
        <v>0</v>
      </c>
      <c r="J129" s="125" t="str">
        <f t="shared" si="2"/>
        <v/>
      </c>
      <c r="K129" s="745">
        <f t="shared" si="60"/>
        <v>22524000</v>
      </c>
    </row>
    <row r="130" spans="1:11" ht="12.75" customHeight="1" x14ac:dyDescent="0.2">
      <c r="A130" s="521" t="s">
        <v>733</v>
      </c>
      <c r="B130" s="170"/>
      <c r="C130" s="657">
        <f t="shared" ref="C130:H130" si="61">SUM(C131:C133)</f>
        <v>209243.02027906966</v>
      </c>
      <c r="D130" s="658">
        <f t="shared" si="61"/>
        <v>209000</v>
      </c>
      <c r="E130" s="411">
        <f t="shared" si="61"/>
        <v>0</v>
      </c>
      <c r="F130" s="411">
        <f t="shared" si="61"/>
        <v>17416.666666666668</v>
      </c>
      <c r="G130" s="411">
        <f t="shared" si="61"/>
        <v>69666.666666666672</v>
      </c>
      <c r="H130" s="411">
        <f t="shared" si="61"/>
        <v>69666.666666666672</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c r="F131" s="743">
        <f t="shared" ref="F131:F132" si="62">D131/12</f>
        <v>11000</v>
      </c>
      <c r="G131" s="743">
        <f t="shared" ref="G131:G132" si="63">H131</f>
        <v>44000</v>
      </c>
      <c r="H131" s="743">
        <f t="shared" ref="H131:H132" si="64">D131/12*4</f>
        <v>44000</v>
      </c>
      <c r="I131" s="45">
        <f t="shared" si="1"/>
        <v>0</v>
      </c>
      <c r="J131" s="125" t="str">
        <f t="shared" si="2"/>
        <v/>
      </c>
      <c r="K131" s="745">
        <f>D131</f>
        <v>132000</v>
      </c>
    </row>
    <row r="132" spans="1:11" ht="12.75" customHeight="1" x14ac:dyDescent="0.2">
      <c r="A132" s="583" t="s">
        <v>1347</v>
      </c>
      <c r="B132" s="170"/>
      <c r="C132" s="758">
        <v>77319.988026525229</v>
      </c>
      <c r="D132" s="763">
        <v>77000</v>
      </c>
      <c r="E132" s="743"/>
      <c r="F132" s="743">
        <f t="shared" si="62"/>
        <v>6416.666666666667</v>
      </c>
      <c r="G132" s="743">
        <f t="shared" si="63"/>
        <v>25666.666666666668</v>
      </c>
      <c r="H132" s="743">
        <f t="shared" si="64"/>
        <v>25666.666666666668</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65">SUM(C136:C136)</f>
        <v>0</v>
      </c>
      <c r="D135" s="586">
        <f t="shared" si="65"/>
        <v>0</v>
      </c>
      <c r="E135" s="587">
        <f t="shared" si="65"/>
        <v>0</v>
      </c>
      <c r="F135" s="587">
        <f t="shared" si="65"/>
        <v>0</v>
      </c>
      <c r="G135" s="587">
        <f t="shared" si="65"/>
        <v>0</v>
      </c>
      <c r="H135" s="587">
        <f t="shared" si="65"/>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66">IF(I137=0,"",I137/H137)</f>
        <v/>
      </c>
      <c r="K137" s="145"/>
    </row>
    <row r="138" spans="1:11" s="101" customFormat="1" ht="12.75" customHeight="1" x14ac:dyDescent="0.2">
      <c r="A138" s="553" t="s">
        <v>1349</v>
      </c>
      <c r="B138" s="172"/>
      <c r="C138" s="952">
        <f t="shared" ref="C138:H138" si="67">SUM(C139:C140)</f>
        <v>0</v>
      </c>
      <c r="D138" s="953">
        <f t="shared" si="67"/>
        <v>0</v>
      </c>
      <c r="E138" s="954">
        <f t="shared" si="67"/>
        <v>0</v>
      </c>
      <c r="F138" s="954">
        <f t="shared" si="67"/>
        <v>0</v>
      </c>
      <c r="G138" s="954">
        <f t="shared" si="67"/>
        <v>0</v>
      </c>
      <c r="H138" s="954">
        <f t="shared" si="67"/>
        <v>0</v>
      </c>
      <c r="I138" s="954">
        <f t="shared" ref="I138:I146" si="68">H138-G138</f>
        <v>0</v>
      </c>
      <c r="J138" s="327" t="str">
        <f t="shared" si="66"/>
        <v/>
      </c>
      <c r="K138" s="955">
        <f>SUM(K139:K140)</f>
        <v>0</v>
      </c>
    </row>
    <row r="139" spans="1:11" ht="12.75" customHeight="1" x14ac:dyDescent="0.2">
      <c r="A139" s="520" t="s">
        <v>1350</v>
      </c>
      <c r="B139" s="170"/>
      <c r="C139" s="758"/>
      <c r="D139" s="763"/>
      <c r="E139" s="743"/>
      <c r="F139" s="743"/>
      <c r="G139" s="743"/>
      <c r="H139" s="743"/>
      <c r="I139" s="45">
        <f t="shared" si="68"/>
        <v>0</v>
      </c>
      <c r="J139" s="125" t="str">
        <f t="shared" si="66"/>
        <v/>
      </c>
      <c r="K139" s="745"/>
    </row>
    <row r="140" spans="1:11" ht="12.75" customHeight="1" x14ac:dyDescent="0.2">
      <c r="A140" s="520" t="s">
        <v>1351</v>
      </c>
      <c r="B140" s="170"/>
      <c r="C140" s="657">
        <f t="shared" ref="C140:H140" si="69">SUM(C141:C146)</f>
        <v>0</v>
      </c>
      <c r="D140" s="658">
        <f t="shared" si="69"/>
        <v>0</v>
      </c>
      <c r="E140" s="411">
        <f t="shared" si="69"/>
        <v>0</v>
      </c>
      <c r="F140" s="411">
        <f t="shared" si="69"/>
        <v>0</v>
      </c>
      <c r="G140" s="411">
        <f t="shared" si="69"/>
        <v>0</v>
      </c>
      <c r="H140" s="411">
        <f t="shared" si="69"/>
        <v>0</v>
      </c>
      <c r="I140" s="259">
        <f t="shared" si="68"/>
        <v>0</v>
      </c>
      <c r="J140" s="584" t="str">
        <f t="shared" si="66"/>
        <v/>
      </c>
      <c r="K140" s="651">
        <f>SUM(K141:K146)</f>
        <v>0</v>
      </c>
    </row>
    <row r="141" spans="1:11" ht="12.75" customHeight="1" x14ac:dyDescent="0.2">
      <c r="A141" s="583" t="s">
        <v>1352</v>
      </c>
      <c r="B141" s="170"/>
      <c r="C141" s="758"/>
      <c r="D141" s="763"/>
      <c r="E141" s="743"/>
      <c r="F141" s="743"/>
      <c r="G141" s="743"/>
      <c r="H141" s="743"/>
      <c r="I141" s="45">
        <f t="shared" si="68"/>
        <v>0</v>
      </c>
      <c r="J141" s="125" t="str">
        <f t="shared" si="66"/>
        <v/>
      </c>
      <c r="K141" s="745"/>
    </row>
    <row r="142" spans="1:11" ht="12.75" customHeight="1" x14ac:dyDescent="0.2">
      <c r="A142" s="583" t="s">
        <v>1353</v>
      </c>
      <c r="B142" s="170"/>
      <c r="C142" s="758"/>
      <c r="D142" s="763"/>
      <c r="E142" s="743"/>
      <c r="F142" s="743"/>
      <c r="G142" s="743"/>
      <c r="H142" s="743"/>
      <c r="I142" s="45">
        <f t="shared" si="68"/>
        <v>0</v>
      </c>
      <c r="J142" s="125" t="str">
        <f t="shared" si="66"/>
        <v/>
      </c>
      <c r="K142" s="745"/>
    </row>
    <row r="143" spans="1:11" ht="12.75" customHeight="1" x14ac:dyDescent="0.2">
      <c r="A143" s="583" t="s">
        <v>1354</v>
      </c>
      <c r="B143" s="170"/>
      <c r="C143" s="758"/>
      <c r="D143" s="763"/>
      <c r="E143" s="743"/>
      <c r="F143" s="743"/>
      <c r="G143" s="743"/>
      <c r="H143" s="743"/>
      <c r="I143" s="45">
        <f t="shared" si="68"/>
        <v>0</v>
      </c>
      <c r="J143" s="125" t="str">
        <f t="shared" si="66"/>
        <v/>
      </c>
      <c r="K143" s="745"/>
    </row>
    <row r="144" spans="1:11" ht="12.75" customHeight="1" x14ac:dyDescent="0.2">
      <c r="A144" s="583" t="s">
        <v>1355</v>
      </c>
      <c r="B144" s="170"/>
      <c r="C144" s="758"/>
      <c r="D144" s="763"/>
      <c r="E144" s="743"/>
      <c r="F144" s="743"/>
      <c r="G144" s="743"/>
      <c r="H144" s="743"/>
      <c r="I144" s="45">
        <f t="shared" si="68"/>
        <v>0</v>
      </c>
      <c r="J144" s="125" t="str">
        <f t="shared" si="66"/>
        <v/>
      </c>
      <c r="K144" s="745"/>
    </row>
    <row r="145" spans="1:12" ht="12.75" customHeight="1" x14ac:dyDescent="0.2">
      <c r="A145" s="583" t="s">
        <v>1356</v>
      </c>
      <c r="B145" s="170"/>
      <c r="C145" s="758"/>
      <c r="D145" s="763"/>
      <c r="E145" s="743"/>
      <c r="F145" s="743"/>
      <c r="G145" s="743"/>
      <c r="H145" s="743"/>
      <c r="I145" s="45">
        <f t="shared" si="68"/>
        <v>0</v>
      </c>
      <c r="J145" s="125" t="str">
        <f t="shared" si="66"/>
        <v/>
      </c>
      <c r="K145" s="745"/>
    </row>
    <row r="146" spans="1:12" ht="12.75" customHeight="1" x14ac:dyDescent="0.2">
      <c r="A146" s="583" t="s">
        <v>1357</v>
      </c>
      <c r="B146" s="170"/>
      <c r="C146" s="758"/>
      <c r="D146" s="763"/>
      <c r="E146" s="743"/>
      <c r="F146" s="743"/>
      <c r="G146" s="743"/>
      <c r="H146" s="743"/>
      <c r="I146" s="45">
        <f t="shared" si="68"/>
        <v>0</v>
      </c>
      <c r="J146" s="125" t="str">
        <f t="shared" si="66"/>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70">SUM(C149:C149)</f>
        <v>1895609.0353719697</v>
      </c>
      <c r="D148" s="586">
        <f t="shared" si="70"/>
        <v>2172000</v>
      </c>
      <c r="E148" s="587">
        <f t="shared" si="70"/>
        <v>0</v>
      </c>
      <c r="F148" s="587">
        <f t="shared" si="70"/>
        <v>181000</v>
      </c>
      <c r="G148" s="587">
        <f t="shared" si="70"/>
        <v>0</v>
      </c>
      <c r="H148" s="587">
        <f t="shared" si="70"/>
        <v>0</v>
      </c>
      <c r="I148" s="587">
        <f>H148-G148</f>
        <v>0</v>
      </c>
      <c r="J148" s="327" t="str">
        <f>IF(I148=0,"",I148/H148)</f>
        <v/>
      </c>
      <c r="K148" s="589">
        <f>SUM(K149)</f>
        <v>2172000</v>
      </c>
    </row>
    <row r="149" spans="1:12" ht="12.75" customHeight="1" x14ac:dyDescent="0.2">
      <c r="A149" s="521" t="s">
        <v>1358</v>
      </c>
      <c r="B149" s="170"/>
      <c r="C149" s="758">
        <v>1895609.0353719697</v>
      </c>
      <c r="D149" s="763">
        <v>2172000</v>
      </c>
      <c r="E149" s="743">
        <v>0</v>
      </c>
      <c r="F149" s="743">
        <f t="shared" ref="F149" si="71">D149/12</f>
        <v>181000</v>
      </c>
      <c r="G149" s="743">
        <f>H149</f>
        <v>0</v>
      </c>
      <c r="H149" s="743">
        <f>E149/12*5</f>
        <v>0</v>
      </c>
      <c r="I149" s="45">
        <f>H149-G149</f>
        <v>0</v>
      </c>
      <c r="J149" s="125" t="str">
        <f>IF(I149=0,"",I149/H149)</f>
        <v/>
      </c>
      <c r="K149" s="745">
        <f>D149</f>
        <v>2172000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72">SUM(C152:C152)</f>
        <v>5728879.2470829552</v>
      </c>
      <c r="D151" s="586">
        <f t="shared" si="72"/>
        <v>6565000</v>
      </c>
      <c r="E151" s="587">
        <f t="shared" si="72"/>
        <v>0</v>
      </c>
      <c r="F151" s="587">
        <f t="shared" si="72"/>
        <v>547083.33333333337</v>
      </c>
      <c r="G151" s="587">
        <f t="shared" si="72"/>
        <v>0</v>
      </c>
      <c r="H151" s="587">
        <f t="shared" si="72"/>
        <v>0</v>
      </c>
      <c r="I151" s="587">
        <f>H151-G151</f>
        <v>0</v>
      </c>
      <c r="J151" s="327" t="str">
        <f>IF(I151=0,"",I151/H151)</f>
        <v/>
      </c>
      <c r="K151" s="589">
        <f>SUM(K152)</f>
        <v>6565000</v>
      </c>
    </row>
    <row r="152" spans="1:12" ht="12.75" customHeight="1" x14ac:dyDescent="0.2">
      <c r="A152" s="521" t="s">
        <v>1359</v>
      </c>
      <c r="B152" s="170"/>
      <c r="C152" s="758">
        <v>5728879.2470829552</v>
      </c>
      <c r="D152" s="763">
        <v>6565000</v>
      </c>
      <c r="E152" s="743">
        <v>0</v>
      </c>
      <c r="F152" s="743">
        <f t="shared" ref="F152" si="73">D152/12</f>
        <v>547083.33333333337</v>
      </c>
      <c r="G152" s="743">
        <f>H152</f>
        <v>0</v>
      </c>
      <c r="H152" s="743">
        <f>E152/12*5</f>
        <v>0</v>
      </c>
      <c r="I152" s="45">
        <f>H152-G152</f>
        <v>0</v>
      </c>
      <c r="J152" s="125" t="str">
        <f>IF(I152=0,"",I152/H152)</f>
        <v/>
      </c>
      <c r="K152" s="745">
        <f>D152</f>
        <v>6565000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74">SUM(C155:C155)</f>
        <v>2883898.297753829</v>
      </c>
      <c r="D154" s="586">
        <f t="shared" si="74"/>
        <v>3305000</v>
      </c>
      <c r="E154" s="587">
        <f t="shared" si="74"/>
        <v>0</v>
      </c>
      <c r="F154" s="587">
        <f t="shared" si="74"/>
        <v>275416.66666666669</v>
      </c>
      <c r="G154" s="587">
        <f t="shared" si="74"/>
        <v>0</v>
      </c>
      <c r="H154" s="587">
        <f t="shared" si="74"/>
        <v>0</v>
      </c>
      <c r="I154" s="587">
        <f>H154-G154</f>
        <v>0</v>
      </c>
      <c r="J154" s="327" t="str">
        <f>IF(I154=0,"",I154/H154)</f>
        <v/>
      </c>
      <c r="K154" s="589">
        <f>SUM(K155)</f>
        <v>3305000</v>
      </c>
    </row>
    <row r="155" spans="1:12" ht="12.75" customHeight="1" x14ac:dyDescent="0.2">
      <c r="A155" s="521" t="s">
        <v>1360</v>
      </c>
      <c r="B155" s="170"/>
      <c r="C155" s="758">
        <v>2883898.297753829</v>
      </c>
      <c r="D155" s="763">
        <v>3305000</v>
      </c>
      <c r="E155" s="743">
        <v>0</v>
      </c>
      <c r="F155" s="743">
        <f t="shared" ref="F155" si="75">D155/12</f>
        <v>275416.66666666669</v>
      </c>
      <c r="G155" s="743">
        <f>H155</f>
        <v>0</v>
      </c>
      <c r="H155" s="743">
        <f>E155/12*5</f>
        <v>0</v>
      </c>
      <c r="I155" s="45">
        <f>H155-G155</f>
        <v>0</v>
      </c>
      <c r="J155" s="125" t="str">
        <f>IF(I155=0,"",I155/H155)</f>
        <v/>
      </c>
      <c r="K155" s="745">
        <f>D155</f>
        <v>3305000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6">SUM(C158:C158)</f>
        <v>19789208.987791453</v>
      </c>
      <c r="D157" s="586">
        <f t="shared" si="76"/>
        <v>22677000</v>
      </c>
      <c r="E157" s="587">
        <f t="shared" si="76"/>
        <v>0</v>
      </c>
      <c r="F157" s="587">
        <f t="shared" si="76"/>
        <v>1889750</v>
      </c>
      <c r="G157" s="587">
        <f t="shared" si="76"/>
        <v>0</v>
      </c>
      <c r="H157" s="587">
        <f t="shared" si="76"/>
        <v>0</v>
      </c>
      <c r="I157" s="587">
        <f>H157-G157</f>
        <v>0</v>
      </c>
      <c r="J157" s="327" t="str">
        <f>IF(I157=0,"",I157/H157)</f>
        <v/>
      </c>
      <c r="K157" s="589">
        <f>SUM(K158)</f>
        <v>22677000</v>
      </c>
    </row>
    <row r="158" spans="1:12" ht="12.75" customHeight="1" x14ac:dyDescent="0.2">
      <c r="A158" s="521" t="s">
        <v>1361</v>
      </c>
      <c r="B158" s="170"/>
      <c r="C158" s="758">
        <v>19789208.987791453</v>
      </c>
      <c r="D158" s="763">
        <v>22677000</v>
      </c>
      <c r="E158" s="743">
        <v>0</v>
      </c>
      <c r="F158" s="743">
        <f t="shared" ref="F158" si="77">D158/12</f>
        <v>1889750</v>
      </c>
      <c r="G158" s="743">
        <f>H158</f>
        <v>0</v>
      </c>
      <c r="H158" s="743">
        <f>E158/12*5</f>
        <v>0</v>
      </c>
      <c r="I158" s="45">
        <f>H158-G158</f>
        <v>0</v>
      </c>
      <c r="J158" s="125" t="str">
        <f>IF(I158=0,"",I158/H158)</f>
        <v/>
      </c>
      <c r="K158" s="745">
        <f>D158</f>
        <v>22677000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8">SUM(C161:C161)</f>
        <v>0</v>
      </c>
      <c r="D160" s="586">
        <f t="shared" si="78"/>
        <v>0</v>
      </c>
      <c r="E160" s="587">
        <f t="shared" si="78"/>
        <v>0</v>
      </c>
      <c r="F160" s="587">
        <f t="shared" si="78"/>
        <v>0</v>
      </c>
      <c r="G160" s="587">
        <f t="shared" si="78"/>
        <v>0</v>
      </c>
      <c r="H160" s="587">
        <f t="shared" si="78"/>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9">SUM(C164:C164)</f>
        <v>0</v>
      </c>
      <c r="D163" s="586">
        <f t="shared" si="79"/>
        <v>0</v>
      </c>
      <c r="E163" s="587">
        <f t="shared" si="79"/>
        <v>0</v>
      </c>
      <c r="F163" s="587">
        <f t="shared" si="79"/>
        <v>0</v>
      </c>
      <c r="G163" s="587">
        <f t="shared" si="79"/>
        <v>0</v>
      </c>
      <c r="H163" s="587">
        <f t="shared" si="79"/>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80">C7+C75+C103+C110+C117+C135+C138+C148+C151+C154+C157+C160+C163</f>
        <v>729667597.54999983</v>
      </c>
      <c r="D166" s="272">
        <f t="shared" si="80"/>
        <v>237000000</v>
      </c>
      <c r="E166" s="56">
        <f t="shared" si="80"/>
        <v>0</v>
      </c>
      <c r="F166" s="56">
        <f t="shared" si="80"/>
        <v>19750000</v>
      </c>
      <c r="G166" s="56">
        <f t="shared" si="80"/>
        <v>67427000</v>
      </c>
      <c r="H166" s="56">
        <f t="shared" si="80"/>
        <v>67427000</v>
      </c>
      <c r="I166" s="56">
        <f t="shared" si="1"/>
        <v>0</v>
      </c>
      <c r="J166" s="293" t="str">
        <f t="shared" si="2"/>
        <v/>
      </c>
      <c r="K166" s="236">
        <f>K7+K75+K103+K110+K117+K135+K138+K148+K151+K154+K157+K160+K163</f>
        <v>237000000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6" t="str">
        <f>muni&amp; " - "&amp;S71Se&amp; " - "&amp;Head57</f>
        <v>LIM354 Polokwane - Supporting Table SC13e Monthly Budget Statement - capital expenditure on upgrading of existing assets by asset class - M06 December</v>
      </c>
      <c r="B1" s="1046"/>
      <c r="C1" s="1046"/>
      <c r="D1" s="1046"/>
      <c r="E1" s="1046"/>
      <c r="F1" s="1046"/>
      <c r="G1" s="1046"/>
      <c r="H1" s="1046"/>
      <c r="I1" s="1046"/>
      <c r="J1" s="1046"/>
      <c r="K1" s="1046"/>
    </row>
    <row r="2" spans="1:11" x14ac:dyDescent="0.2">
      <c r="A2" s="1031" t="str">
        <f>desc</f>
        <v>Description</v>
      </c>
      <c r="B2" s="1024" t="str">
        <f>head27</f>
        <v>Ref</v>
      </c>
      <c r="C2" s="140" t="str">
        <f>Head1</f>
        <v>2018/19</v>
      </c>
      <c r="D2" s="246" t="str">
        <f>Head2</f>
        <v>Budget Year 2019/20</v>
      </c>
      <c r="E2" s="230"/>
      <c r="F2" s="230"/>
      <c r="G2" s="230"/>
      <c r="H2" s="230"/>
      <c r="I2" s="230"/>
      <c r="J2" s="230"/>
      <c r="K2" s="231"/>
    </row>
    <row r="3" spans="1:11" ht="20.399999999999999" x14ac:dyDescent="0.2">
      <c r="A3" s="1032"/>
      <c r="B3" s="103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433959384</v>
      </c>
      <c r="F7" s="103">
        <f t="shared" si="0"/>
        <v>37785793.386</v>
      </c>
      <c r="G7" s="103">
        <f t="shared" si="0"/>
        <v>69058715.694499806</v>
      </c>
      <c r="H7" s="103">
        <f t="shared" si="0"/>
        <v>180816410</v>
      </c>
      <c r="I7" s="102">
        <f t="shared" ref="I7:I133" si="1">H7-G7</f>
        <v>111757694.30550019</v>
      </c>
      <c r="J7" s="588">
        <f t="shared" ref="J7:J136" si="2">IF(I7=0,"",I7/H7)</f>
        <v>0.61807274187945771</v>
      </c>
      <c r="K7" s="612">
        <f>K8+K13+K17+K27+K38+K45+K53+K63+K69</f>
        <v>433959376</v>
      </c>
    </row>
    <row r="8" spans="1:11" ht="12.75" customHeight="1" x14ac:dyDescent="0.2">
      <c r="A8" s="521" t="s">
        <v>1253</v>
      </c>
      <c r="B8" s="170"/>
      <c r="C8" s="686">
        <f t="shared" ref="C8:H8" si="3">SUM(C9:C12)</f>
        <v>82091563.689385206</v>
      </c>
      <c r="D8" s="618">
        <f t="shared" si="3"/>
        <v>248236472</v>
      </c>
      <c r="E8" s="617">
        <f t="shared" si="3"/>
        <v>238236492</v>
      </c>
      <c r="F8" s="617">
        <f t="shared" si="3"/>
        <v>7104473.3695</v>
      </c>
      <c r="G8" s="617">
        <f t="shared" si="3"/>
        <v>34272378.487499803</v>
      </c>
      <c r="H8" s="617">
        <f t="shared" si="3"/>
        <v>99265205</v>
      </c>
      <c r="I8" s="259">
        <f t="shared" si="1"/>
        <v>64992826.512500197</v>
      </c>
      <c r="J8" s="584">
        <f t="shared" si="2"/>
        <v>0.65473925644439257</v>
      </c>
      <c r="K8" s="619">
        <f>SUM(K9:K12)</f>
        <v>238236492</v>
      </c>
    </row>
    <row r="9" spans="1:11" ht="12.75" customHeight="1" x14ac:dyDescent="0.2">
      <c r="A9" s="583" t="s">
        <v>175</v>
      </c>
      <c r="B9" s="170"/>
      <c r="C9" s="758">
        <v>82091563.689385206</v>
      </c>
      <c r="D9" s="755">
        <v>248236472</v>
      </c>
      <c r="E9" s="743">
        <v>238236492</v>
      </c>
      <c r="F9" s="743">
        <v>7104473.3695</v>
      </c>
      <c r="G9" s="743">
        <f>27167905.1179998+F9</f>
        <v>34272378.487499803</v>
      </c>
      <c r="H9" s="743">
        <f>E9/12*5</f>
        <v>99265205</v>
      </c>
      <c r="I9" s="259">
        <f t="shared" si="1"/>
        <v>64992826.512500197</v>
      </c>
      <c r="J9" s="584">
        <f t="shared" si="2"/>
        <v>0.65473925644439257</v>
      </c>
      <c r="K9" s="745">
        <f>E9</f>
        <v>238236492</v>
      </c>
    </row>
    <row r="10" spans="1:11" ht="12.75" customHeight="1" x14ac:dyDescent="0.2">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
      <c r="A15" s="583" t="s">
        <v>1259</v>
      </c>
      <c r="B15" s="170"/>
      <c r="C15" s="758">
        <v>0</v>
      </c>
      <c r="D15" s="755">
        <v>0</v>
      </c>
      <c r="E15" s="743">
        <v>0</v>
      </c>
      <c r="F15" s="743">
        <v>0</v>
      </c>
      <c r="G15" s="743">
        <v>0</v>
      </c>
      <c r="H15" s="743">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
      <c r="A17" s="521" t="s">
        <v>1261</v>
      </c>
      <c r="B17" s="170"/>
      <c r="C17" s="657">
        <f t="shared" ref="C17:H17" si="5">SUM(C18:C26)</f>
        <v>0</v>
      </c>
      <c r="D17" s="658">
        <f t="shared" si="5"/>
        <v>2000000.0000000002</v>
      </c>
      <c r="E17" s="411">
        <f t="shared" si="5"/>
        <v>2000000</v>
      </c>
      <c r="F17" s="411">
        <f t="shared" si="5"/>
        <v>0</v>
      </c>
      <c r="G17" s="411">
        <f t="shared" si="5"/>
        <v>0</v>
      </c>
      <c r="H17" s="411">
        <f t="shared" si="5"/>
        <v>833333.33333333326</v>
      </c>
      <c r="I17" s="259">
        <f t="shared" si="1"/>
        <v>833333.33333333326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0</v>
      </c>
      <c r="D21" s="755">
        <v>2000000.0000000002</v>
      </c>
      <c r="E21" s="743">
        <v>2000000</v>
      </c>
      <c r="F21" s="743"/>
      <c r="G21" s="743">
        <v>0</v>
      </c>
      <c r="H21" s="743">
        <f>E21/12*5</f>
        <v>833333.33333333326</v>
      </c>
      <c r="I21" s="259">
        <f t="shared" si="1"/>
        <v>833333.33333333326</v>
      </c>
      <c r="J21" s="584">
        <f t="shared" si="2"/>
        <v>1</v>
      </c>
      <c r="K21" s="745">
        <f>D21</f>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
      <c r="A27" s="520" t="s">
        <v>1270</v>
      </c>
      <c r="B27" s="170"/>
      <c r="C27" s="657">
        <f t="shared" ref="C27:H27" si="7">SUM(C28:C37)</f>
        <v>57835116.541999996</v>
      </c>
      <c r="D27" s="658">
        <f t="shared" si="7"/>
        <v>81222873</v>
      </c>
      <c r="E27" s="411">
        <f t="shared" si="7"/>
        <v>75722884</v>
      </c>
      <c r="F27" s="411">
        <f t="shared" si="7"/>
        <v>0</v>
      </c>
      <c r="G27" s="411">
        <f t="shared" si="7"/>
        <v>0</v>
      </c>
      <c r="H27" s="411">
        <f t="shared" si="7"/>
        <v>31551201.666666664</v>
      </c>
      <c r="I27" s="259">
        <f t="shared" si="1"/>
        <v>31551201.666666664</v>
      </c>
      <c r="J27" s="584">
        <f t="shared" si="2"/>
        <v>1</v>
      </c>
      <c r="K27" s="651">
        <f>SUM(K28:K37)</f>
        <v>75722884</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
      <c r="A35" s="583" t="s">
        <v>1278</v>
      </c>
      <c r="B35" s="170"/>
      <c r="C35" s="758">
        <v>57835116.541999996</v>
      </c>
      <c r="D35" s="755">
        <v>81222873</v>
      </c>
      <c r="E35" s="743">
        <v>75722884</v>
      </c>
      <c r="F35" s="743">
        <v>0</v>
      </c>
      <c r="G35" s="743">
        <v>0</v>
      </c>
      <c r="H35" s="743">
        <f>E35/12*5</f>
        <v>31551201.666666664</v>
      </c>
      <c r="I35" s="259">
        <f t="shared" si="1"/>
        <v>31551201.666666664</v>
      </c>
      <c r="J35" s="584">
        <f t="shared" si="2"/>
        <v>1</v>
      </c>
      <c r="K35" s="745">
        <f>E35</f>
        <v>75722884</v>
      </c>
    </row>
    <row r="36" spans="1:11" ht="12.75" customHeight="1" x14ac:dyDescent="0.2">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
      <c r="A38" s="520" t="s">
        <v>1280</v>
      </c>
      <c r="B38" s="170"/>
      <c r="C38" s="657">
        <f t="shared" ref="C38:H38" si="9">SUM(C39:C44)</f>
        <v>0</v>
      </c>
      <c r="D38" s="658">
        <f t="shared" si="9"/>
        <v>100000000</v>
      </c>
      <c r="E38" s="411">
        <f t="shared" si="9"/>
        <v>100000008</v>
      </c>
      <c r="F38" s="411">
        <f t="shared" si="9"/>
        <v>20282321.563999999</v>
      </c>
      <c r="G38" s="411">
        <f t="shared" si="9"/>
        <v>24387338.754499998</v>
      </c>
      <c r="H38" s="411">
        <f t="shared" si="9"/>
        <v>41666670</v>
      </c>
      <c r="I38" s="259">
        <f t="shared" si="1"/>
        <v>17279331.245500002</v>
      </c>
      <c r="J38" s="584">
        <f t="shared" si="2"/>
        <v>0.41470391671568674</v>
      </c>
      <c r="K38" s="651">
        <f>SUM(K39:K44)</f>
        <v>100000000</v>
      </c>
    </row>
    <row r="39" spans="1:11" ht="12.75" customHeight="1" x14ac:dyDescent="0.2">
      <c r="A39" s="583" t="s">
        <v>1281</v>
      </c>
      <c r="B39" s="170"/>
      <c r="C39" s="758">
        <v>0</v>
      </c>
      <c r="D39" s="755">
        <v>0</v>
      </c>
      <c r="E39" s="743">
        <v>0</v>
      </c>
      <c r="F39" s="743">
        <v>0</v>
      </c>
      <c r="G39" s="743">
        <v>0</v>
      </c>
      <c r="H39" s="743">
        <f t="shared" ref="H39:H44" si="10">D39/12*5</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
      <c r="A41" s="583" t="s">
        <v>1282</v>
      </c>
      <c r="B41" s="170"/>
      <c r="C41" s="758">
        <v>0</v>
      </c>
      <c r="D41" s="755">
        <v>100000000</v>
      </c>
      <c r="E41" s="743">
        <v>100000008</v>
      </c>
      <c r="F41" s="743">
        <v>20282321.563999999</v>
      </c>
      <c r="G41" s="743">
        <f>4105017.1905+F41</f>
        <v>24387338.754499998</v>
      </c>
      <c r="H41" s="743">
        <f>E41/12*5</f>
        <v>41666670</v>
      </c>
      <c r="I41" s="259">
        <f t="shared" si="1"/>
        <v>17279331.245500002</v>
      </c>
      <c r="J41" s="584">
        <f t="shared" si="2"/>
        <v>0.41470391671568674</v>
      </c>
      <c r="K41" s="745">
        <f>D41</f>
        <v>100000000</v>
      </c>
    </row>
    <row r="42" spans="1:11" ht="12.75" customHeight="1" x14ac:dyDescent="0.2">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
      <c r="A45" s="520" t="s">
        <v>1285</v>
      </c>
      <c r="B45" s="170"/>
      <c r="C45" s="657">
        <f t="shared" ref="C45:H45" si="11">SUM(C46:C52)</f>
        <v>0</v>
      </c>
      <c r="D45" s="658">
        <f t="shared" si="11"/>
        <v>6000000</v>
      </c>
      <c r="E45" s="411">
        <f t="shared" si="11"/>
        <v>6000000</v>
      </c>
      <c r="F45" s="411">
        <f t="shared" si="11"/>
        <v>170733.23199999999</v>
      </c>
      <c r="G45" s="411">
        <f t="shared" si="11"/>
        <v>170733.23199999999</v>
      </c>
      <c r="H45" s="411">
        <f t="shared" si="11"/>
        <v>2500000</v>
      </c>
      <c r="I45" s="259">
        <f t="shared" si="1"/>
        <v>2329266.7680000002</v>
      </c>
      <c r="J45" s="584">
        <f t="shared" si="2"/>
        <v>0.93170670720000004</v>
      </c>
      <c r="K45" s="651">
        <f>SUM(K46:K52)</f>
        <v>6000000</v>
      </c>
    </row>
    <row r="46" spans="1:11" ht="12.75" customHeight="1" x14ac:dyDescent="0.2">
      <c r="A46" s="583" t="s">
        <v>1286</v>
      </c>
      <c r="B46" s="170"/>
      <c r="C46" s="758">
        <v>0</v>
      </c>
      <c r="D46" s="755">
        <v>0</v>
      </c>
      <c r="E46" s="743">
        <v>0</v>
      </c>
      <c r="F46" s="743">
        <v>0</v>
      </c>
      <c r="G46" s="743">
        <v>0</v>
      </c>
      <c r="H46" s="743">
        <f t="shared" ref="H46:H51" si="12">D46/12*5</f>
        <v>0</v>
      </c>
      <c r="I46" s="259">
        <f t="shared" si="1"/>
        <v>0</v>
      </c>
      <c r="J46" s="584" t="str">
        <f t="shared" si="2"/>
        <v/>
      </c>
      <c r="K46" s="745">
        <v>0</v>
      </c>
    </row>
    <row r="47" spans="1:11" ht="12.75" customHeight="1" x14ac:dyDescent="0.2">
      <c r="A47" s="583" t="s">
        <v>1287</v>
      </c>
      <c r="B47" s="170"/>
      <c r="C47" s="758">
        <v>0</v>
      </c>
      <c r="D47" s="755">
        <v>6000000</v>
      </c>
      <c r="E47" s="743">
        <v>6000000</v>
      </c>
      <c r="F47" s="743">
        <v>170733.23199999999</v>
      </c>
      <c r="G47" s="743">
        <v>170733.23199999999</v>
      </c>
      <c r="H47" s="743">
        <f>E47/12*5</f>
        <v>2500000</v>
      </c>
      <c r="I47" s="259">
        <f t="shared" si="1"/>
        <v>2329266.7680000002</v>
      </c>
      <c r="J47" s="584">
        <f t="shared" si="2"/>
        <v>0.93170670720000004</v>
      </c>
      <c r="K47" s="745">
        <v>6000000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ref="H52" si="13">D52/12*7</f>
        <v>0</v>
      </c>
      <c r="I52" s="259">
        <f t="shared" si="1"/>
        <v>0</v>
      </c>
      <c r="J52" s="584" t="str">
        <f t="shared" si="2"/>
        <v/>
      </c>
      <c r="K52" s="745">
        <v>0</v>
      </c>
    </row>
    <row r="53" spans="1:11" ht="12.75" customHeight="1" x14ac:dyDescent="0.2">
      <c r="A53" s="521" t="s">
        <v>1292</v>
      </c>
      <c r="B53" s="170"/>
      <c r="C53" s="657">
        <f t="shared" ref="C53:H53" si="14">SUM(C54:C62)</f>
        <v>0</v>
      </c>
      <c r="D53" s="658">
        <f t="shared" si="14"/>
        <v>0</v>
      </c>
      <c r="E53" s="411">
        <f t="shared" si="14"/>
        <v>0</v>
      </c>
      <c r="F53" s="411">
        <f t="shared" si="14"/>
        <v>0</v>
      </c>
      <c r="G53" s="411">
        <f t="shared" si="14"/>
        <v>0</v>
      </c>
      <c r="H53" s="411">
        <f t="shared" si="14"/>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5">SUM(C64:C68)</f>
        <v>0</v>
      </c>
      <c r="D63" s="658">
        <f t="shared" si="15"/>
        <v>0</v>
      </c>
      <c r="E63" s="411">
        <f t="shared" si="15"/>
        <v>0</v>
      </c>
      <c r="F63" s="411">
        <f t="shared" si="15"/>
        <v>0</v>
      </c>
      <c r="G63" s="411">
        <f t="shared" si="15"/>
        <v>0</v>
      </c>
      <c r="H63" s="411">
        <f t="shared" si="15"/>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6">SUM(C70:C73)</f>
        <v>0</v>
      </c>
      <c r="D69" s="658">
        <f t="shared" si="16"/>
        <v>12000000</v>
      </c>
      <c r="E69" s="411">
        <f t="shared" si="16"/>
        <v>12000000</v>
      </c>
      <c r="F69" s="411">
        <f t="shared" si="16"/>
        <v>10228265.2205</v>
      </c>
      <c r="G69" s="411">
        <f t="shared" si="16"/>
        <v>10228265.2205</v>
      </c>
      <c r="H69" s="411">
        <f t="shared" si="16"/>
        <v>5000000</v>
      </c>
      <c r="I69" s="259">
        <f t="shared" si="1"/>
        <v>-5228265.2204999998</v>
      </c>
      <c r="J69" s="584">
        <f t="shared" si="2"/>
        <v>-1.0456530441</v>
      </c>
      <c r="K69" s="651">
        <f>SUM(K70:K73)</f>
        <v>12000000</v>
      </c>
    </row>
    <row r="70" spans="1:11" ht="12.75" customHeight="1" x14ac:dyDescent="0.2">
      <c r="A70" s="583" t="s">
        <v>1302</v>
      </c>
      <c r="B70" s="170"/>
      <c r="C70" s="758">
        <v>0</v>
      </c>
      <c r="D70" s="755">
        <v>0</v>
      </c>
      <c r="E70" s="743">
        <v>0</v>
      </c>
      <c r="F70" s="743">
        <v>0</v>
      </c>
      <c r="G70" s="743">
        <v>0</v>
      </c>
      <c r="H70" s="743">
        <f>D70/12*5</f>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12000000</v>
      </c>
      <c r="E73" s="743">
        <v>12000000</v>
      </c>
      <c r="F73" s="743">
        <v>10228265.2205</v>
      </c>
      <c r="G73" s="743">
        <v>10228265.2205</v>
      </c>
      <c r="H73" s="743">
        <f>E73/12*5</f>
        <v>5000000</v>
      </c>
      <c r="I73" s="259">
        <f t="shared" si="1"/>
        <v>-5228265.2204999998</v>
      </c>
      <c r="J73" s="584">
        <f t="shared" si="2"/>
        <v>-1.0456530441</v>
      </c>
      <c r="K73" s="745">
        <f>D73</f>
        <v>12000000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7">+C76+C99</f>
        <v>15933992.773749989</v>
      </c>
      <c r="D75" s="586">
        <f t="shared" si="17"/>
        <v>9015000</v>
      </c>
      <c r="E75" s="587">
        <f t="shared" si="17"/>
        <v>8345000</v>
      </c>
      <c r="F75" s="587">
        <f t="shared" si="17"/>
        <v>985837.5</v>
      </c>
      <c r="G75" s="587">
        <f t="shared" si="17"/>
        <v>985837.5</v>
      </c>
      <c r="H75" s="587">
        <f t="shared" si="17"/>
        <v>3477083.3333333335</v>
      </c>
      <c r="I75" s="587">
        <f t="shared" si="1"/>
        <v>2491245.8333333335</v>
      </c>
      <c r="J75" s="588">
        <f t="shared" si="2"/>
        <v>0.71647573397243858</v>
      </c>
      <c r="K75" s="589">
        <f>+K76+K99</f>
        <v>8345000</v>
      </c>
    </row>
    <row r="76" spans="1:11" ht="12.75" customHeight="1" x14ac:dyDescent="0.2">
      <c r="A76" s="521" t="s">
        <v>1305</v>
      </c>
      <c r="B76" s="170"/>
      <c r="C76" s="657">
        <f t="shared" ref="C76:H76" si="18">SUM(C77:C98)</f>
        <v>8312151.3831499899</v>
      </c>
      <c r="D76" s="658">
        <f t="shared" si="18"/>
        <v>1170000</v>
      </c>
      <c r="E76" s="411">
        <f t="shared" si="18"/>
        <v>500000</v>
      </c>
      <c r="F76" s="411">
        <f t="shared" si="18"/>
        <v>0</v>
      </c>
      <c r="G76" s="411">
        <f t="shared" si="18"/>
        <v>0</v>
      </c>
      <c r="H76" s="411">
        <f t="shared" si="18"/>
        <v>208333.33333333331</v>
      </c>
      <c r="I76" s="259">
        <f t="shared" si="1"/>
        <v>208333.33333333331</v>
      </c>
      <c r="J76" s="584">
        <f t="shared" si="2"/>
        <v>1</v>
      </c>
      <c r="K76" s="651">
        <f>SUM(K77:K98)</f>
        <v>500000</v>
      </c>
    </row>
    <row r="77" spans="1:11" ht="12.75" customHeight="1" x14ac:dyDescent="0.2">
      <c r="A77" s="583" t="s">
        <v>1306</v>
      </c>
      <c r="B77" s="170"/>
      <c r="C77" s="758">
        <v>3160983.6582499901</v>
      </c>
      <c r="D77" s="763">
        <v>670000</v>
      </c>
      <c r="E77" s="743">
        <v>0</v>
      </c>
      <c r="F77" s="743">
        <v>0</v>
      </c>
      <c r="G77" s="743">
        <v>0</v>
      </c>
      <c r="H77" s="743">
        <f>E77/12*5</f>
        <v>0</v>
      </c>
      <c r="I77" s="45">
        <f t="shared" si="1"/>
        <v>0</v>
      </c>
      <c r="J77" s="125" t="str">
        <f t="shared" si="2"/>
        <v/>
      </c>
      <c r="K77" s="745">
        <v>0</v>
      </c>
    </row>
    <row r="78" spans="1:11" ht="12.75" customHeight="1" x14ac:dyDescent="0.2">
      <c r="A78" s="583" t="s">
        <v>1307</v>
      </c>
      <c r="B78" s="170"/>
      <c r="C78" s="758">
        <v>0</v>
      </c>
      <c r="D78" s="763">
        <v>0</v>
      </c>
      <c r="E78" s="743">
        <v>0</v>
      </c>
      <c r="F78" s="743">
        <v>0</v>
      </c>
      <c r="G78" s="743">
        <v>0</v>
      </c>
      <c r="H78" s="743">
        <f t="shared" ref="H78:H98" si="19">D78/12*5</f>
        <v>0</v>
      </c>
      <c r="I78" s="45">
        <f t="shared" si="1"/>
        <v>0</v>
      </c>
      <c r="J78" s="125" t="str">
        <f t="shared" si="2"/>
        <v/>
      </c>
      <c r="K78" s="745">
        <f t="shared" ref="K78:K98" si="20">D78</f>
        <v>0</v>
      </c>
    </row>
    <row r="79" spans="1:11" ht="12.75" customHeight="1" x14ac:dyDescent="0.2">
      <c r="A79" s="583" t="s">
        <v>1308</v>
      </c>
      <c r="B79" s="170"/>
      <c r="C79" s="758">
        <v>0</v>
      </c>
      <c r="D79" s="763">
        <v>0</v>
      </c>
      <c r="E79" s="743">
        <v>0</v>
      </c>
      <c r="F79" s="743">
        <v>0</v>
      </c>
      <c r="G79" s="743">
        <v>0</v>
      </c>
      <c r="H79" s="743">
        <f t="shared" si="19"/>
        <v>0</v>
      </c>
      <c r="I79" s="45">
        <f t="shared" si="1"/>
        <v>0</v>
      </c>
      <c r="J79" s="125" t="str">
        <f t="shared" si="2"/>
        <v/>
      </c>
      <c r="K79" s="745">
        <f t="shared" si="20"/>
        <v>0</v>
      </c>
    </row>
    <row r="80" spans="1:11" ht="12.75" customHeight="1" x14ac:dyDescent="0.2">
      <c r="A80" s="583" t="s">
        <v>1309</v>
      </c>
      <c r="B80" s="170"/>
      <c r="C80" s="758">
        <v>0</v>
      </c>
      <c r="D80" s="763">
        <v>0</v>
      </c>
      <c r="E80" s="743">
        <v>0</v>
      </c>
      <c r="F80" s="743">
        <v>0</v>
      </c>
      <c r="G80" s="743">
        <v>0</v>
      </c>
      <c r="H80" s="743">
        <f t="shared" si="19"/>
        <v>0</v>
      </c>
      <c r="I80" s="45">
        <f t="shared" si="1"/>
        <v>0</v>
      </c>
      <c r="J80" s="125" t="str">
        <f t="shared" si="2"/>
        <v/>
      </c>
      <c r="K80" s="745">
        <f t="shared" si="20"/>
        <v>0</v>
      </c>
    </row>
    <row r="81" spans="1:11" ht="12.75" customHeight="1" x14ac:dyDescent="0.2">
      <c r="A81" s="583" t="s">
        <v>1310</v>
      </c>
      <c r="B81" s="170"/>
      <c r="C81" s="758">
        <v>0</v>
      </c>
      <c r="D81" s="763">
        <v>0</v>
      </c>
      <c r="E81" s="743">
        <v>0</v>
      </c>
      <c r="F81" s="743">
        <v>0</v>
      </c>
      <c r="G81" s="743">
        <v>0</v>
      </c>
      <c r="H81" s="743">
        <f t="shared" si="19"/>
        <v>0</v>
      </c>
      <c r="I81" s="45">
        <f t="shared" si="1"/>
        <v>0</v>
      </c>
      <c r="J81" s="125" t="str">
        <f t="shared" si="2"/>
        <v/>
      </c>
      <c r="K81" s="745">
        <f t="shared" si="20"/>
        <v>0</v>
      </c>
    </row>
    <row r="82" spans="1:11" ht="12.75" customHeight="1" x14ac:dyDescent="0.2">
      <c r="A82" s="583" t="s">
        <v>1311</v>
      </c>
      <c r="B82" s="170"/>
      <c r="C82" s="758">
        <v>0</v>
      </c>
      <c r="D82" s="763">
        <v>0</v>
      </c>
      <c r="E82" s="743">
        <v>0</v>
      </c>
      <c r="F82" s="743">
        <v>0</v>
      </c>
      <c r="G82" s="743">
        <v>0</v>
      </c>
      <c r="H82" s="743">
        <f t="shared" si="19"/>
        <v>0</v>
      </c>
      <c r="I82" s="45">
        <f t="shared" si="1"/>
        <v>0</v>
      </c>
      <c r="J82" s="125" t="str">
        <f t="shared" si="2"/>
        <v/>
      </c>
      <c r="K82" s="745">
        <f t="shared" si="20"/>
        <v>0</v>
      </c>
    </row>
    <row r="83" spans="1:11" ht="12.75" customHeight="1" x14ac:dyDescent="0.2">
      <c r="A83" s="583" t="s">
        <v>1312</v>
      </c>
      <c r="B83" s="170"/>
      <c r="C83" s="758">
        <v>0</v>
      </c>
      <c r="D83" s="763">
        <v>0</v>
      </c>
      <c r="E83" s="743">
        <v>0</v>
      </c>
      <c r="F83" s="743">
        <v>0</v>
      </c>
      <c r="G83" s="743">
        <v>0</v>
      </c>
      <c r="H83" s="743">
        <f t="shared" si="19"/>
        <v>0</v>
      </c>
      <c r="I83" s="45">
        <f t="shared" si="1"/>
        <v>0</v>
      </c>
      <c r="J83" s="125" t="str">
        <f t="shared" si="2"/>
        <v/>
      </c>
      <c r="K83" s="745">
        <f t="shared" si="20"/>
        <v>0</v>
      </c>
    </row>
    <row r="84" spans="1:11" ht="12.75" customHeight="1" x14ac:dyDescent="0.2">
      <c r="A84" s="583" t="s">
        <v>1313</v>
      </c>
      <c r="B84" s="170"/>
      <c r="C84" s="758">
        <v>0</v>
      </c>
      <c r="D84" s="763">
        <v>0</v>
      </c>
      <c r="E84" s="743">
        <v>0</v>
      </c>
      <c r="F84" s="743">
        <v>0</v>
      </c>
      <c r="G84" s="743">
        <v>0</v>
      </c>
      <c r="H84" s="743">
        <f t="shared" si="19"/>
        <v>0</v>
      </c>
      <c r="I84" s="45">
        <f t="shared" si="1"/>
        <v>0</v>
      </c>
      <c r="J84" s="125" t="str">
        <f t="shared" si="2"/>
        <v/>
      </c>
      <c r="K84" s="745">
        <f t="shared" si="20"/>
        <v>0</v>
      </c>
    </row>
    <row r="85" spans="1:11" ht="12.75" customHeight="1" x14ac:dyDescent="0.2">
      <c r="A85" s="583" t="s">
        <v>1189</v>
      </c>
      <c r="B85" s="170"/>
      <c r="C85" s="758">
        <v>0</v>
      </c>
      <c r="D85" s="763">
        <v>0</v>
      </c>
      <c r="E85" s="743">
        <v>0</v>
      </c>
      <c r="F85" s="743">
        <v>0</v>
      </c>
      <c r="G85" s="743">
        <v>0</v>
      </c>
      <c r="H85" s="743">
        <f t="shared" si="19"/>
        <v>0</v>
      </c>
      <c r="I85" s="45">
        <f t="shared" si="1"/>
        <v>0</v>
      </c>
      <c r="J85" s="125" t="str">
        <f t="shared" si="2"/>
        <v/>
      </c>
      <c r="K85" s="745">
        <f t="shared" si="20"/>
        <v>0</v>
      </c>
    </row>
    <row r="86" spans="1:11" ht="12.75" customHeight="1" x14ac:dyDescent="0.2">
      <c r="A86" s="583" t="s">
        <v>572</v>
      </c>
      <c r="B86" s="170"/>
      <c r="C86" s="758">
        <v>0</v>
      </c>
      <c r="D86" s="763">
        <v>0</v>
      </c>
      <c r="E86" s="743">
        <v>0</v>
      </c>
      <c r="F86" s="743">
        <v>0</v>
      </c>
      <c r="G86" s="743">
        <v>0</v>
      </c>
      <c r="H86" s="743">
        <f t="shared" si="19"/>
        <v>0</v>
      </c>
      <c r="I86" s="45">
        <f t="shared" si="1"/>
        <v>0</v>
      </c>
      <c r="J86" s="125" t="str">
        <f t="shared" si="2"/>
        <v/>
      </c>
      <c r="K86" s="745">
        <f t="shared" si="20"/>
        <v>0</v>
      </c>
    </row>
    <row r="87" spans="1:11" ht="12.75" customHeight="1" x14ac:dyDescent="0.2">
      <c r="A87" s="583" t="s">
        <v>1314</v>
      </c>
      <c r="B87" s="170"/>
      <c r="C87" s="758">
        <v>0</v>
      </c>
      <c r="D87" s="763">
        <v>0</v>
      </c>
      <c r="E87" s="743">
        <v>0</v>
      </c>
      <c r="F87" s="743">
        <v>0</v>
      </c>
      <c r="G87" s="743">
        <v>0</v>
      </c>
      <c r="H87" s="743">
        <f t="shared" si="19"/>
        <v>0</v>
      </c>
      <c r="I87" s="45">
        <f t="shared" si="1"/>
        <v>0</v>
      </c>
      <c r="J87" s="125" t="str">
        <f t="shared" si="2"/>
        <v/>
      </c>
      <c r="K87" s="745">
        <f t="shared" si="20"/>
        <v>0</v>
      </c>
    </row>
    <row r="88" spans="1:11" ht="12.75" customHeight="1" x14ac:dyDescent="0.2">
      <c r="A88" s="583" t="s">
        <v>173</v>
      </c>
      <c r="B88" s="170"/>
      <c r="C88" s="758">
        <v>0</v>
      </c>
      <c r="D88" s="763">
        <v>0</v>
      </c>
      <c r="E88" s="743">
        <v>0</v>
      </c>
      <c r="F88" s="743">
        <v>0</v>
      </c>
      <c r="G88" s="743">
        <v>0</v>
      </c>
      <c r="H88" s="743">
        <f t="shared" si="19"/>
        <v>0</v>
      </c>
      <c r="I88" s="45">
        <f t="shared" si="1"/>
        <v>0</v>
      </c>
      <c r="J88" s="125" t="str">
        <f t="shared" si="2"/>
        <v/>
      </c>
      <c r="K88" s="745">
        <f t="shared" si="20"/>
        <v>0</v>
      </c>
    </row>
    <row r="89" spans="1:11" ht="12.75" customHeight="1" x14ac:dyDescent="0.2">
      <c r="A89" s="583" t="s">
        <v>1315</v>
      </c>
      <c r="B89" s="170"/>
      <c r="C89" s="758">
        <v>0</v>
      </c>
      <c r="D89" s="763">
        <v>500000</v>
      </c>
      <c r="E89" s="743">
        <v>500000</v>
      </c>
      <c r="F89" s="743">
        <v>0</v>
      </c>
      <c r="G89" s="743">
        <v>0</v>
      </c>
      <c r="H89" s="743">
        <f>E89/12*5</f>
        <v>208333.33333333331</v>
      </c>
      <c r="I89" s="45">
        <f t="shared" si="1"/>
        <v>208333.33333333331</v>
      </c>
      <c r="J89" s="125">
        <f t="shared" si="2"/>
        <v>1</v>
      </c>
      <c r="K89" s="745">
        <f t="shared" si="20"/>
        <v>500000</v>
      </c>
    </row>
    <row r="90" spans="1:11" ht="12.75" customHeight="1" x14ac:dyDescent="0.2">
      <c r="A90" s="583" t="s">
        <v>1316</v>
      </c>
      <c r="B90" s="170"/>
      <c r="C90" s="758">
        <v>4520718.4012000002</v>
      </c>
      <c r="D90" s="763"/>
      <c r="E90" s="743">
        <v>0</v>
      </c>
      <c r="F90" s="743">
        <v>0</v>
      </c>
      <c r="G90" s="743">
        <v>0</v>
      </c>
      <c r="H90" s="743">
        <f t="shared" si="19"/>
        <v>0</v>
      </c>
      <c r="I90" s="45">
        <f t="shared" si="1"/>
        <v>0</v>
      </c>
      <c r="J90" s="125" t="str">
        <f t="shared" si="2"/>
        <v/>
      </c>
      <c r="K90" s="745">
        <f t="shared" si="20"/>
        <v>0</v>
      </c>
    </row>
    <row r="91" spans="1:11" ht="12.75" customHeight="1" x14ac:dyDescent="0.2">
      <c r="A91" s="583" t="s">
        <v>1317</v>
      </c>
      <c r="B91" s="170"/>
      <c r="C91" s="758">
        <v>630449.32369999995</v>
      </c>
      <c r="D91" s="763"/>
      <c r="E91" s="743">
        <v>0</v>
      </c>
      <c r="F91" s="743">
        <v>0</v>
      </c>
      <c r="G91" s="743">
        <v>0</v>
      </c>
      <c r="H91" s="743">
        <f t="shared" si="19"/>
        <v>0</v>
      </c>
      <c r="I91" s="45">
        <f t="shared" si="1"/>
        <v>0</v>
      </c>
      <c r="J91" s="125" t="str">
        <f t="shared" si="2"/>
        <v/>
      </c>
      <c r="K91" s="745">
        <f t="shared" si="20"/>
        <v>0</v>
      </c>
    </row>
    <row r="92" spans="1:11" ht="12.75" customHeight="1" x14ac:dyDescent="0.2">
      <c r="A92" s="583" t="s">
        <v>1318</v>
      </c>
      <c r="B92" s="170"/>
      <c r="C92" s="758">
        <v>0</v>
      </c>
      <c r="D92" s="763"/>
      <c r="E92" s="743">
        <v>0</v>
      </c>
      <c r="F92" s="743">
        <v>0</v>
      </c>
      <c r="G92" s="743">
        <v>0</v>
      </c>
      <c r="H92" s="743">
        <f t="shared" si="19"/>
        <v>0</v>
      </c>
      <c r="I92" s="45">
        <f t="shared" si="1"/>
        <v>0</v>
      </c>
      <c r="J92" s="125" t="str">
        <f t="shared" si="2"/>
        <v/>
      </c>
      <c r="K92" s="745">
        <f t="shared" si="20"/>
        <v>0</v>
      </c>
    </row>
    <row r="93" spans="1:11" ht="12.75" customHeight="1" x14ac:dyDescent="0.2">
      <c r="A93" s="583" t="s">
        <v>451</v>
      </c>
      <c r="B93" s="170"/>
      <c r="C93" s="758">
        <v>0</v>
      </c>
      <c r="D93" s="763"/>
      <c r="E93" s="743">
        <v>0</v>
      </c>
      <c r="F93" s="743">
        <v>0</v>
      </c>
      <c r="G93" s="743">
        <v>0</v>
      </c>
      <c r="H93" s="743">
        <f t="shared" si="19"/>
        <v>0</v>
      </c>
      <c r="I93" s="45">
        <f t="shared" si="1"/>
        <v>0</v>
      </c>
      <c r="J93" s="125" t="str">
        <f t="shared" si="2"/>
        <v/>
      </c>
      <c r="K93" s="745">
        <f t="shared" si="20"/>
        <v>0</v>
      </c>
    </row>
    <row r="94" spans="1:11" ht="12.75" customHeight="1" x14ac:dyDescent="0.2">
      <c r="A94" s="583" t="s">
        <v>1319</v>
      </c>
      <c r="B94" s="170"/>
      <c r="C94" s="758">
        <v>0</v>
      </c>
      <c r="D94" s="763"/>
      <c r="E94" s="743">
        <v>0</v>
      </c>
      <c r="F94" s="743">
        <v>0</v>
      </c>
      <c r="G94" s="743">
        <v>0</v>
      </c>
      <c r="H94" s="743">
        <f t="shared" si="19"/>
        <v>0</v>
      </c>
      <c r="I94" s="45">
        <f t="shared" si="1"/>
        <v>0</v>
      </c>
      <c r="J94" s="125" t="str">
        <f t="shared" si="2"/>
        <v/>
      </c>
      <c r="K94" s="745">
        <f t="shared" si="20"/>
        <v>0</v>
      </c>
    </row>
    <row r="95" spans="1:11" ht="12.75" customHeight="1" x14ac:dyDescent="0.2">
      <c r="A95" s="583" t="s">
        <v>450</v>
      </c>
      <c r="B95" s="170"/>
      <c r="C95" s="758">
        <v>0</v>
      </c>
      <c r="D95" s="763"/>
      <c r="E95" s="743">
        <v>0</v>
      </c>
      <c r="F95" s="743">
        <v>0</v>
      </c>
      <c r="G95" s="743">
        <v>0</v>
      </c>
      <c r="H95" s="743">
        <f t="shared" si="19"/>
        <v>0</v>
      </c>
      <c r="I95" s="45">
        <f t="shared" si="1"/>
        <v>0</v>
      </c>
      <c r="J95" s="125" t="str">
        <f t="shared" si="2"/>
        <v/>
      </c>
      <c r="K95" s="745">
        <f t="shared" si="20"/>
        <v>0</v>
      </c>
    </row>
    <row r="96" spans="1:11" ht="12.75" customHeight="1" x14ac:dyDescent="0.2">
      <c r="A96" s="583" t="s">
        <v>1320</v>
      </c>
      <c r="B96" s="170"/>
      <c r="C96" s="758">
        <v>0</v>
      </c>
      <c r="D96" s="763"/>
      <c r="E96" s="743">
        <v>0</v>
      </c>
      <c r="F96" s="743">
        <v>0</v>
      </c>
      <c r="G96" s="743">
        <v>0</v>
      </c>
      <c r="H96" s="743">
        <f t="shared" si="19"/>
        <v>0</v>
      </c>
      <c r="I96" s="45">
        <f t="shared" si="1"/>
        <v>0</v>
      </c>
      <c r="J96" s="125" t="str">
        <f t="shared" si="2"/>
        <v/>
      </c>
      <c r="K96" s="745">
        <f t="shared" si="20"/>
        <v>0</v>
      </c>
    </row>
    <row r="97" spans="1:11" ht="12.75" customHeight="1" x14ac:dyDescent="0.2">
      <c r="A97" s="583" t="s">
        <v>1321</v>
      </c>
      <c r="B97" s="170"/>
      <c r="C97" s="758">
        <v>0</v>
      </c>
      <c r="D97" s="763"/>
      <c r="E97" s="743">
        <v>0</v>
      </c>
      <c r="F97" s="743">
        <v>0</v>
      </c>
      <c r="G97" s="743">
        <v>0</v>
      </c>
      <c r="H97" s="743">
        <f t="shared" si="19"/>
        <v>0</v>
      </c>
      <c r="I97" s="45">
        <f t="shared" si="1"/>
        <v>0</v>
      </c>
      <c r="J97" s="125" t="str">
        <f t="shared" si="2"/>
        <v/>
      </c>
      <c r="K97" s="745">
        <f t="shared" si="20"/>
        <v>0</v>
      </c>
    </row>
    <row r="98" spans="1:11" ht="12.75" customHeight="1" x14ac:dyDescent="0.2">
      <c r="A98" s="583" t="s">
        <v>1256</v>
      </c>
      <c r="B98" s="170"/>
      <c r="C98" s="758">
        <v>0</v>
      </c>
      <c r="D98" s="763"/>
      <c r="E98" s="743">
        <v>0</v>
      </c>
      <c r="F98" s="743">
        <v>0</v>
      </c>
      <c r="G98" s="743">
        <v>0</v>
      </c>
      <c r="H98" s="743">
        <f t="shared" si="19"/>
        <v>0</v>
      </c>
      <c r="I98" s="45">
        <f t="shared" si="1"/>
        <v>0</v>
      </c>
      <c r="J98" s="125" t="str">
        <f t="shared" si="2"/>
        <v/>
      </c>
      <c r="K98" s="745">
        <f t="shared" si="20"/>
        <v>0</v>
      </c>
    </row>
    <row r="99" spans="1:11" ht="12.75" customHeight="1" x14ac:dyDescent="0.2">
      <c r="A99" s="521" t="s">
        <v>1322</v>
      </c>
      <c r="B99" s="170"/>
      <c r="C99" s="657">
        <f t="shared" ref="C99:H99" si="21">SUM(C100:C102)</f>
        <v>7621841.3905999996</v>
      </c>
      <c r="D99" s="658">
        <f t="shared" si="21"/>
        <v>7845000</v>
      </c>
      <c r="E99" s="411">
        <f t="shared" si="21"/>
        <v>7845000</v>
      </c>
      <c r="F99" s="411">
        <f t="shared" si="21"/>
        <v>985837.5</v>
      </c>
      <c r="G99" s="411">
        <f t="shared" si="21"/>
        <v>985837.5</v>
      </c>
      <c r="H99" s="411">
        <f t="shared" si="21"/>
        <v>3268750</v>
      </c>
      <c r="I99" s="259">
        <f t="shared" si="1"/>
        <v>2282912.5</v>
      </c>
      <c r="J99" s="584">
        <f t="shared" si="2"/>
        <v>0.69840535372848944</v>
      </c>
      <c r="K99" s="651">
        <f>SUM(K100:K102)</f>
        <v>7845000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7845000</v>
      </c>
      <c r="E101" s="743">
        <v>7845000</v>
      </c>
      <c r="F101" s="743">
        <v>985837.5</v>
      </c>
      <c r="G101" s="743">
        <v>985837.5</v>
      </c>
      <c r="H101" s="743">
        <f>E101/12*5</f>
        <v>3268750</v>
      </c>
      <c r="I101" s="45">
        <f>H101-G101</f>
        <v>2282912.5</v>
      </c>
      <c r="J101" s="125">
        <f>IF(I101=0,"",I101/H101)</f>
        <v>0.69840535372848944</v>
      </c>
      <c r="K101" s="745">
        <f>D101</f>
        <v>7845000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2">SUM(C104:C108)</f>
        <v>0</v>
      </c>
      <c r="D103" s="265">
        <f t="shared" si="22"/>
        <v>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3">+C111+C114</f>
        <v>0</v>
      </c>
      <c r="D110" s="586">
        <f t="shared" si="23"/>
        <v>335000</v>
      </c>
      <c r="E110" s="587">
        <f t="shared" si="23"/>
        <v>335000</v>
      </c>
      <c r="F110" s="587">
        <f t="shared" si="23"/>
        <v>0</v>
      </c>
      <c r="G110" s="587">
        <f t="shared" si="23"/>
        <v>0</v>
      </c>
      <c r="H110" s="587">
        <f t="shared" si="23"/>
        <v>139583.33333333334</v>
      </c>
      <c r="I110" s="100">
        <f t="shared" si="1"/>
        <v>139583.33333333334</v>
      </c>
      <c r="J110" s="327">
        <f t="shared" si="2"/>
        <v>1</v>
      </c>
      <c r="K110" s="589">
        <f>+K111+K114</f>
        <v>335000</v>
      </c>
    </row>
    <row r="111" spans="1:11" ht="12.75" customHeight="1" x14ac:dyDescent="0.2">
      <c r="A111" s="521" t="s">
        <v>1331</v>
      </c>
      <c r="B111" s="170"/>
      <c r="C111" s="657">
        <f t="shared" ref="C111:H111" si="24">SUM(C112:C113)</f>
        <v>0</v>
      </c>
      <c r="D111" s="658">
        <f t="shared" si="24"/>
        <v>335000</v>
      </c>
      <c r="E111" s="411">
        <f t="shared" si="24"/>
        <v>335000</v>
      </c>
      <c r="F111" s="411">
        <f t="shared" si="24"/>
        <v>0</v>
      </c>
      <c r="G111" s="411">
        <f t="shared" si="24"/>
        <v>0</v>
      </c>
      <c r="H111" s="411">
        <f t="shared" si="24"/>
        <v>139583.33333333334</v>
      </c>
      <c r="I111" s="259">
        <f t="shared" si="1"/>
        <v>139583.33333333334</v>
      </c>
      <c r="J111" s="584">
        <f t="shared" si="2"/>
        <v>1</v>
      </c>
      <c r="K111" s="651">
        <f>SUM(K112:K113)</f>
        <v>335000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335000</v>
      </c>
      <c r="E113" s="743">
        <v>335000</v>
      </c>
      <c r="F113" s="743">
        <v>0</v>
      </c>
      <c r="G113" s="743">
        <v>0</v>
      </c>
      <c r="H113" s="743">
        <f>E113/12*5</f>
        <v>139583.33333333334</v>
      </c>
      <c r="I113" s="45">
        <f t="shared" si="1"/>
        <v>139583.33333333334</v>
      </c>
      <c r="J113" s="125">
        <f t="shared" si="2"/>
        <v>1</v>
      </c>
      <c r="K113" s="745">
        <f>D113</f>
        <v>335000</v>
      </c>
    </row>
    <row r="114" spans="1:11" ht="12.75" customHeight="1" x14ac:dyDescent="0.2">
      <c r="A114" s="521" t="s">
        <v>1334</v>
      </c>
      <c r="B114" s="170"/>
      <c r="C114" s="657">
        <f t="shared" ref="C114:H114" si="25">SUM(C115:C116)</f>
        <v>0</v>
      </c>
      <c r="D114" s="658">
        <f t="shared" si="25"/>
        <v>0</v>
      </c>
      <c r="E114" s="411">
        <f t="shared" si="25"/>
        <v>0</v>
      </c>
      <c r="F114" s="411">
        <f t="shared" si="25"/>
        <v>0</v>
      </c>
      <c r="G114" s="411">
        <f t="shared" si="25"/>
        <v>0</v>
      </c>
      <c r="H114" s="411">
        <f t="shared" si="25"/>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6">+C118+C130</f>
        <v>12628370.14078</v>
      </c>
      <c r="D117" s="586">
        <f t="shared" si="26"/>
        <v>1300000</v>
      </c>
      <c r="E117" s="587">
        <f t="shared" si="26"/>
        <v>1300000</v>
      </c>
      <c r="F117" s="587">
        <f t="shared" si="26"/>
        <v>0</v>
      </c>
      <c r="G117" s="587">
        <f t="shared" si="26"/>
        <v>0</v>
      </c>
      <c r="H117" s="587">
        <f t="shared" si="26"/>
        <v>541666.66666666663</v>
      </c>
      <c r="I117" s="587">
        <f t="shared" si="1"/>
        <v>541666.66666666663</v>
      </c>
      <c r="J117" s="588">
        <f t="shared" si="2"/>
        <v>1</v>
      </c>
      <c r="K117" s="589">
        <f>+K118+K130</f>
        <v>1300000</v>
      </c>
    </row>
    <row r="118" spans="1:11" ht="12.75" customHeight="1" x14ac:dyDescent="0.2">
      <c r="A118" s="521" t="s">
        <v>1335</v>
      </c>
      <c r="B118" s="170"/>
      <c r="C118" s="657">
        <f t="shared" ref="C118:H118" si="27">SUM(C119:C129)</f>
        <v>12628370.14078</v>
      </c>
      <c r="D118" s="658">
        <f t="shared" si="27"/>
        <v>1300000</v>
      </c>
      <c r="E118" s="411">
        <f t="shared" si="27"/>
        <v>1300000</v>
      </c>
      <c r="F118" s="411">
        <f t="shared" si="27"/>
        <v>0</v>
      </c>
      <c r="G118" s="411">
        <f t="shared" si="27"/>
        <v>0</v>
      </c>
      <c r="H118" s="411">
        <f t="shared" si="27"/>
        <v>541666.66666666663</v>
      </c>
      <c r="I118" s="259">
        <f t="shared" si="1"/>
        <v>541666.66666666663</v>
      </c>
      <c r="J118" s="584">
        <f t="shared" si="2"/>
        <v>1</v>
      </c>
      <c r="K118" s="651">
        <f>SUM(K119:K129)</f>
        <v>1300000</v>
      </c>
    </row>
    <row r="119" spans="1:11" ht="12.75" customHeight="1" x14ac:dyDescent="0.2">
      <c r="A119" s="583" t="s">
        <v>1336</v>
      </c>
      <c r="B119" s="170"/>
      <c r="C119" s="758">
        <v>12628370.14078</v>
      </c>
      <c r="D119" s="763">
        <v>1300000</v>
      </c>
      <c r="E119" s="743">
        <v>1300000</v>
      </c>
      <c r="F119" s="743">
        <v>0</v>
      </c>
      <c r="G119" s="743">
        <v>0</v>
      </c>
      <c r="H119" s="743">
        <f>E119/12*5</f>
        <v>541666.66666666663</v>
      </c>
      <c r="I119" s="45">
        <f t="shared" si="1"/>
        <v>541666.66666666663</v>
      </c>
      <c r="J119" s="125">
        <f t="shared" si="2"/>
        <v>1</v>
      </c>
      <c r="K119" s="745">
        <f>D119</f>
        <v>1300000</v>
      </c>
    </row>
    <row r="120" spans="1:11" ht="12.75" customHeight="1" x14ac:dyDescent="0.2">
      <c r="A120" s="583" t="s">
        <v>1337</v>
      </c>
      <c r="B120" s="170"/>
      <c r="C120" s="758">
        <v>0</v>
      </c>
      <c r="D120" s="763">
        <v>0</v>
      </c>
      <c r="E120" s="743">
        <v>0</v>
      </c>
      <c r="F120" s="743">
        <v>0</v>
      </c>
      <c r="G120" s="743">
        <v>0</v>
      </c>
      <c r="H120" s="743">
        <f t="shared" ref="H120:H129" si="28">D120/12*7</f>
        <v>0</v>
      </c>
      <c r="I120" s="45">
        <f t="shared" si="1"/>
        <v>0</v>
      </c>
      <c r="J120" s="125" t="str">
        <f t="shared" si="2"/>
        <v/>
      </c>
      <c r="K120" s="745">
        <f t="shared" ref="K120:K129" si="29">D120</f>
        <v>0</v>
      </c>
    </row>
    <row r="121" spans="1:11" ht="12.75" customHeight="1" x14ac:dyDescent="0.2">
      <c r="A121" s="583" t="s">
        <v>1338</v>
      </c>
      <c r="B121" s="170"/>
      <c r="C121" s="758">
        <v>0</v>
      </c>
      <c r="D121" s="763">
        <v>0</v>
      </c>
      <c r="E121" s="743">
        <v>0</v>
      </c>
      <c r="F121" s="743">
        <v>0</v>
      </c>
      <c r="G121" s="743">
        <v>0</v>
      </c>
      <c r="H121" s="743">
        <f t="shared" si="28"/>
        <v>0</v>
      </c>
      <c r="I121" s="45">
        <f t="shared" si="1"/>
        <v>0</v>
      </c>
      <c r="J121" s="125" t="str">
        <f t="shared" si="2"/>
        <v/>
      </c>
      <c r="K121" s="745">
        <f t="shared" si="29"/>
        <v>0</v>
      </c>
    </row>
    <row r="122" spans="1:11" ht="12.75" customHeight="1" x14ac:dyDescent="0.2">
      <c r="A122" s="583" t="s">
        <v>1339</v>
      </c>
      <c r="B122" s="170"/>
      <c r="C122" s="758">
        <v>0</v>
      </c>
      <c r="D122" s="763">
        <v>0</v>
      </c>
      <c r="E122" s="743">
        <v>0</v>
      </c>
      <c r="F122" s="743">
        <v>0</v>
      </c>
      <c r="G122" s="743">
        <v>0</v>
      </c>
      <c r="H122" s="743">
        <f t="shared" si="28"/>
        <v>0</v>
      </c>
      <c r="I122" s="45">
        <f t="shared" si="1"/>
        <v>0</v>
      </c>
      <c r="J122" s="125" t="str">
        <f t="shared" si="2"/>
        <v/>
      </c>
      <c r="K122" s="745">
        <f t="shared" si="29"/>
        <v>0</v>
      </c>
    </row>
    <row r="123" spans="1:11" ht="12.75" customHeight="1" x14ac:dyDescent="0.2">
      <c r="A123" s="583" t="s">
        <v>1340</v>
      </c>
      <c r="B123" s="170"/>
      <c r="C123" s="758">
        <v>0</v>
      </c>
      <c r="D123" s="763">
        <v>0</v>
      </c>
      <c r="E123" s="743">
        <v>0</v>
      </c>
      <c r="F123" s="743">
        <v>0</v>
      </c>
      <c r="G123" s="743">
        <v>0</v>
      </c>
      <c r="H123" s="743">
        <f t="shared" si="28"/>
        <v>0</v>
      </c>
      <c r="I123" s="45">
        <f t="shared" si="1"/>
        <v>0</v>
      </c>
      <c r="J123" s="125" t="str">
        <f t="shared" si="2"/>
        <v/>
      </c>
      <c r="K123" s="745">
        <f t="shared" si="29"/>
        <v>0</v>
      </c>
    </row>
    <row r="124" spans="1:11" ht="12.75" customHeight="1" x14ac:dyDescent="0.2">
      <c r="A124" s="583" t="s">
        <v>1341</v>
      </c>
      <c r="B124" s="170"/>
      <c r="C124" s="758">
        <v>0</v>
      </c>
      <c r="D124" s="763">
        <v>0</v>
      </c>
      <c r="E124" s="743">
        <v>0</v>
      </c>
      <c r="F124" s="743">
        <v>0</v>
      </c>
      <c r="G124" s="743">
        <v>0</v>
      </c>
      <c r="H124" s="743">
        <f t="shared" si="28"/>
        <v>0</v>
      </c>
      <c r="I124" s="45">
        <f t="shared" si="1"/>
        <v>0</v>
      </c>
      <c r="J124" s="125" t="str">
        <f t="shared" si="2"/>
        <v/>
      </c>
      <c r="K124" s="745">
        <f t="shared" si="29"/>
        <v>0</v>
      </c>
    </row>
    <row r="125" spans="1:11" ht="12.75" customHeight="1" x14ac:dyDescent="0.2">
      <c r="A125" s="583" t="s">
        <v>1342</v>
      </c>
      <c r="B125" s="170"/>
      <c r="C125" s="758">
        <v>0</v>
      </c>
      <c r="D125" s="763">
        <v>0</v>
      </c>
      <c r="E125" s="743">
        <v>0</v>
      </c>
      <c r="F125" s="743">
        <v>0</v>
      </c>
      <c r="G125" s="743">
        <v>0</v>
      </c>
      <c r="H125" s="743">
        <f t="shared" si="28"/>
        <v>0</v>
      </c>
      <c r="I125" s="45">
        <f t="shared" si="1"/>
        <v>0</v>
      </c>
      <c r="J125" s="125" t="str">
        <f t="shared" si="2"/>
        <v/>
      </c>
      <c r="K125" s="745">
        <f t="shared" si="29"/>
        <v>0</v>
      </c>
    </row>
    <row r="126" spans="1:11" ht="12.75" customHeight="1" x14ac:dyDescent="0.2">
      <c r="A126" s="583" t="s">
        <v>1343</v>
      </c>
      <c r="B126" s="170"/>
      <c r="C126" s="758">
        <v>0</v>
      </c>
      <c r="D126" s="763">
        <v>0</v>
      </c>
      <c r="E126" s="743">
        <v>0</v>
      </c>
      <c r="F126" s="743">
        <v>0</v>
      </c>
      <c r="G126" s="743">
        <v>0</v>
      </c>
      <c r="H126" s="743">
        <f t="shared" si="28"/>
        <v>0</v>
      </c>
      <c r="I126" s="45">
        <f t="shared" si="1"/>
        <v>0</v>
      </c>
      <c r="J126" s="125" t="str">
        <f t="shared" si="2"/>
        <v/>
      </c>
      <c r="K126" s="745">
        <f t="shared" si="29"/>
        <v>0</v>
      </c>
    </row>
    <row r="127" spans="1:11" ht="12.75" customHeight="1" x14ac:dyDescent="0.2">
      <c r="A127" s="583" t="s">
        <v>1344</v>
      </c>
      <c r="B127" s="170"/>
      <c r="C127" s="758">
        <v>0</v>
      </c>
      <c r="D127" s="763">
        <v>0</v>
      </c>
      <c r="E127" s="743">
        <v>0</v>
      </c>
      <c r="F127" s="743">
        <v>0</v>
      </c>
      <c r="G127" s="743">
        <v>0</v>
      </c>
      <c r="H127" s="743">
        <f t="shared" si="28"/>
        <v>0</v>
      </c>
      <c r="I127" s="45">
        <f t="shared" si="1"/>
        <v>0</v>
      </c>
      <c r="J127" s="125" t="str">
        <f t="shared" si="2"/>
        <v/>
      </c>
      <c r="K127" s="745">
        <f t="shared" si="29"/>
        <v>0</v>
      </c>
    </row>
    <row r="128" spans="1:11" ht="12.75" customHeight="1" x14ac:dyDescent="0.2">
      <c r="A128" s="583" t="s">
        <v>1345</v>
      </c>
      <c r="B128" s="170"/>
      <c r="C128" s="758">
        <v>0</v>
      </c>
      <c r="D128" s="763">
        <v>0</v>
      </c>
      <c r="E128" s="743">
        <v>0</v>
      </c>
      <c r="F128" s="743">
        <v>0</v>
      </c>
      <c r="G128" s="743">
        <v>0</v>
      </c>
      <c r="H128" s="743">
        <f t="shared" si="28"/>
        <v>0</v>
      </c>
      <c r="I128" s="45">
        <f t="shared" si="1"/>
        <v>0</v>
      </c>
      <c r="J128" s="125" t="str">
        <f t="shared" si="2"/>
        <v/>
      </c>
      <c r="K128" s="745">
        <f t="shared" si="29"/>
        <v>0</v>
      </c>
    </row>
    <row r="129" spans="1:11" ht="12.75" customHeight="1" x14ac:dyDescent="0.2">
      <c r="A129" s="583" t="s">
        <v>1256</v>
      </c>
      <c r="B129" s="170"/>
      <c r="C129" s="758">
        <v>0</v>
      </c>
      <c r="D129" s="763">
        <v>0</v>
      </c>
      <c r="E129" s="743">
        <v>0</v>
      </c>
      <c r="F129" s="743">
        <v>0</v>
      </c>
      <c r="G129" s="743">
        <v>0</v>
      </c>
      <c r="H129" s="743">
        <f t="shared" si="28"/>
        <v>0</v>
      </c>
      <c r="I129" s="45">
        <f t="shared" si="1"/>
        <v>0</v>
      </c>
      <c r="J129" s="125" t="str">
        <f t="shared" si="2"/>
        <v/>
      </c>
      <c r="K129" s="745">
        <f t="shared" si="29"/>
        <v>0</v>
      </c>
    </row>
    <row r="130" spans="1:11" ht="12.75" customHeight="1" x14ac:dyDescent="0.2">
      <c r="A130" s="521" t="s">
        <v>733</v>
      </c>
      <c r="B130" s="170"/>
      <c r="C130" s="657">
        <f t="shared" ref="C130:H130" si="30">SUM(C131:C133)</f>
        <v>0</v>
      </c>
      <c r="D130" s="658">
        <f t="shared" si="30"/>
        <v>0</v>
      </c>
      <c r="E130" s="411">
        <f t="shared" si="30"/>
        <v>0</v>
      </c>
      <c r="F130" s="411">
        <f t="shared" si="30"/>
        <v>0</v>
      </c>
      <c r="G130" s="411">
        <f t="shared" si="30"/>
        <v>0</v>
      </c>
      <c r="H130" s="411">
        <f t="shared" si="30"/>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1">SUM(C136:C136)</f>
        <v>0</v>
      </c>
      <c r="D135" s="586">
        <f t="shared" si="31"/>
        <v>0</v>
      </c>
      <c r="E135" s="587">
        <f t="shared" si="31"/>
        <v>0</v>
      </c>
      <c r="F135" s="587">
        <f t="shared" si="31"/>
        <v>0</v>
      </c>
      <c r="G135" s="587">
        <f t="shared" si="31"/>
        <v>0</v>
      </c>
      <c r="H135" s="587">
        <f t="shared" si="31"/>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2">IF(I137=0,"",I137/H137)</f>
        <v/>
      </c>
      <c r="K137" s="145"/>
    </row>
    <row r="138" spans="1:11" s="101" customFormat="1" ht="12.75" customHeight="1" x14ac:dyDescent="0.2">
      <c r="A138" s="553" t="s">
        <v>1349</v>
      </c>
      <c r="B138" s="172"/>
      <c r="C138" s="952">
        <f t="shared" ref="C138:H138" si="33">SUM(C139:C140)</f>
        <v>2027116.9139999999</v>
      </c>
      <c r="D138" s="953">
        <f t="shared" si="33"/>
        <v>0</v>
      </c>
      <c r="E138" s="954">
        <f t="shared" si="33"/>
        <v>0</v>
      </c>
      <c r="F138" s="954">
        <f t="shared" si="33"/>
        <v>0</v>
      </c>
      <c r="G138" s="954">
        <f t="shared" si="33"/>
        <v>0</v>
      </c>
      <c r="H138" s="954">
        <f t="shared" si="33"/>
        <v>0</v>
      </c>
      <c r="I138" s="954">
        <f t="shared" ref="I138:I146" si="34">H138-G138</f>
        <v>0</v>
      </c>
      <c r="J138" s="327" t="str">
        <f t="shared" si="32"/>
        <v/>
      </c>
      <c r="K138" s="955">
        <f>SUM(K139:K140)</f>
        <v>0</v>
      </c>
    </row>
    <row r="139" spans="1:11" ht="12.75" customHeight="1" x14ac:dyDescent="0.2">
      <c r="A139" s="520" t="s">
        <v>1350</v>
      </c>
      <c r="B139" s="170"/>
      <c r="C139" s="758">
        <v>0</v>
      </c>
      <c r="D139" s="763">
        <v>0</v>
      </c>
      <c r="E139" s="743">
        <v>0</v>
      </c>
      <c r="F139" s="743">
        <v>0</v>
      </c>
      <c r="G139" s="743">
        <v>0</v>
      </c>
      <c r="H139" s="743">
        <v>0</v>
      </c>
      <c r="I139" s="45">
        <f t="shared" si="34"/>
        <v>0</v>
      </c>
      <c r="J139" s="125" t="str">
        <f t="shared" si="32"/>
        <v/>
      </c>
      <c r="K139" s="745">
        <v>0</v>
      </c>
    </row>
    <row r="140" spans="1:11" ht="12.75" customHeight="1" x14ac:dyDescent="0.2">
      <c r="A140" s="520" t="s">
        <v>1351</v>
      </c>
      <c r="B140" s="170"/>
      <c r="C140" s="657">
        <f t="shared" ref="C140:H140" si="35">SUM(C141:C146)</f>
        <v>2027116.9139999999</v>
      </c>
      <c r="D140" s="658">
        <f t="shared" si="35"/>
        <v>0</v>
      </c>
      <c r="E140" s="411">
        <f t="shared" si="35"/>
        <v>0</v>
      </c>
      <c r="F140" s="411">
        <f t="shared" si="35"/>
        <v>0</v>
      </c>
      <c r="G140" s="411">
        <f t="shared" si="35"/>
        <v>0</v>
      </c>
      <c r="H140" s="411">
        <f t="shared" si="35"/>
        <v>0</v>
      </c>
      <c r="I140" s="259">
        <f t="shared" si="34"/>
        <v>0</v>
      </c>
      <c r="J140" s="584" t="str">
        <f t="shared" si="32"/>
        <v/>
      </c>
      <c r="K140" s="651">
        <f>SUM(K141:K146)</f>
        <v>0</v>
      </c>
    </row>
    <row r="141" spans="1:11" ht="12.75" customHeight="1" x14ac:dyDescent="0.2">
      <c r="A141" s="583" t="s">
        <v>1352</v>
      </c>
      <c r="B141" s="170"/>
      <c r="C141" s="758">
        <v>0</v>
      </c>
      <c r="D141" s="763">
        <v>0</v>
      </c>
      <c r="E141" s="743">
        <v>0</v>
      </c>
      <c r="F141" s="743">
        <v>0</v>
      </c>
      <c r="G141" s="743">
        <v>0</v>
      </c>
      <c r="H141" s="743">
        <v>0</v>
      </c>
      <c r="I141" s="45">
        <f t="shared" si="34"/>
        <v>0</v>
      </c>
      <c r="J141" s="125" t="str">
        <f t="shared" si="32"/>
        <v/>
      </c>
      <c r="K141" s="745">
        <f t="shared" ref="K141:K146" si="36">D141</f>
        <v>0</v>
      </c>
    </row>
    <row r="142" spans="1:11" ht="12.75" customHeight="1" x14ac:dyDescent="0.2">
      <c r="A142" s="583" t="s">
        <v>1353</v>
      </c>
      <c r="B142" s="170"/>
      <c r="C142" s="758">
        <v>0</v>
      </c>
      <c r="D142" s="763">
        <v>0</v>
      </c>
      <c r="E142" s="743">
        <v>0</v>
      </c>
      <c r="F142" s="743">
        <v>0</v>
      </c>
      <c r="G142" s="743">
        <v>0</v>
      </c>
      <c r="H142" s="743">
        <v>0</v>
      </c>
      <c r="I142" s="45">
        <f t="shared" si="34"/>
        <v>0</v>
      </c>
      <c r="J142" s="125" t="str">
        <f t="shared" si="32"/>
        <v/>
      </c>
      <c r="K142" s="745">
        <f t="shared" si="36"/>
        <v>0</v>
      </c>
    </row>
    <row r="143" spans="1:11" ht="12.75" customHeight="1" x14ac:dyDescent="0.2">
      <c r="A143" s="583" t="s">
        <v>1354</v>
      </c>
      <c r="B143" s="170"/>
      <c r="C143" s="758">
        <v>0</v>
      </c>
      <c r="D143" s="763">
        <v>0</v>
      </c>
      <c r="E143" s="743">
        <v>0</v>
      </c>
      <c r="F143" s="743">
        <v>0</v>
      </c>
      <c r="G143" s="743">
        <v>0</v>
      </c>
      <c r="H143" s="743">
        <v>0</v>
      </c>
      <c r="I143" s="45">
        <f t="shared" si="34"/>
        <v>0</v>
      </c>
      <c r="J143" s="125" t="str">
        <f t="shared" si="32"/>
        <v/>
      </c>
      <c r="K143" s="745">
        <f t="shared" si="36"/>
        <v>0</v>
      </c>
    </row>
    <row r="144" spans="1:11" ht="12.75" customHeight="1" x14ac:dyDescent="0.2">
      <c r="A144" s="583" t="s">
        <v>1355</v>
      </c>
      <c r="B144" s="170"/>
      <c r="C144" s="758">
        <v>2027116.9139999999</v>
      </c>
      <c r="D144" s="763">
        <v>0</v>
      </c>
      <c r="E144" s="743">
        <v>0</v>
      </c>
      <c r="F144" s="763">
        <v>0</v>
      </c>
      <c r="G144" s="743">
        <v>0</v>
      </c>
      <c r="H144" s="763">
        <v>0</v>
      </c>
      <c r="I144" s="45">
        <f t="shared" si="34"/>
        <v>0</v>
      </c>
      <c r="J144" s="125" t="str">
        <f t="shared" si="32"/>
        <v/>
      </c>
      <c r="K144" s="745">
        <f t="shared" si="36"/>
        <v>0</v>
      </c>
    </row>
    <row r="145" spans="1:12" ht="12.75" customHeight="1" x14ac:dyDescent="0.2">
      <c r="A145" s="583" t="s">
        <v>1356</v>
      </c>
      <c r="B145" s="170"/>
      <c r="C145" s="758">
        <v>0</v>
      </c>
      <c r="D145" s="763">
        <v>0</v>
      </c>
      <c r="E145" s="743">
        <v>0</v>
      </c>
      <c r="F145" s="763">
        <v>0</v>
      </c>
      <c r="G145" s="743">
        <v>0</v>
      </c>
      <c r="H145" s="763">
        <v>0</v>
      </c>
      <c r="I145" s="45">
        <f t="shared" si="34"/>
        <v>0</v>
      </c>
      <c r="J145" s="125" t="str">
        <f t="shared" si="32"/>
        <v/>
      </c>
      <c r="K145" s="745">
        <f t="shared" si="36"/>
        <v>0</v>
      </c>
    </row>
    <row r="146" spans="1:12" ht="12.75" customHeight="1" x14ac:dyDescent="0.2">
      <c r="A146" s="583" t="s">
        <v>1357</v>
      </c>
      <c r="B146" s="170"/>
      <c r="C146" s="758">
        <v>0</v>
      </c>
      <c r="D146" s="763">
        <v>0</v>
      </c>
      <c r="E146" s="743">
        <v>0</v>
      </c>
      <c r="F146" s="763">
        <v>0</v>
      </c>
      <c r="G146" s="743">
        <v>0</v>
      </c>
      <c r="H146" s="763">
        <v>0</v>
      </c>
      <c r="I146" s="45">
        <f t="shared" si="34"/>
        <v>0</v>
      </c>
      <c r="J146" s="125" t="str">
        <f t="shared" si="32"/>
        <v/>
      </c>
      <c r="K146" s="745">
        <f t="shared" si="3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7">SUM(C149:C149)</f>
        <v>0</v>
      </c>
      <c r="D148" s="586">
        <f t="shared" si="37"/>
        <v>0</v>
      </c>
      <c r="E148" s="587">
        <f t="shared" si="37"/>
        <v>0</v>
      </c>
      <c r="F148" s="587">
        <f t="shared" si="37"/>
        <v>0</v>
      </c>
      <c r="G148" s="587">
        <f t="shared" si="37"/>
        <v>0</v>
      </c>
      <c r="H148" s="587">
        <f t="shared" si="37"/>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8">SUM(C152:C152)</f>
        <v>0</v>
      </c>
      <c r="D151" s="586">
        <f t="shared" si="38"/>
        <v>0</v>
      </c>
      <c r="E151" s="587">
        <f t="shared" si="38"/>
        <v>0</v>
      </c>
      <c r="F151" s="587">
        <f t="shared" si="38"/>
        <v>0</v>
      </c>
      <c r="G151" s="587">
        <f t="shared" si="38"/>
        <v>0</v>
      </c>
      <c r="H151" s="587">
        <f t="shared" si="38"/>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9">SUM(C155:C155)</f>
        <v>0</v>
      </c>
      <c r="D154" s="586">
        <f t="shared" si="39"/>
        <v>0</v>
      </c>
      <c r="E154" s="587">
        <f t="shared" si="39"/>
        <v>0</v>
      </c>
      <c r="F154" s="587">
        <f t="shared" si="39"/>
        <v>0</v>
      </c>
      <c r="G154" s="587">
        <f t="shared" si="39"/>
        <v>0</v>
      </c>
      <c r="H154" s="587">
        <f t="shared" si="39"/>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0">SUM(C158:C158)</f>
        <v>0</v>
      </c>
      <c r="D157" s="586">
        <f t="shared" si="40"/>
        <v>0</v>
      </c>
      <c r="E157" s="587">
        <f t="shared" si="40"/>
        <v>0</v>
      </c>
      <c r="F157" s="587">
        <f t="shared" si="40"/>
        <v>0</v>
      </c>
      <c r="G157" s="587">
        <f t="shared" si="40"/>
        <v>0</v>
      </c>
      <c r="H157" s="587">
        <f t="shared" si="40"/>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1">SUM(C161:C161)</f>
        <v>0</v>
      </c>
      <c r="D160" s="586">
        <f t="shared" si="41"/>
        <v>0</v>
      </c>
      <c r="E160" s="587">
        <f t="shared" si="41"/>
        <v>0</v>
      </c>
      <c r="F160" s="587">
        <f t="shared" si="41"/>
        <v>0</v>
      </c>
      <c r="G160" s="587">
        <f t="shared" si="41"/>
        <v>0</v>
      </c>
      <c r="H160" s="587">
        <f t="shared" si="41"/>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2">SUM(C164:C164)</f>
        <v>0</v>
      </c>
      <c r="D163" s="586">
        <f t="shared" si="42"/>
        <v>0</v>
      </c>
      <c r="E163" s="587">
        <f t="shared" si="42"/>
        <v>0</v>
      </c>
      <c r="F163" s="587">
        <f t="shared" si="42"/>
        <v>0</v>
      </c>
      <c r="G163" s="587">
        <f t="shared" si="42"/>
        <v>0</v>
      </c>
      <c r="H163" s="587">
        <f t="shared" si="42"/>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3">C7+C75+C103+C110+C117+C135+C138+C148+C151+C154+C157+C160+C163</f>
        <v>170516160.05991518</v>
      </c>
      <c r="D166" s="272">
        <f t="shared" si="43"/>
        <v>460109345</v>
      </c>
      <c r="E166" s="56">
        <f t="shared" si="43"/>
        <v>443939384</v>
      </c>
      <c r="F166" s="56">
        <f t="shared" si="43"/>
        <v>38771630.886</v>
      </c>
      <c r="G166" s="56">
        <f t="shared" si="43"/>
        <v>70044553.194499806</v>
      </c>
      <c r="H166" s="56">
        <f t="shared" si="43"/>
        <v>184974743.33333334</v>
      </c>
      <c r="I166" s="56">
        <f>H166-G166</f>
        <v>114930190.13883354</v>
      </c>
      <c r="J166" s="293">
        <f>IF(I166=0,"",I166/H166)</f>
        <v>0.62132909643628387</v>
      </c>
      <c r="K166" s="236">
        <f>K7+K75+K103+K110+K117+K135+K138+K148+K151+K154+K157+K160+K163</f>
        <v>443939376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-27890459.122500047</v>
      </c>
      <c r="G171" s="136">
        <f>G166+SC13a!G166+SC13b!G166-'C5-Capex'!G40</f>
        <v>-152169904.95200008</v>
      </c>
      <c r="H171" s="136">
        <f>H166+SC13a!H166+SC13b!H166-'C5-Capex'!H40</f>
        <v>-152316008.33333325</v>
      </c>
      <c r="I171" s="136"/>
      <c r="J171" s="136"/>
      <c r="K171" s="136">
        <f>K166+SC13a!K166+SC13b!K166-'C5-Capex'!K40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85" workbookViewId="0">
      <selection activeCell="J113" sqref="J113"/>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85297669.120000005</v>
      </c>
      <c r="F3" s="44"/>
      <c r="G3" s="44"/>
      <c r="H3" s="44"/>
      <c r="I3" s="44"/>
      <c r="J3" s="44"/>
      <c r="K3" s="44"/>
    </row>
    <row r="4" spans="1:11" x14ac:dyDescent="0.2">
      <c r="A4" s="43" t="str">
        <f>LEFT('SC12'!A7,3)</f>
        <v>Aug</v>
      </c>
      <c r="B4" s="44">
        <f>'SC12'!B7</f>
        <v>114658356.07565999</v>
      </c>
      <c r="C4" s="44">
        <f>'SC12'!C7</f>
        <v>52927000</v>
      </c>
      <c r="D4" s="44">
        <f>'SC12'!D7</f>
        <v>45515291.767000005</v>
      </c>
      <c r="E4" s="46">
        <f>'SC12'!E7</f>
        <v>45515291.767000005</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63068303.311999992</v>
      </c>
      <c r="F6" s="44"/>
      <c r="G6" s="44"/>
      <c r="H6" s="44"/>
      <c r="I6" s="44"/>
      <c r="J6" s="44"/>
      <c r="K6" s="44"/>
    </row>
    <row r="7" spans="1:11" x14ac:dyDescent="0.2">
      <c r="A7" s="43" t="str">
        <f>LEFT('SC12'!A10,3)</f>
        <v>Nov</v>
      </c>
      <c r="B7" s="44">
        <f>'SC12'!B10</f>
        <v>117057421.92475198</v>
      </c>
      <c r="C7" s="44">
        <f>'SC12'!C10</f>
        <v>116300000</v>
      </c>
      <c r="D7" s="44">
        <f>'SC12'!D10</f>
        <v>124247725.67</v>
      </c>
      <c r="E7" s="46">
        <f>'SC12'!E10</f>
        <v>124247725.67</v>
      </c>
      <c r="F7" s="44"/>
      <c r="G7" s="44"/>
      <c r="H7" s="44"/>
      <c r="I7" s="44"/>
      <c r="J7" s="44"/>
      <c r="K7" s="44"/>
    </row>
    <row r="8" spans="1:11" x14ac:dyDescent="0.2">
      <c r="A8" s="43" t="str">
        <f>LEFT('SC12'!A11,3)</f>
        <v>Dec</v>
      </c>
      <c r="B8" s="44">
        <f>'SC12'!B11</f>
        <v>123680771.70764397</v>
      </c>
      <c r="C8" s="44">
        <f>'SC12'!C11</f>
        <v>132266000</v>
      </c>
      <c r="D8" s="44">
        <f>'SC12'!D11</f>
        <v>131868000</v>
      </c>
      <c r="E8" s="46">
        <f>'SC12'!E11</f>
        <v>152138184.78950003</v>
      </c>
      <c r="F8" s="44"/>
      <c r="G8" s="44"/>
      <c r="H8" s="44"/>
      <c r="I8" s="44"/>
      <c r="J8" s="44"/>
      <c r="K8" s="44"/>
    </row>
    <row r="9" spans="1:11" x14ac:dyDescent="0.2">
      <c r="A9" s="43" t="str">
        <f>LEFT('SC12'!A12,3)</f>
        <v>Jan</v>
      </c>
      <c r="B9" s="44">
        <f>'SC12'!B12</f>
        <v>56304819.371612005</v>
      </c>
      <c r="C9" s="44">
        <f>'SC12'!C12</f>
        <v>132336000</v>
      </c>
      <c r="D9" s="44">
        <f>'SC12'!D12</f>
        <v>131938000</v>
      </c>
      <c r="E9" s="46">
        <f>'SC12'!E12</f>
        <v>0</v>
      </c>
      <c r="F9" s="44"/>
      <c r="G9" s="44"/>
      <c r="H9" s="44"/>
      <c r="I9" s="44"/>
      <c r="J9" s="44"/>
      <c r="K9" s="44"/>
    </row>
    <row r="10" spans="1:11" x14ac:dyDescent="0.2">
      <c r="A10" s="43" t="str">
        <f>LEFT('SC12'!A13,3)</f>
        <v>Feb</v>
      </c>
      <c r="B10" s="44">
        <f>'SC12'!B13</f>
        <v>29352943.087880004</v>
      </c>
      <c r="C10" s="44">
        <f>'SC12'!C13</f>
        <v>132336000</v>
      </c>
      <c r="D10" s="44">
        <f>'SC12'!D13</f>
        <v>131938000</v>
      </c>
      <c r="E10" s="46">
        <f>'SC12'!E13</f>
        <v>0</v>
      </c>
      <c r="F10" s="44"/>
      <c r="G10" s="44"/>
      <c r="H10" s="44"/>
      <c r="I10" s="44"/>
      <c r="J10" s="44"/>
      <c r="K10" s="44"/>
    </row>
    <row r="11" spans="1:11" x14ac:dyDescent="0.2">
      <c r="A11" s="43" t="str">
        <f>LEFT('SC12'!A14,3)</f>
        <v>Mar</v>
      </c>
      <c r="B11" s="44">
        <f>'SC12'!B14</f>
        <v>152645868.564648</v>
      </c>
      <c r="C11" s="44">
        <f>'SC12'!C14</f>
        <v>199883000</v>
      </c>
      <c r="D11" s="44">
        <f>'SC12'!D14</f>
        <v>199282000</v>
      </c>
      <c r="E11" s="46">
        <f>'SC12'!E14</f>
        <v>0</v>
      </c>
      <c r="F11" s="44"/>
      <c r="G11" s="44"/>
      <c r="H11" s="44"/>
      <c r="I11" s="44"/>
      <c r="J11" s="44"/>
      <c r="K11" s="44"/>
    </row>
    <row r="12" spans="1:11" x14ac:dyDescent="0.2">
      <c r="A12" s="43" t="str">
        <f>LEFT('SC12'!A15,3)</f>
        <v>Apr</v>
      </c>
      <c r="B12" s="44">
        <f>'SC12'!B15</f>
        <v>67570203.105097041</v>
      </c>
      <c r="C12" s="44">
        <f>'SC12'!C15</f>
        <v>227676000</v>
      </c>
      <c r="D12" s="44">
        <f>'SC12'!D15</f>
        <v>226991000</v>
      </c>
      <c r="E12" s="46">
        <f>'SC12'!E15</f>
        <v>0</v>
      </c>
      <c r="F12" s="44"/>
      <c r="G12" s="44"/>
      <c r="H12" s="44"/>
      <c r="I12" s="44"/>
      <c r="J12" s="44"/>
      <c r="K12" s="44"/>
    </row>
    <row r="13" spans="1:11" x14ac:dyDescent="0.2">
      <c r="A13" s="43" t="str">
        <f>LEFT('SC12'!A16,3)</f>
        <v>May</v>
      </c>
      <c r="B13" s="44">
        <f>'SC12'!B16</f>
        <v>36486409.166999996</v>
      </c>
      <c r="C13" s="44">
        <f>'SC12'!C16</f>
        <v>297703000</v>
      </c>
      <c r="D13" s="44">
        <f>'SC12'!D16</f>
        <v>278808000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85297669.120000005</v>
      </c>
      <c r="D28" s="44"/>
      <c r="E28" s="44"/>
      <c r="F28" s="44"/>
      <c r="G28" s="44"/>
      <c r="H28" s="44"/>
      <c r="I28" s="44"/>
    </row>
    <row r="29" spans="1:10" x14ac:dyDescent="0.2">
      <c r="A29" s="43" t="str">
        <f>LEFT('SC12'!A7,3)</f>
        <v>Aug</v>
      </c>
      <c r="B29" s="44">
        <f>'SC12'!F7</f>
        <v>130812960.88700001</v>
      </c>
      <c r="C29" s="46">
        <f>'SC12'!G7</f>
        <v>130812960.88700001</v>
      </c>
      <c r="D29" s="44"/>
      <c r="E29" s="44"/>
      <c r="F29" s="44"/>
      <c r="G29" s="44"/>
      <c r="H29" s="44"/>
      <c r="I29" s="44"/>
    </row>
    <row r="30" spans="1:10" x14ac:dyDescent="0.2">
      <c r="A30" s="43" t="str">
        <f>LEFT('SC12'!A8,3)</f>
        <v>Sep</v>
      </c>
      <c r="B30" s="44">
        <f>'SC12'!F8</f>
        <v>193837445.49600002</v>
      </c>
      <c r="C30" s="46">
        <f>'SC12'!G8</f>
        <v>193837445.49600002</v>
      </c>
      <c r="D30" s="44"/>
      <c r="E30" s="44"/>
      <c r="F30" s="44"/>
      <c r="G30" s="44"/>
      <c r="H30" s="44"/>
      <c r="I30" s="44"/>
    </row>
    <row r="31" spans="1:10" x14ac:dyDescent="0.2">
      <c r="A31" s="43" t="str">
        <f>LEFT('SC12'!A9,3)</f>
        <v>Oct</v>
      </c>
      <c r="B31" s="44">
        <f>'SC12'!F9</f>
        <v>256905748.80800003</v>
      </c>
      <c r="C31" s="46">
        <f>'SC12'!G9</f>
        <v>256905748.80800003</v>
      </c>
      <c r="D31" s="44"/>
      <c r="E31" s="44"/>
      <c r="F31" s="44"/>
      <c r="G31" s="44"/>
      <c r="H31" s="44"/>
      <c r="I31" s="44"/>
    </row>
    <row r="32" spans="1:10" x14ac:dyDescent="0.2">
      <c r="A32" s="43" t="str">
        <f>LEFT('SC12'!A10,3)</f>
        <v>Nov</v>
      </c>
      <c r="B32" s="44">
        <f>'SC12'!F10</f>
        <v>381153474.47800004</v>
      </c>
      <c r="C32" s="46">
        <f>'SC12'!G10</f>
        <v>381153474.47800004</v>
      </c>
      <c r="D32" s="44"/>
      <c r="E32" s="44"/>
      <c r="F32" s="44"/>
      <c r="G32" s="44"/>
      <c r="H32" s="44"/>
      <c r="I32" s="44"/>
    </row>
    <row r="33" spans="1:9" x14ac:dyDescent="0.2">
      <c r="A33" s="43" t="str">
        <f>LEFT('SC12'!A11,3)</f>
        <v>Dec</v>
      </c>
      <c r="B33" s="44">
        <f>'SC12'!F11</f>
        <v>533291659.26750004</v>
      </c>
      <c r="C33" s="46">
        <f>'SC12'!G11</f>
        <v>513021474.47800004</v>
      </c>
      <c r="D33" s="44"/>
      <c r="E33" s="44"/>
      <c r="F33" s="44"/>
      <c r="G33" s="44"/>
      <c r="H33" s="44"/>
      <c r="I33" s="44"/>
    </row>
    <row r="34" spans="1:9" x14ac:dyDescent="0.2">
      <c r="A34" s="43" t="str">
        <f>LEFT('SC12'!A12,3)</f>
        <v>Jan</v>
      </c>
      <c r="B34" s="44" t="str">
        <f>'SC12'!F12</f>
        <v/>
      </c>
      <c r="C34" s="46">
        <f>'SC12'!G12</f>
        <v>644959474.47800004</v>
      </c>
      <c r="D34" s="44"/>
      <c r="E34" s="44"/>
      <c r="F34" s="44"/>
      <c r="G34" s="44"/>
      <c r="H34" s="44"/>
      <c r="I34" s="44"/>
    </row>
    <row r="35" spans="1:9" x14ac:dyDescent="0.2">
      <c r="A35" s="43" t="str">
        <f>LEFT('SC12'!A13,3)</f>
        <v>Feb</v>
      </c>
      <c r="B35" s="44" t="str">
        <f>'SC12'!F13</f>
        <v/>
      </c>
      <c r="C35" s="46">
        <f>'SC12'!G13</f>
        <v>776897474.47800004</v>
      </c>
      <c r="D35" s="44"/>
      <c r="E35" s="44"/>
      <c r="F35" s="44"/>
      <c r="G35" s="44"/>
      <c r="H35" s="44"/>
      <c r="I35" s="44"/>
    </row>
    <row r="36" spans="1:9" x14ac:dyDescent="0.2">
      <c r="A36" s="43" t="str">
        <f>LEFT('SC12'!A14,3)</f>
        <v>Mar</v>
      </c>
      <c r="B36" s="44" t="str">
        <f>'SC12'!F14</f>
        <v/>
      </c>
      <c r="C36" s="46">
        <f>'SC12'!G14</f>
        <v>976179474.47800004</v>
      </c>
      <c r="D36" s="44"/>
      <c r="E36" s="44"/>
      <c r="F36" s="44"/>
      <c r="G36" s="44"/>
      <c r="H36" s="44"/>
      <c r="I36" s="44"/>
    </row>
    <row r="37" spans="1:9" x14ac:dyDescent="0.2">
      <c r="A37" s="43" t="str">
        <f>LEFT('SC12'!A15,3)</f>
        <v>Apr</v>
      </c>
      <c r="B37" s="44" t="str">
        <f>'SC12'!F15</f>
        <v/>
      </c>
      <c r="C37" s="46">
        <f>'SC12'!G15</f>
        <v>1203170474.4780002</v>
      </c>
      <c r="D37" s="44"/>
      <c r="E37" s="44"/>
      <c r="F37" s="44"/>
      <c r="G37" s="44"/>
      <c r="H37" s="44"/>
      <c r="I37" s="44"/>
    </row>
    <row r="38" spans="1:9" x14ac:dyDescent="0.2">
      <c r="A38" s="43" t="str">
        <f>LEFT('SC12'!A16,3)</f>
        <v>May</v>
      </c>
      <c r="B38" s="44" t="str">
        <f>'SC12'!F16</f>
        <v/>
      </c>
      <c r="C38" s="46">
        <f>'SC12'!G16</f>
        <v>1481978474.4780002</v>
      </c>
      <c r="D38" s="44"/>
      <c r="E38" s="44"/>
      <c r="F38" s="44"/>
      <c r="G38" s="44"/>
      <c r="H38" s="44"/>
      <c r="I38" s="44"/>
    </row>
    <row r="39" spans="1:9" x14ac:dyDescent="0.2">
      <c r="A39" s="92" t="str">
        <f>LEFT('SC12'!A17,3)</f>
        <v>Jun</v>
      </c>
      <c r="B39" s="359" t="str">
        <f>'SC12'!F17</f>
        <v/>
      </c>
      <c r="C39" s="360">
        <f>'SC12'!G17</f>
        <v>1830632112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240646147</v>
      </c>
      <c r="C53" s="44">
        <f>'SC3'!D14</f>
        <v>76739990</v>
      </c>
      <c r="D53" s="44">
        <f>'SC3'!E14</f>
        <v>53876246</v>
      </c>
      <c r="E53" s="44">
        <f>'SC3'!F14</f>
        <v>49750121</v>
      </c>
      <c r="F53" s="44">
        <f>'SC3'!G14</f>
        <v>37769812</v>
      </c>
      <c r="G53" s="44">
        <f>'SC3'!H14</f>
        <v>35251921</v>
      </c>
      <c r="H53" s="44">
        <f>'SC3'!I14</f>
        <v>123912857</v>
      </c>
      <c r="I53" s="44">
        <f>'SC3'!J14</f>
        <v>863267445</v>
      </c>
    </row>
    <row r="54" spans="1:9" x14ac:dyDescent="0.2">
      <c r="A54" s="62" t="str">
        <f>Head1</f>
        <v>2018/19</v>
      </c>
      <c r="B54" s="44">
        <f>'SC3'!C15</f>
        <v>-19131011.229999993</v>
      </c>
      <c r="C54" s="44">
        <f>'SC3'!D15</f>
        <v>63901998.010000005</v>
      </c>
      <c r="D54" s="44">
        <f>'SC3'!E15</f>
        <v>45037411.109999999</v>
      </c>
      <c r="E54" s="44">
        <f>'SC3'!F15</f>
        <v>28878773.199999999</v>
      </c>
      <c r="F54" s="44">
        <f>'SC3'!G15</f>
        <v>27439369.510000002</v>
      </c>
      <c r="G54" s="44">
        <f>'SC3'!H15</f>
        <v>24087956.16</v>
      </c>
      <c r="H54" s="44">
        <f>'SC3'!I15</f>
        <v>163666101.40000001</v>
      </c>
      <c r="I54" s="44">
        <f>'SC3'!J15</f>
        <v>690399278.50999999</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103250461.75</v>
      </c>
      <c r="C78" s="44">
        <f>'SC3'!K17</f>
        <v>106443775</v>
      </c>
      <c r="D78" s="44"/>
      <c r="E78" s="44"/>
      <c r="F78" s="44"/>
      <c r="G78" s="44"/>
      <c r="H78" s="44"/>
      <c r="I78" s="44"/>
      <c r="J78" s="44"/>
    </row>
    <row r="79" spans="1:10" x14ac:dyDescent="0.2">
      <c r="A79" s="62" t="str">
        <f>'SC3'!A18</f>
        <v>Commercial</v>
      </c>
      <c r="B79" s="44">
        <f>C79*0.97</f>
        <v>413189278.15999997</v>
      </c>
      <c r="C79" s="44">
        <f>'SC3'!K18</f>
        <v>425968328</v>
      </c>
      <c r="D79" s="44"/>
      <c r="E79" s="44"/>
      <c r="F79" s="44"/>
      <c r="G79" s="44"/>
      <c r="H79" s="44"/>
      <c r="I79" s="44"/>
      <c r="J79" s="44"/>
    </row>
    <row r="80" spans="1:10" x14ac:dyDescent="0.2">
      <c r="A80" s="62" t="str">
        <f>'SC3'!A19</f>
        <v>Households</v>
      </c>
      <c r="B80" s="44">
        <f>C80*0.97</f>
        <v>920338362.91999996</v>
      </c>
      <c r="C80" s="44">
        <f>'SC3'!K19</f>
        <v>948802436</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53236049</v>
      </c>
      <c r="C103" s="408">
        <f>'SC4'!L7</f>
        <v>18438235</v>
      </c>
      <c r="D103" s="408">
        <f>'SC4'!L8</f>
        <v>0</v>
      </c>
      <c r="E103" s="408">
        <f>'SC4'!L9</f>
        <v>0</v>
      </c>
      <c r="F103" s="408">
        <f>'SC4'!L10</f>
        <v>0</v>
      </c>
      <c r="G103" s="408">
        <f>'SC4'!L11</f>
        <v>0</v>
      </c>
      <c r="H103" s="408">
        <f>'SC4'!L12</f>
        <v>10733951</v>
      </c>
      <c r="I103" s="408">
        <f>'SC4'!L13</f>
        <v>0</v>
      </c>
      <c r="J103" s="408">
        <f>'SC4'!L14</f>
        <v>0</v>
      </c>
    </row>
    <row r="104" spans="1:10" x14ac:dyDescent="0.2">
      <c r="A104" s="62" t="str">
        <f>A53</f>
        <v>Budget Year 2019/20</v>
      </c>
      <c r="B104" s="44">
        <f>'SC4'!K6</f>
        <v>59901730.020000003</v>
      </c>
      <c r="C104" s="44">
        <f>'SC4'!K7</f>
        <v>36539758.159999996</v>
      </c>
      <c r="D104" s="44">
        <f>'SC4'!K8</f>
        <v>0</v>
      </c>
      <c r="E104" s="44">
        <f>'SC4'!K9</f>
        <v>0</v>
      </c>
      <c r="F104" s="44">
        <f>'SC4'!K10</f>
        <v>0</v>
      </c>
      <c r="G104" s="44">
        <f>'SC4'!K11</f>
        <v>0</v>
      </c>
      <c r="H104" s="44">
        <f>'SC4'!K12</f>
        <v>87228450.179999992</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5" t="s">
        <v>190</v>
      </c>
      <c r="C28" s="1" t="s">
        <v>191</v>
      </c>
    </row>
    <row r="29" spans="1:3" ht="13.2" x14ac:dyDescent="0.25">
      <c r="B29" s="896" t="s">
        <v>1085</v>
      </c>
      <c r="C29" s="897" t="s">
        <v>1130</v>
      </c>
    </row>
    <row r="30" spans="1:3" ht="13.2" x14ac:dyDescent="0.25">
      <c r="B30" s="896" t="s">
        <v>1086</v>
      </c>
      <c r="C30" s="898" t="s">
        <v>1130</v>
      </c>
    </row>
    <row r="31" spans="1:3" ht="13.2" x14ac:dyDescent="0.25">
      <c r="B31" s="896" t="s">
        <v>1139</v>
      </c>
      <c r="C31" s="897" t="s">
        <v>1130</v>
      </c>
    </row>
    <row r="32" spans="1:3" ht="13.2" x14ac:dyDescent="0.25">
      <c r="B32" s="896" t="s">
        <v>227</v>
      </c>
      <c r="C32" s="897" t="s">
        <v>1130</v>
      </c>
    </row>
    <row r="33" spans="2:3" ht="13.2" x14ac:dyDescent="0.25">
      <c r="B33" s="896" t="s">
        <v>228</v>
      </c>
      <c r="C33" s="897" t="s">
        <v>1130</v>
      </c>
    </row>
    <row r="34" spans="2:3" ht="13.2" x14ac:dyDescent="0.25">
      <c r="B34" s="896" t="s">
        <v>229</v>
      </c>
      <c r="C34" s="897" t="s">
        <v>1130</v>
      </c>
    </row>
    <row r="35" spans="2:3" ht="13.2" x14ac:dyDescent="0.25">
      <c r="B35" s="896" t="s">
        <v>230</v>
      </c>
      <c r="C35" s="897" t="s">
        <v>1130</v>
      </c>
    </row>
    <row r="36" spans="2:3" ht="13.2" x14ac:dyDescent="0.25">
      <c r="B36" s="896" t="s">
        <v>231</v>
      </c>
      <c r="C36" s="898" t="s">
        <v>1130</v>
      </c>
    </row>
    <row r="37" spans="2:3" ht="13.2" x14ac:dyDescent="0.25">
      <c r="B37" s="896" t="s">
        <v>1006</v>
      </c>
      <c r="C37" s="897" t="s">
        <v>1130</v>
      </c>
    </row>
    <row r="38" spans="2:3" ht="13.2" x14ac:dyDescent="0.25">
      <c r="B38" s="896" t="s">
        <v>1121</v>
      </c>
      <c r="C38" s="899" t="s">
        <v>1130</v>
      </c>
    </row>
    <row r="39" spans="2:3" ht="13.2" x14ac:dyDescent="0.25">
      <c r="B39" s="896" t="s">
        <v>232</v>
      </c>
      <c r="C39" s="899" t="s">
        <v>1130</v>
      </c>
    </row>
    <row r="40" spans="2:3" ht="13.2" x14ac:dyDescent="0.25">
      <c r="B40" s="896" t="s">
        <v>233</v>
      </c>
      <c r="C40" s="900" t="s">
        <v>1130</v>
      </c>
    </row>
    <row r="41" spans="2:3" ht="13.2" x14ac:dyDescent="0.25">
      <c r="B41" s="896" t="s">
        <v>234</v>
      </c>
      <c r="C41" s="900" t="s">
        <v>1130</v>
      </c>
    </row>
    <row r="42" spans="2:3" ht="13.2" x14ac:dyDescent="0.25">
      <c r="B42" s="896" t="s">
        <v>235</v>
      </c>
      <c r="C42" s="900" t="s">
        <v>1130</v>
      </c>
    </row>
    <row r="43" spans="2:3" ht="13.2" x14ac:dyDescent="0.25">
      <c r="B43" s="896" t="s">
        <v>236</v>
      </c>
      <c r="C43" s="900" t="s">
        <v>1130</v>
      </c>
    </row>
    <row r="44" spans="2:3" ht="13.2" x14ac:dyDescent="0.25">
      <c r="B44" s="926" t="s">
        <v>1140</v>
      </c>
      <c r="C44" s="900" t="s">
        <v>1130</v>
      </c>
    </row>
    <row r="45" spans="2:3" ht="13.2" x14ac:dyDescent="0.25">
      <c r="B45" s="896" t="s">
        <v>193</v>
      </c>
      <c r="C45" s="900" t="s">
        <v>1130</v>
      </c>
    </row>
    <row r="46" spans="2:3" ht="13.2" x14ac:dyDescent="0.25">
      <c r="B46" s="896" t="s">
        <v>237</v>
      </c>
      <c r="C46" s="900" t="s">
        <v>1130</v>
      </c>
    </row>
    <row r="47" spans="2:3" ht="13.2" x14ac:dyDescent="0.25">
      <c r="B47" s="896" t="s">
        <v>238</v>
      </c>
      <c r="C47" s="900" t="s">
        <v>1130</v>
      </c>
    </row>
    <row r="48" spans="2:3" ht="13.2" x14ac:dyDescent="0.25">
      <c r="B48" s="896" t="s">
        <v>239</v>
      </c>
      <c r="C48" s="900" t="s">
        <v>1130</v>
      </c>
    </row>
    <row r="49" spans="2:3" ht="13.2" x14ac:dyDescent="0.25">
      <c r="B49" s="896" t="s">
        <v>240</v>
      </c>
      <c r="C49" s="900" t="s">
        <v>1130</v>
      </c>
    </row>
    <row r="50" spans="2:3" ht="13.2" x14ac:dyDescent="0.25">
      <c r="B50" s="896" t="s">
        <v>241</v>
      </c>
      <c r="C50" s="899" t="s">
        <v>1130</v>
      </c>
    </row>
    <row r="51" spans="2:3" ht="13.2" x14ac:dyDescent="0.25">
      <c r="B51" s="926" t="s">
        <v>1141</v>
      </c>
      <c r="C51" s="899" t="s">
        <v>1130</v>
      </c>
    </row>
    <row r="52" spans="2:3" ht="13.2" x14ac:dyDescent="0.25">
      <c r="B52" s="896" t="s">
        <v>194</v>
      </c>
      <c r="C52" s="899" t="s">
        <v>1130</v>
      </c>
    </row>
    <row r="53" spans="2:3" ht="13.2" x14ac:dyDescent="0.25">
      <c r="B53" s="896" t="s">
        <v>242</v>
      </c>
      <c r="C53" s="899" t="s">
        <v>1130</v>
      </c>
    </row>
    <row r="54" spans="2:3" ht="13.2" x14ac:dyDescent="0.25">
      <c r="B54" s="896" t="s">
        <v>243</v>
      </c>
      <c r="C54" s="899" t="s">
        <v>1130</v>
      </c>
    </row>
    <row r="55" spans="2:3" ht="13.2" x14ac:dyDescent="0.25">
      <c r="B55" s="926" t="s">
        <v>1142</v>
      </c>
      <c r="C55" s="899" t="s">
        <v>1130</v>
      </c>
    </row>
    <row r="56" spans="2:3" ht="13.2" x14ac:dyDescent="0.25">
      <c r="B56" s="896" t="s">
        <v>1004</v>
      </c>
      <c r="C56" s="899" t="s">
        <v>1130</v>
      </c>
    </row>
    <row r="57" spans="2:3" ht="13.2" x14ac:dyDescent="0.25">
      <c r="B57" s="896" t="s">
        <v>244</v>
      </c>
      <c r="C57" s="655" t="s">
        <v>1130</v>
      </c>
    </row>
    <row r="58" spans="2:3" ht="13.2" x14ac:dyDescent="0.25">
      <c r="B58" s="896" t="s">
        <v>245</v>
      </c>
      <c r="C58" s="655" t="s">
        <v>1130</v>
      </c>
    </row>
    <row r="59" spans="2:3" ht="13.2" x14ac:dyDescent="0.25">
      <c r="B59" s="896" t="s">
        <v>246</v>
      </c>
      <c r="C59" s="899" t="s">
        <v>1130</v>
      </c>
    </row>
    <row r="60" spans="2:3" ht="13.2" x14ac:dyDescent="0.25">
      <c r="B60" s="896" t="s">
        <v>247</v>
      </c>
      <c r="C60" s="899" t="s">
        <v>1130</v>
      </c>
    </row>
    <row r="61" spans="2:3" ht="13.2" x14ac:dyDescent="0.25">
      <c r="B61" s="896" t="s">
        <v>248</v>
      </c>
      <c r="C61" s="899" t="s">
        <v>1130</v>
      </c>
    </row>
    <row r="62" spans="2:3" ht="13.2" x14ac:dyDescent="0.25">
      <c r="B62" s="896" t="s">
        <v>195</v>
      </c>
      <c r="C62" s="899" t="s">
        <v>1130</v>
      </c>
    </row>
    <row r="63" spans="2:3" ht="13.2" x14ac:dyDescent="0.25">
      <c r="B63" s="896" t="s">
        <v>249</v>
      </c>
      <c r="C63" s="900" t="s">
        <v>1130</v>
      </c>
    </row>
    <row r="64" spans="2:3" ht="13.2" x14ac:dyDescent="0.25">
      <c r="B64" s="896" t="s">
        <v>250</v>
      </c>
      <c r="C64" s="899" t="s">
        <v>1130</v>
      </c>
    </row>
    <row r="65" spans="2:3" ht="13.2" x14ac:dyDescent="0.25">
      <c r="B65" s="896" t="s">
        <v>1080</v>
      </c>
      <c r="C65" s="899" t="s">
        <v>1130</v>
      </c>
    </row>
    <row r="66" spans="2:3" ht="13.2" x14ac:dyDescent="0.25">
      <c r="B66" s="896" t="s">
        <v>1081</v>
      </c>
      <c r="C66" s="899" t="s">
        <v>1130</v>
      </c>
    </row>
    <row r="67" spans="2:3" ht="13.2" x14ac:dyDescent="0.25">
      <c r="B67" s="896" t="s">
        <v>222</v>
      </c>
      <c r="C67" s="899" t="s">
        <v>1130</v>
      </c>
    </row>
    <row r="68" spans="2:3" ht="13.2" x14ac:dyDescent="0.25">
      <c r="B68" s="896" t="s">
        <v>1087</v>
      </c>
      <c r="C68" s="899" t="s">
        <v>1131</v>
      </c>
    </row>
    <row r="69" spans="2:3" ht="13.2" x14ac:dyDescent="0.25">
      <c r="B69" s="896" t="s">
        <v>251</v>
      </c>
      <c r="C69" s="899" t="s">
        <v>1131</v>
      </c>
    </row>
    <row r="70" spans="2:3" ht="13.2" x14ac:dyDescent="0.25">
      <c r="B70" s="896" t="s">
        <v>252</v>
      </c>
      <c r="C70" s="899" t="s">
        <v>1131</v>
      </c>
    </row>
    <row r="71" spans="2:3" ht="13.2" x14ac:dyDescent="0.25">
      <c r="B71" s="896" t="s">
        <v>253</v>
      </c>
      <c r="C71" s="899" t="s">
        <v>1131</v>
      </c>
    </row>
    <row r="72" spans="2:3" ht="13.2" x14ac:dyDescent="0.25">
      <c r="B72" s="896" t="s">
        <v>196</v>
      </c>
      <c r="C72" s="899" t="s">
        <v>1131</v>
      </c>
    </row>
    <row r="73" spans="2:3" ht="13.2" x14ac:dyDescent="0.25">
      <c r="B73" s="896" t="s">
        <v>254</v>
      </c>
      <c r="C73" s="899" t="s">
        <v>1131</v>
      </c>
    </row>
    <row r="74" spans="2:3" ht="13.2" x14ac:dyDescent="0.25">
      <c r="B74" s="896" t="s">
        <v>255</v>
      </c>
      <c r="C74" s="899" t="s">
        <v>1131</v>
      </c>
    </row>
    <row r="75" spans="2:3" ht="13.2" x14ac:dyDescent="0.25">
      <c r="B75" s="896" t="s">
        <v>256</v>
      </c>
      <c r="C75" s="899" t="s">
        <v>1131</v>
      </c>
    </row>
    <row r="76" spans="2:3" ht="13.2" x14ac:dyDescent="0.25">
      <c r="B76" s="896" t="s">
        <v>257</v>
      </c>
      <c r="C76" s="899" t="s">
        <v>1131</v>
      </c>
    </row>
    <row r="77" spans="2:3" ht="13.2" x14ac:dyDescent="0.25">
      <c r="B77" s="896" t="s">
        <v>258</v>
      </c>
      <c r="C77" s="899" t="s">
        <v>1131</v>
      </c>
    </row>
    <row r="78" spans="2:3" ht="13.2" x14ac:dyDescent="0.25">
      <c r="B78" s="896" t="s">
        <v>197</v>
      </c>
      <c r="C78" s="899" t="s">
        <v>1131</v>
      </c>
    </row>
    <row r="79" spans="2:3" ht="13.2" x14ac:dyDescent="0.25">
      <c r="B79" s="896" t="s">
        <v>259</v>
      </c>
      <c r="C79" s="899" t="s">
        <v>1131</v>
      </c>
    </row>
    <row r="80" spans="2:3" ht="13.2" x14ac:dyDescent="0.25">
      <c r="B80" s="896" t="s">
        <v>260</v>
      </c>
      <c r="C80" s="899" t="s">
        <v>1131</v>
      </c>
    </row>
    <row r="81" spans="2:3" ht="13.2" x14ac:dyDescent="0.25">
      <c r="B81" s="896" t="s">
        <v>261</v>
      </c>
      <c r="C81" s="899" t="s">
        <v>1131</v>
      </c>
    </row>
    <row r="82" spans="2:3" ht="13.2" x14ac:dyDescent="0.25">
      <c r="B82" s="896" t="s">
        <v>262</v>
      </c>
      <c r="C82" s="899" t="s">
        <v>1131</v>
      </c>
    </row>
    <row r="83" spans="2:3" ht="13.2" x14ac:dyDescent="0.25">
      <c r="B83" s="896" t="s">
        <v>263</v>
      </c>
      <c r="C83" s="899" t="s">
        <v>1131</v>
      </c>
    </row>
    <row r="84" spans="2:3" ht="13.2" x14ac:dyDescent="0.25">
      <c r="B84" s="896" t="s">
        <v>1082</v>
      </c>
      <c r="C84" s="899" t="s">
        <v>1131</v>
      </c>
    </row>
    <row r="85" spans="2:3" ht="13.2" x14ac:dyDescent="0.25">
      <c r="B85" s="896" t="s">
        <v>198</v>
      </c>
      <c r="C85" s="899" t="s">
        <v>1131</v>
      </c>
    </row>
    <row r="86" spans="2:3" ht="13.2" x14ac:dyDescent="0.25">
      <c r="B86" s="896" t="s">
        <v>264</v>
      </c>
      <c r="C86" s="899" t="s">
        <v>1131</v>
      </c>
    </row>
    <row r="87" spans="2:3" ht="13.2" x14ac:dyDescent="0.25">
      <c r="B87" s="896" t="s">
        <v>265</v>
      </c>
      <c r="C87" s="899" t="s">
        <v>1131</v>
      </c>
    </row>
    <row r="88" spans="2:3" ht="13.2" x14ac:dyDescent="0.25">
      <c r="B88" s="896" t="s">
        <v>266</v>
      </c>
      <c r="C88" s="899" t="s">
        <v>1131</v>
      </c>
    </row>
    <row r="89" spans="2:3" ht="13.2" x14ac:dyDescent="0.25">
      <c r="B89" s="896" t="s">
        <v>267</v>
      </c>
      <c r="C89" s="899" t="s">
        <v>1131</v>
      </c>
    </row>
    <row r="90" spans="2:3" ht="13.2" x14ac:dyDescent="0.25">
      <c r="B90" s="896" t="s">
        <v>199</v>
      </c>
      <c r="C90" s="899" t="s">
        <v>1131</v>
      </c>
    </row>
    <row r="91" spans="2:3" ht="13.2" x14ac:dyDescent="0.25">
      <c r="B91" s="896" t="s">
        <v>1088</v>
      </c>
      <c r="C91" s="899" t="s">
        <v>1132</v>
      </c>
    </row>
    <row r="92" spans="2:3" ht="13.2" x14ac:dyDescent="0.25">
      <c r="B92" s="896" t="s">
        <v>1089</v>
      </c>
      <c r="C92" s="899" t="s">
        <v>1132</v>
      </c>
    </row>
    <row r="93" spans="2:3" ht="13.2" x14ac:dyDescent="0.25">
      <c r="B93" s="896" t="s">
        <v>1090</v>
      </c>
      <c r="C93" s="899" t="s">
        <v>1132</v>
      </c>
    </row>
    <row r="94" spans="2:3" ht="13.2" x14ac:dyDescent="0.25">
      <c r="B94" s="896" t="s">
        <v>268</v>
      </c>
      <c r="C94" s="899" t="s">
        <v>1132</v>
      </c>
    </row>
    <row r="95" spans="2:3" ht="13.2" x14ac:dyDescent="0.25">
      <c r="B95" s="896" t="s">
        <v>269</v>
      </c>
      <c r="C95" s="899" t="s">
        <v>1132</v>
      </c>
    </row>
    <row r="96" spans="2:3" ht="13.2" x14ac:dyDescent="0.25">
      <c r="B96" s="896" t="s">
        <v>270</v>
      </c>
      <c r="C96" s="899" t="s">
        <v>1132</v>
      </c>
    </row>
    <row r="97" spans="2:3" ht="13.2" x14ac:dyDescent="0.25">
      <c r="B97" s="896" t="s">
        <v>221</v>
      </c>
      <c r="C97" s="899" t="s">
        <v>1132</v>
      </c>
    </row>
    <row r="98" spans="2:3" ht="13.2" x14ac:dyDescent="0.25">
      <c r="B98" s="896" t="s">
        <v>271</v>
      </c>
      <c r="C98" s="899" t="s">
        <v>1132</v>
      </c>
    </row>
    <row r="99" spans="2:3" ht="13.2" x14ac:dyDescent="0.25">
      <c r="B99" s="896" t="s">
        <v>1007</v>
      </c>
      <c r="C99" s="899" t="s">
        <v>1132</v>
      </c>
    </row>
    <row r="100" spans="2:3" ht="13.2" x14ac:dyDescent="0.25">
      <c r="B100" s="927" t="s">
        <v>1122</v>
      </c>
      <c r="C100" s="899" t="s">
        <v>1132</v>
      </c>
    </row>
    <row r="101" spans="2:3" ht="13.2" x14ac:dyDescent="0.25">
      <c r="B101" s="896" t="s">
        <v>223</v>
      </c>
      <c r="C101" s="899" t="s">
        <v>1132</v>
      </c>
    </row>
    <row r="102" spans="2:3" ht="13.2" x14ac:dyDescent="0.25">
      <c r="B102" s="896" t="s">
        <v>1091</v>
      </c>
      <c r="C102" s="899" t="s">
        <v>1133</v>
      </c>
    </row>
    <row r="103" spans="2:3" ht="13.2" x14ac:dyDescent="0.25">
      <c r="B103" s="896" t="s">
        <v>272</v>
      </c>
      <c r="C103" s="899" t="s">
        <v>1133</v>
      </c>
    </row>
    <row r="104" spans="2:3" ht="13.2" x14ac:dyDescent="0.25">
      <c r="B104" s="896" t="s">
        <v>273</v>
      </c>
      <c r="C104" s="899" t="s">
        <v>1133</v>
      </c>
    </row>
    <row r="105" spans="2:3" ht="13.2" x14ac:dyDescent="0.25">
      <c r="B105" s="896" t="s">
        <v>274</v>
      </c>
      <c r="C105" s="899" t="s">
        <v>1133</v>
      </c>
    </row>
    <row r="106" spans="2:3" ht="13.2" x14ac:dyDescent="0.25">
      <c r="B106" s="896" t="s">
        <v>1150</v>
      </c>
      <c r="C106" s="899" t="s">
        <v>1133</v>
      </c>
    </row>
    <row r="107" spans="2:3" ht="13.2" x14ac:dyDescent="0.25">
      <c r="B107" s="896" t="s">
        <v>200</v>
      </c>
      <c r="C107" s="899" t="s">
        <v>1133</v>
      </c>
    </row>
    <row r="108" spans="2:3" ht="13.2" x14ac:dyDescent="0.25">
      <c r="B108" s="896" t="s">
        <v>275</v>
      </c>
      <c r="C108" s="899" t="s">
        <v>1133</v>
      </c>
    </row>
    <row r="109" spans="2:3" ht="13.2" x14ac:dyDescent="0.25">
      <c r="B109" s="896" t="s">
        <v>276</v>
      </c>
      <c r="C109" s="899" t="s">
        <v>1133</v>
      </c>
    </row>
    <row r="110" spans="2:3" ht="13.2" x14ac:dyDescent="0.25">
      <c r="B110" s="896" t="s">
        <v>277</v>
      </c>
      <c r="C110" s="899" t="s">
        <v>1133</v>
      </c>
    </row>
    <row r="111" spans="2:3" ht="13.2" x14ac:dyDescent="0.25">
      <c r="B111" s="896" t="s">
        <v>278</v>
      </c>
      <c r="C111" s="899" t="s">
        <v>1133</v>
      </c>
    </row>
    <row r="112" spans="2:3" ht="13.2" x14ac:dyDescent="0.25">
      <c r="B112" s="896" t="s">
        <v>279</v>
      </c>
      <c r="C112" s="897" t="s">
        <v>1133</v>
      </c>
    </row>
    <row r="113" spans="2:3" ht="13.2" x14ac:dyDescent="0.25">
      <c r="B113" s="896" t="s">
        <v>280</v>
      </c>
      <c r="C113" s="897" t="s">
        <v>1133</v>
      </c>
    </row>
    <row r="114" spans="2:3" ht="13.2" x14ac:dyDescent="0.25">
      <c r="B114" s="896" t="s">
        <v>281</v>
      </c>
      <c r="C114" s="897" t="s">
        <v>1133</v>
      </c>
    </row>
    <row r="115" spans="2:3" ht="13.2" x14ac:dyDescent="0.25">
      <c r="B115" s="896" t="s">
        <v>201</v>
      </c>
      <c r="C115" s="897" t="s">
        <v>1133</v>
      </c>
    </row>
    <row r="116" spans="2:3" ht="13.2" x14ac:dyDescent="0.25">
      <c r="B116" s="896" t="s">
        <v>282</v>
      </c>
      <c r="C116" s="897" t="s">
        <v>1133</v>
      </c>
    </row>
    <row r="117" spans="2:3" ht="13.2" x14ac:dyDescent="0.25">
      <c r="B117" s="926" t="s">
        <v>1143</v>
      </c>
      <c r="C117" s="897" t="s">
        <v>1133</v>
      </c>
    </row>
    <row r="118" spans="2:3" ht="13.2" x14ac:dyDescent="0.25">
      <c r="B118" s="926" t="s">
        <v>1144</v>
      </c>
      <c r="C118" s="897" t="s">
        <v>1133</v>
      </c>
    </row>
    <row r="119" spans="2:3" ht="13.2" x14ac:dyDescent="0.25">
      <c r="B119" s="896" t="s">
        <v>202</v>
      </c>
      <c r="C119" s="897" t="s">
        <v>1133</v>
      </c>
    </row>
    <row r="120" spans="2:3" ht="13.2" x14ac:dyDescent="0.25">
      <c r="B120" s="896" t="s">
        <v>283</v>
      </c>
      <c r="C120" s="897" t="s">
        <v>1133</v>
      </c>
    </row>
    <row r="121" spans="2:3" ht="13.2" x14ac:dyDescent="0.25">
      <c r="B121" s="896" t="s">
        <v>284</v>
      </c>
      <c r="C121" s="897" t="s">
        <v>1133</v>
      </c>
    </row>
    <row r="122" spans="2:3" ht="13.2" x14ac:dyDescent="0.25">
      <c r="B122" s="896" t="s">
        <v>285</v>
      </c>
      <c r="C122" s="897" t="s">
        <v>1133</v>
      </c>
    </row>
    <row r="123" spans="2:3" ht="13.2" x14ac:dyDescent="0.25">
      <c r="B123" s="896" t="s">
        <v>287</v>
      </c>
      <c r="C123" s="897" t="s">
        <v>1133</v>
      </c>
    </row>
    <row r="124" spans="2:3" ht="13.2" x14ac:dyDescent="0.25">
      <c r="B124" s="896" t="s">
        <v>203</v>
      </c>
      <c r="C124" s="897" t="s">
        <v>1133</v>
      </c>
    </row>
    <row r="125" spans="2:3" ht="13.2" x14ac:dyDescent="0.25">
      <c r="B125" s="896" t="s">
        <v>288</v>
      </c>
      <c r="C125" s="897" t="s">
        <v>1133</v>
      </c>
    </row>
    <row r="126" spans="2:3" ht="13.2" x14ac:dyDescent="0.25">
      <c r="B126" s="896" t="s">
        <v>289</v>
      </c>
      <c r="C126" s="897" t="s">
        <v>1133</v>
      </c>
    </row>
    <row r="127" spans="2:3" ht="13.2" x14ac:dyDescent="0.25">
      <c r="B127" s="896" t="s">
        <v>290</v>
      </c>
      <c r="C127" s="897" t="s">
        <v>1133</v>
      </c>
    </row>
    <row r="128" spans="2:3" ht="13.2" x14ac:dyDescent="0.25">
      <c r="B128" s="896" t="s">
        <v>204</v>
      </c>
      <c r="C128" s="897" t="s">
        <v>1133</v>
      </c>
    </row>
    <row r="129" spans="2:3" ht="13.2" x14ac:dyDescent="0.25">
      <c r="B129" s="896" t="s">
        <v>291</v>
      </c>
      <c r="C129" s="897" t="s">
        <v>1133</v>
      </c>
    </row>
    <row r="130" spans="2:3" ht="13.2" x14ac:dyDescent="0.25">
      <c r="B130" s="896" t="s">
        <v>292</v>
      </c>
      <c r="C130" s="897" t="s">
        <v>1133</v>
      </c>
    </row>
    <row r="131" spans="2:3" ht="13.2" x14ac:dyDescent="0.25">
      <c r="B131" s="896" t="s">
        <v>293</v>
      </c>
      <c r="C131" s="897" t="s">
        <v>1133</v>
      </c>
    </row>
    <row r="132" spans="2:3" ht="13.2" x14ac:dyDescent="0.25">
      <c r="B132" s="896" t="s">
        <v>294</v>
      </c>
      <c r="C132" s="899" t="s">
        <v>1133</v>
      </c>
    </row>
    <row r="133" spans="2:3" ht="13.2" x14ac:dyDescent="0.25">
      <c r="B133" s="896" t="s">
        <v>295</v>
      </c>
      <c r="C133" s="899" t="s">
        <v>1133</v>
      </c>
    </row>
    <row r="134" spans="2:3" ht="13.2" x14ac:dyDescent="0.25">
      <c r="B134" s="896" t="s">
        <v>205</v>
      </c>
      <c r="C134" s="899" t="s">
        <v>1133</v>
      </c>
    </row>
    <row r="135" spans="2:3" ht="13.2" x14ac:dyDescent="0.25">
      <c r="B135" s="896" t="s">
        <v>296</v>
      </c>
      <c r="C135" s="899" t="s">
        <v>1133</v>
      </c>
    </row>
    <row r="136" spans="2:3" ht="13.2" x14ac:dyDescent="0.25">
      <c r="B136" s="896" t="s">
        <v>297</v>
      </c>
      <c r="C136" s="899" t="s">
        <v>1133</v>
      </c>
    </row>
    <row r="137" spans="2:3" ht="13.2" x14ac:dyDescent="0.25">
      <c r="B137" s="896" t="s">
        <v>298</v>
      </c>
      <c r="C137" s="899" t="s">
        <v>1133</v>
      </c>
    </row>
    <row r="138" spans="2:3" ht="13.2" x14ac:dyDescent="0.25">
      <c r="B138" s="926" t="s">
        <v>1145</v>
      </c>
      <c r="C138" s="899" t="s">
        <v>1133</v>
      </c>
    </row>
    <row r="139" spans="2:3" ht="13.2" x14ac:dyDescent="0.25">
      <c r="B139" s="896" t="s">
        <v>206</v>
      </c>
      <c r="C139" s="899" t="s">
        <v>1133</v>
      </c>
    </row>
    <row r="140" spans="2:3" ht="13.2" x14ac:dyDescent="0.25">
      <c r="B140" s="896" t="s">
        <v>1008</v>
      </c>
      <c r="C140" s="899" t="s">
        <v>1133</v>
      </c>
    </row>
    <row r="141" spans="2:3" ht="13.2" x14ac:dyDescent="0.25">
      <c r="B141" s="896" t="s">
        <v>299</v>
      </c>
      <c r="C141" s="899" t="s">
        <v>1133</v>
      </c>
    </row>
    <row r="142" spans="2:3" ht="13.2" x14ac:dyDescent="0.25">
      <c r="B142" s="896" t="s">
        <v>1009</v>
      </c>
      <c r="C142" s="900" t="s">
        <v>1133</v>
      </c>
    </row>
    <row r="143" spans="2:3" ht="13.2" x14ac:dyDescent="0.25">
      <c r="B143" s="896" t="s">
        <v>300</v>
      </c>
      <c r="C143" s="900" t="s">
        <v>1133</v>
      </c>
    </row>
    <row r="144" spans="2:3" ht="13.2" x14ac:dyDescent="0.25">
      <c r="B144" s="896" t="s">
        <v>301</v>
      </c>
      <c r="C144" s="900" t="s">
        <v>1133</v>
      </c>
    </row>
    <row r="145" spans="2:3" ht="13.2" x14ac:dyDescent="0.25">
      <c r="B145" s="896" t="s">
        <v>1146</v>
      </c>
      <c r="C145" s="900" t="s">
        <v>1133</v>
      </c>
    </row>
    <row r="146" spans="2:3" ht="13.2" x14ac:dyDescent="0.25">
      <c r="B146" s="896" t="s">
        <v>302</v>
      </c>
      <c r="C146" s="900" t="s">
        <v>1133</v>
      </c>
    </row>
    <row r="147" spans="2:3" ht="13.2" x14ac:dyDescent="0.25">
      <c r="B147" s="896" t="s">
        <v>303</v>
      </c>
      <c r="C147" s="900" t="s">
        <v>1133</v>
      </c>
    </row>
    <row r="148" spans="2:3" ht="13.2" x14ac:dyDescent="0.25">
      <c r="B148" s="896" t="s">
        <v>304</v>
      </c>
      <c r="C148" s="900" t="s">
        <v>1133</v>
      </c>
    </row>
    <row r="149" spans="2:3" ht="13.2" x14ac:dyDescent="0.25">
      <c r="B149" s="896" t="s">
        <v>305</v>
      </c>
      <c r="C149" s="900" t="s">
        <v>1133</v>
      </c>
    </row>
    <row r="150" spans="2:3" ht="13.2" x14ac:dyDescent="0.25">
      <c r="B150" s="896" t="s">
        <v>207</v>
      </c>
      <c r="C150" s="900" t="s">
        <v>1133</v>
      </c>
    </row>
    <row r="151" spans="2:3" ht="13.2" x14ac:dyDescent="0.25">
      <c r="B151" s="896" t="s">
        <v>306</v>
      </c>
      <c r="C151" s="900" t="s">
        <v>1133</v>
      </c>
    </row>
    <row r="152" spans="2:3" ht="13.2" x14ac:dyDescent="0.25">
      <c r="B152" s="896" t="s">
        <v>307</v>
      </c>
      <c r="C152" s="900" t="s">
        <v>1133</v>
      </c>
    </row>
    <row r="153" spans="2:3" ht="13.2" x14ac:dyDescent="0.25">
      <c r="B153" s="896" t="s">
        <v>308</v>
      </c>
      <c r="C153" s="900" t="s">
        <v>1133</v>
      </c>
    </row>
    <row r="154" spans="2:3" ht="13.2" x14ac:dyDescent="0.25">
      <c r="B154" s="926" t="s">
        <v>1147</v>
      </c>
      <c r="C154" s="900" t="s">
        <v>1133</v>
      </c>
    </row>
    <row r="155" spans="2:3" ht="13.2" x14ac:dyDescent="0.25">
      <c r="B155" s="896" t="s">
        <v>1123</v>
      </c>
      <c r="C155" s="900" t="s">
        <v>1133</v>
      </c>
    </row>
    <row r="156" spans="2:3" ht="13.2" x14ac:dyDescent="0.25">
      <c r="B156" s="896" t="s">
        <v>309</v>
      </c>
      <c r="C156" s="900" t="s">
        <v>1134</v>
      </c>
    </row>
    <row r="157" spans="2:3" ht="13.2" x14ac:dyDescent="0.25">
      <c r="B157" s="896" t="s">
        <v>310</v>
      </c>
      <c r="C157" s="900" t="s">
        <v>1134</v>
      </c>
    </row>
    <row r="158" spans="2:3" ht="13.2" x14ac:dyDescent="0.25">
      <c r="B158" s="896" t="s">
        <v>311</v>
      </c>
      <c r="C158" s="900" t="s">
        <v>1134</v>
      </c>
    </row>
    <row r="159" spans="2:3" ht="13.2" x14ac:dyDescent="0.25">
      <c r="B159" s="896" t="s">
        <v>312</v>
      </c>
      <c r="C159" s="900" t="s">
        <v>1134</v>
      </c>
    </row>
    <row r="160" spans="2:3" ht="13.2" x14ac:dyDescent="0.25">
      <c r="B160" s="896" t="s">
        <v>313</v>
      </c>
      <c r="C160" s="900" t="s">
        <v>1134</v>
      </c>
    </row>
    <row r="161" spans="2:3" ht="13.2" x14ac:dyDescent="0.25">
      <c r="B161" s="896" t="s">
        <v>212</v>
      </c>
      <c r="C161" s="900" t="s">
        <v>1134</v>
      </c>
    </row>
    <row r="162" spans="2:3" ht="13.2" x14ac:dyDescent="0.25">
      <c r="B162" s="896" t="s">
        <v>314</v>
      </c>
      <c r="C162" s="900" t="s">
        <v>1134</v>
      </c>
    </row>
    <row r="163" spans="2:3" ht="13.2" x14ac:dyDescent="0.25">
      <c r="B163" s="896" t="s">
        <v>315</v>
      </c>
      <c r="C163" s="900" t="s">
        <v>1134</v>
      </c>
    </row>
    <row r="164" spans="2:3" ht="13.2" x14ac:dyDescent="0.25">
      <c r="B164" s="896" t="s">
        <v>316</v>
      </c>
      <c r="C164" s="900" t="s">
        <v>1134</v>
      </c>
    </row>
    <row r="165" spans="2:3" ht="13.2" x14ac:dyDescent="0.25">
      <c r="B165" s="927" t="s">
        <v>1124</v>
      </c>
      <c r="C165" s="900" t="s">
        <v>1134</v>
      </c>
    </row>
    <row r="166" spans="2:3" ht="13.2" x14ac:dyDescent="0.25">
      <c r="B166" s="896" t="s">
        <v>213</v>
      </c>
      <c r="C166" s="900" t="s">
        <v>1134</v>
      </c>
    </row>
    <row r="167" spans="2:3" ht="13.2" x14ac:dyDescent="0.25">
      <c r="B167" s="896" t="s">
        <v>317</v>
      </c>
      <c r="C167" s="900" t="s">
        <v>1134</v>
      </c>
    </row>
    <row r="168" spans="2:3" ht="13.2" x14ac:dyDescent="0.25">
      <c r="B168" s="896" t="s">
        <v>318</v>
      </c>
      <c r="C168" s="900" t="s">
        <v>1134</v>
      </c>
    </row>
    <row r="169" spans="2:3" ht="13.2" x14ac:dyDescent="0.25">
      <c r="B169" s="896" t="s">
        <v>319</v>
      </c>
      <c r="C169" s="900" t="s">
        <v>1134</v>
      </c>
    </row>
    <row r="170" spans="2:3" ht="13.2" x14ac:dyDescent="0.25">
      <c r="B170" s="896" t="s">
        <v>320</v>
      </c>
      <c r="C170" s="900" t="s">
        <v>1134</v>
      </c>
    </row>
    <row r="171" spans="2:3" ht="13.2" x14ac:dyDescent="0.25">
      <c r="B171" s="896" t="s">
        <v>214</v>
      </c>
      <c r="C171" s="900" t="s">
        <v>1134</v>
      </c>
    </row>
    <row r="172" spans="2:3" ht="13.2" x14ac:dyDescent="0.25">
      <c r="B172" s="896" t="s">
        <v>321</v>
      </c>
      <c r="C172" s="900" t="s">
        <v>1134</v>
      </c>
    </row>
    <row r="173" spans="2:3" ht="13.2" x14ac:dyDescent="0.25">
      <c r="B173" s="896" t="s">
        <v>322</v>
      </c>
      <c r="C173" s="900" t="s">
        <v>1134</v>
      </c>
    </row>
    <row r="174" spans="2:3" ht="13.2" x14ac:dyDescent="0.25">
      <c r="B174" s="896" t="s">
        <v>323</v>
      </c>
      <c r="C174" s="900" t="s">
        <v>1134</v>
      </c>
    </row>
    <row r="175" spans="2:3" ht="13.2" x14ac:dyDescent="0.25">
      <c r="B175" s="896" t="s">
        <v>324</v>
      </c>
      <c r="C175" s="900" t="s">
        <v>1134</v>
      </c>
    </row>
    <row r="176" spans="2:3" ht="13.2" x14ac:dyDescent="0.25">
      <c r="B176" s="927" t="s">
        <v>1125</v>
      </c>
      <c r="C176" s="900" t="s">
        <v>1134</v>
      </c>
    </row>
    <row r="177" spans="2:3" ht="13.2" x14ac:dyDescent="0.25">
      <c r="B177" s="896" t="s">
        <v>215</v>
      </c>
      <c r="C177" s="900" t="s">
        <v>1134</v>
      </c>
    </row>
    <row r="178" spans="2:3" ht="13.2" x14ac:dyDescent="0.25">
      <c r="B178" s="896" t="s">
        <v>1010</v>
      </c>
      <c r="C178" s="900" t="s">
        <v>1134</v>
      </c>
    </row>
    <row r="179" spans="2:3" ht="13.2" x14ac:dyDescent="0.25">
      <c r="B179" s="896" t="s">
        <v>325</v>
      </c>
      <c r="C179" s="900" t="s">
        <v>1134</v>
      </c>
    </row>
    <row r="180" spans="2:3" ht="13.2" x14ac:dyDescent="0.25">
      <c r="B180" s="896" t="s">
        <v>1011</v>
      </c>
      <c r="C180" s="900" t="s">
        <v>1134</v>
      </c>
    </row>
    <row r="181" spans="2:3" ht="13.2" x14ac:dyDescent="0.25">
      <c r="B181" s="927" t="s">
        <v>1126</v>
      </c>
      <c r="C181" s="900" t="s">
        <v>1134</v>
      </c>
    </row>
    <row r="182" spans="2:3" ht="13.2" x14ac:dyDescent="0.25">
      <c r="B182" s="896" t="s">
        <v>1078</v>
      </c>
      <c r="C182" s="900" t="s">
        <v>1134</v>
      </c>
    </row>
    <row r="183" spans="2:3" ht="13.2" x14ac:dyDescent="0.25">
      <c r="B183" s="896" t="s">
        <v>326</v>
      </c>
      <c r="C183" s="900" t="s">
        <v>1135</v>
      </c>
    </row>
    <row r="184" spans="2:3" ht="13.2" x14ac:dyDescent="0.25">
      <c r="B184" s="896" t="s">
        <v>327</v>
      </c>
      <c r="C184" s="900" t="s">
        <v>1135</v>
      </c>
    </row>
    <row r="185" spans="2:3" ht="13.2" x14ac:dyDescent="0.25">
      <c r="B185" s="896" t="s">
        <v>328</v>
      </c>
      <c r="C185" s="900" t="s">
        <v>1135</v>
      </c>
    </row>
    <row r="186" spans="2:3" ht="13.2" x14ac:dyDescent="0.25">
      <c r="B186" s="896" t="s">
        <v>1012</v>
      </c>
      <c r="C186" s="900" t="s">
        <v>1135</v>
      </c>
    </row>
    <row r="187" spans="2:3" ht="13.2" x14ac:dyDescent="0.25">
      <c r="B187" s="896" t="s">
        <v>329</v>
      </c>
      <c r="C187" s="900" t="s">
        <v>1135</v>
      </c>
    </row>
    <row r="188" spans="2:3" ht="13.2" x14ac:dyDescent="0.25">
      <c r="B188" s="896" t="s">
        <v>330</v>
      </c>
      <c r="C188" s="900" t="s">
        <v>1135</v>
      </c>
    </row>
    <row r="189" spans="2:3" ht="13.2" x14ac:dyDescent="0.25">
      <c r="B189" s="896" t="s">
        <v>331</v>
      </c>
      <c r="C189" s="900" t="s">
        <v>1135</v>
      </c>
    </row>
    <row r="190" spans="2:3" ht="13.2" x14ac:dyDescent="0.25">
      <c r="B190" s="896" t="s">
        <v>209</v>
      </c>
      <c r="C190" s="900" t="s">
        <v>1135</v>
      </c>
    </row>
    <row r="191" spans="2:3" ht="13.2" x14ac:dyDescent="0.25">
      <c r="B191" s="896" t="s">
        <v>1013</v>
      </c>
      <c r="C191" s="900" t="s">
        <v>1135</v>
      </c>
    </row>
    <row r="192" spans="2:3" ht="13.2" x14ac:dyDescent="0.25">
      <c r="B192" s="896" t="s">
        <v>1083</v>
      </c>
      <c r="C192" s="900" t="s">
        <v>1135</v>
      </c>
    </row>
    <row r="193" spans="2:3" ht="13.2" x14ac:dyDescent="0.25">
      <c r="B193" s="896" t="s">
        <v>332</v>
      </c>
      <c r="C193" s="899" t="s">
        <v>1135</v>
      </c>
    </row>
    <row r="194" spans="2:3" ht="13.2" x14ac:dyDescent="0.25">
      <c r="B194" s="896" t="s">
        <v>333</v>
      </c>
      <c r="C194" s="899" t="s">
        <v>1135</v>
      </c>
    </row>
    <row r="195" spans="2:3" ht="13.2" x14ac:dyDescent="0.25">
      <c r="B195" s="896" t="s">
        <v>1084</v>
      </c>
      <c r="C195" s="899" t="s">
        <v>1135</v>
      </c>
    </row>
    <row r="196" spans="2:3" ht="13.2" x14ac:dyDescent="0.25">
      <c r="B196" s="896" t="s">
        <v>334</v>
      </c>
      <c r="C196" s="899" t="s">
        <v>1135</v>
      </c>
    </row>
    <row r="197" spans="2:3" ht="13.2" x14ac:dyDescent="0.25">
      <c r="B197" s="896" t="s">
        <v>210</v>
      </c>
      <c r="C197" s="899" t="s">
        <v>1135</v>
      </c>
    </row>
    <row r="198" spans="2:3" ht="13.2" x14ac:dyDescent="0.25">
      <c r="B198" s="896" t="s">
        <v>335</v>
      </c>
      <c r="C198" s="899" t="s">
        <v>1135</v>
      </c>
    </row>
    <row r="199" spans="2:3" ht="13.2" x14ac:dyDescent="0.25">
      <c r="B199" s="896" t="s">
        <v>336</v>
      </c>
      <c r="C199" s="899" t="s">
        <v>1135</v>
      </c>
    </row>
    <row r="200" spans="2:3" ht="13.2" x14ac:dyDescent="0.25">
      <c r="B200" s="896" t="s">
        <v>337</v>
      </c>
      <c r="C200" s="899" t="s">
        <v>1135</v>
      </c>
    </row>
    <row r="201" spans="2:3" ht="13.2" x14ac:dyDescent="0.25">
      <c r="B201" s="926" t="s">
        <v>1148</v>
      </c>
      <c r="C201" s="899" t="s">
        <v>1135</v>
      </c>
    </row>
    <row r="202" spans="2:3" ht="13.2" x14ac:dyDescent="0.25">
      <c r="B202" s="896" t="s">
        <v>211</v>
      </c>
      <c r="C202" s="899" t="s">
        <v>1135</v>
      </c>
    </row>
    <row r="203" spans="2:3" ht="13.2" x14ac:dyDescent="0.25">
      <c r="B203" s="896" t="s">
        <v>1014</v>
      </c>
      <c r="C203" s="899" t="s">
        <v>1136</v>
      </c>
    </row>
    <row r="204" spans="2:3" ht="13.2" x14ac:dyDescent="0.25">
      <c r="B204" s="896" t="s">
        <v>394</v>
      </c>
      <c r="C204" s="899" t="s">
        <v>1136</v>
      </c>
    </row>
    <row r="205" spans="2:3" ht="13.2" x14ac:dyDescent="0.25">
      <c r="B205" s="896" t="s">
        <v>395</v>
      </c>
      <c r="C205" s="899" t="s">
        <v>1136</v>
      </c>
    </row>
    <row r="206" spans="2:3" ht="13.2" x14ac:dyDescent="0.25">
      <c r="B206" s="896" t="s">
        <v>1005</v>
      </c>
      <c r="C206" s="899" t="s">
        <v>1136</v>
      </c>
    </row>
    <row r="207" spans="2:3" ht="13.2" x14ac:dyDescent="0.25">
      <c r="B207" s="896" t="s">
        <v>338</v>
      </c>
      <c r="C207" s="899" t="s">
        <v>1136</v>
      </c>
    </row>
    <row r="208" spans="2:3" ht="13.2" x14ac:dyDescent="0.25">
      <c r="B208" s="896" t="s">
        <v>339</v>
      </c>
      <c r="C208" s="899" t="s">
        <v>1136</v>
      </c>
    </row>
    <row r="209" spans="2:3" ht="13.2" x14ac:dyDescent="0.25">
      <c r="B209" s="896" t="s">
        <v>340</v>
      </c>
      <c r="C209" s="899" t="s">
        <v>1136</v>
      </c>
    </row>
    <row r="210" spans="2:3" ht="13.2" x14ac:dyDescent="0.25">
      <c r="B210" s="896" t="s">
        <v>341</v>
      </c>
      <c r="C210" s="899" t="s">
        <v>1136</v>
      </c>
    </row>
    <row r="211" spans="2:3" ht="13.2" x14ac:dyDescent="0.25">
      <c r="B211" s="896" t="s">
        <v>342</v>
      </c>
      <c r="C211" s="899" t="s">
        <v>1136</v>
      </c>
    </row>
    <row r="212" spans="2:3" ht="13.2" x14ac:dyDescent="0.25">
      <c r="B212" s="896" t="s">
        <v>343</v>
      </c>
      <c r="C212" s="899" t="s">
        <v>1136</v>
      </c>
    </row>
    <row r="213" spans="2:3" ht="13.2" x14ac:dyDescent="0.25">
      <c r="B213" s="896" t="s">
        <v>225</v>
      </c>
      <c r="C213" s="899" t="s">
        <v>1136</v>
      </c>
    </row>
    <row r="214" spans="2:3" ht="13.2" x14ac:dyDescent="0.25">
      <c r="B214" s="896" t="s">
        <v>344</v>
      </c>
      <c r="C214" s="899" t="s">
        <v>1136</v>
      </c>
    </row>
    <row r="215" spans="2:3" ht="13.2" x14ac:dyDescent="0.25">
      <c r="B215" s="896" t="s">
        <v>345</v>
      </c>
      <c r="C215" s="899" t="s">
        <v>1136</v>
      </c>
    </row>
    <row r="216" spans="2:3" ht="13.2" x14ac:dyDescent="0.25">
      <c r="B216" s="896" t="s">
        <v>346</v>
      </c>
      <c r="C216" s="899" t="s">
        <v>1136</v>
      </c>
    </row>
    <row r="217" spans="2:3" ht="13.2" x14ac:dyDescent="0.25">
      <c r="B217" s="896" t="s">
        <v>381</v>
      </c>
      <c r="C217" s="899" t="s">
        <v>1136</v>
      </c>
    </row>
    <row r="218" spans="2:3" ht="13.2" x14ac:dyDescent="0.25">
      <c r="B218" s="896" t="s">
        <v>382</v>
      </c>
      <c r="C218" s="899" t="s">
        <v>1136</v>
      </c>
    </row>
    <row r="219" spans="2:3" ht="13.2" x14ac:dyDescent="0.25">
      <c r="B219" s="896" t="s">
        <v>383</v>
      </c>
      <c r="C219" s="899" t="s">
        <v>1136</v>
      </c>
    </row>
    <row r="220" spans="2:3" ht="13.2" x14ac:dyDescent="0.25">
      <c r="B220" s="896" t="s">
        <v>384</v>
      </c>
      <c r="C220" s="899" t="s">
        <v>1136</v>
      </c>
    </row>
    <row r="221" spans="2:3" ht="13.2" x14ac:dyDescent="0.25">
      <c r="B221" s="896" t="s">
        <v>385</v>
      </c>
      <c r="C221" s="899" t="s">
        <v>1136</v>
      </c>
    </row>
    <row r="222" spans="2:3" ht="13.2" x14ac:dyDescent="0.25">
      <c r="B222" s="896" t="s">
        <v>1079</v>
      </c>
      <c r="C222" s="899" t="s">
        <v>1136</v>
      </c>
    </row>
    <row r="223" spans="2:3" ht="13.2" x14ac:dyDescent="0.25">
      <c r="B223" s="896" t="s">
        <v>386</v>
      </c>
      <c r="C223" s="899" t="s">
        <v>1136</v>
      </c>
    </row>
    <row r="224" spans="2:3" ht="13.2" x14ac:dyDescent="0.25">
      <c r="B224" s="896" t="s">
        <v>387</v>
      </c>
      <c r="C224" s="899" t="s">
        <v>1136</v>
      </c>
    </row>
    <row r="225" spans="2:3" ht="13.2" x14ac:dyDescent="0.25">
      <c r="B225" s="896" t="s">
        <v>388</v>
      </c>
      <c r="C225" s="899" t="s">
        <v>1136</v>
      </c>
    </row>
    <row r="226" spans="2:3" ht="13.2" x14ac:dyDescent="0.25">
      <c r="B226" s="896" t="s">
        <v>389</v>
      </c>
      <c r="C226" s="899" t="s">
        <v>1136</v>
      </c>
    </row>
    <row r="227" spans="2:3" ht="13.2" x14ac:dyDescent="0.25">
      <c r="B227" s="926" t="s">
        <v>1149</v>
      </c>
      <c r="C227" s="899" t="s">
        <v>1136</v>
      </c>
    </row>
    <row r="228" spans="2:3" ht="13.2" x14ac:dyDescent="0.25">
      <c r="B228" s="896" t="s">
        <v>1127</v>
      </c>
      <c r="C228" s="899" t="s">
        <v>1136</v>
      </c>
    </row>
    <row r="229" spans="2:3" ht="13.2" x14ac:dyDescent="0.25">
      <c r="B229" s="896" t="s">
        <v>390</v>
      </c>
      <c r="C229" s="899" t="s">
        <v>1136</v>
      </c>
    </row>
    <row r="230" spans="2:3" ht="13.2" x14ac:dyDescent="0.25">
      <c r="B230" s="896" t="s">
        <v>391</v>
      </c>
      <c r="C230" s="899" t="s">
        <v>1136</v>
      </c>
    </row>
    <row r="231" spans="2:3" ht="13.2" x14ac:dyDescent="0.25">
      <c r="B231" s="896" t="s">
        <v>392</v>
      </c>
      <c r="C231" s="899" t="s">
        <v>1136</v>
      </c>
    </row>
    <row r="232" spans="2:3" ht="13.2" x14ac:dyDescent="0.25">
      <c r="B232" s="896" t="s">
        <v>393</v>
      </c>
      <c r="C232" s="899" t="s">
        <v>1136</v>
      </c>
    </row>
    <row r="233" spans="2:3" ht="13.2" x14ac:dyDescent="0.25">
      <c r="B233" s="896" t="s">
        <v>226</v>
      </c>
      <c r="C233" s="899" t="s">
        <v>1136</v>
      </c>
    </row>
    <row r="234" spans="2:3" ht="13.2" x14ac:dyDescent="0.25">
      <c r="B234" s="896" t="s">
        <v>396</v>
      </c>
      <c r="C234" s="899" t="s">
        <v>1137</v>
      </c>
    </row>
    <row r="235" spans="2:3" ht="13.2" x14ac:dyDescent="0.25">
      <c r="B235" s="896" t="s">
        <v>397</v>
      </c>
      <c r="C235" s="899" t="s">
        <v>1137</v>
      </c>
    </row>
    <row r="236" spans="2:3" ht="13.2" x14ac:dyDescent="0.25">
      <c r="B236" s="896" t="s">
        <v>398</v>
      </c>
      <c r="C236" s="899" t="s">
        <v>1137</v>
      </c>
    </row>
    <row r="237" spans="2:3" ht="13.2" x14ac:dyDescent="0.25">
      <c r="B237" s="896" t="s">
        <v>399</v>
      </c>
      <c r="C237" s="899" t="s">
        <v>1137</v>
      </c>
    </row>
    <row r="238" spans="2:3" ht="13.2" x14ac:dyDescent="0.25">
      <c r="B238" s="896" t="s">
        <v>400</v>
      </c>
      <c r="C238" s="899" t="s">
        <v>1137</v>
      </c>
    </row>
    <row r="239" spans="2:3" ht="13.2" x14ac:dyDescent="0.25">
      <c r="B239" s="896" t="s">
        <v>216</v>
      </c>
      <c r="C239" s="899" t="s">
        <v>1137</v>
      </c>
    </row>
    <row r="240" spans="2:3" ht="13.2" x14ac:dyDescent="0.25">
      <c r="B240" s="896" t="s">
        <v>401</v>
      </c>
      <c r="C240" s="899" t="s">
        <v>1137</v>
      </c>
    </row>
    <row r="241" spans="2:3" ht="13.2" x14ac:dyDescent="0.25">
      <c r="B241" s="896" t="s">
        <v>402</v>
      </c>
      <c r="C241" s="899" t="s">
        <v>1137</v>
      </c>
    </row>
    <row r="242" spans="2:3" ht="13.2" x14ac:dyDescent="0.25">
      <c r="B242" s="896" t="s">
        <v>403</v>
      </c>
      <c r="C242" s="899" t="s">
        <v>1137</v>
      </c>
    </row>
    <row r="243" spans="2:3" ht="13.2" x14ac:dyDescent="0.25">
      <c r="B243" s="896" t="s">
        <v>404</v>
      </c>
      <c r="C243" s="899" t="s">
        <v>1137</v>
      </c>
    </row>
    <row r="244" spans="2:3" ht="13.2" x14ac:dyDescent="0.25">
      <c r="B244" s="896" t="s">
        <v>405</v>
      </c>
      <c r="C244" s="899" t="s">
        <v>1137</v>
      </c>
    </row>
    <row r="245" spans="2:3" ht="13.2" x14ac:dyDescent="0.25">
      <c r="B245" s="896" t="s">
        <v>217</v>
      </c>
      <c r="C245" s="899" t="s">
        <v>1137</v>
      </c>
    </row>
    <row r="246" spans="2:3" ht="13.2" x14ac:dyDescent="0.25">
      <c r="B246" s="896" t="s">
        <v>406</v>
      </c>
      <c r="C246" s="899" t="s">
        <v>1137</v>
      </c>
    </row>
    <row r="247" spans="2:3" ht="13.2" x14ac:dyDescent="0.25">
      <c r="B247" s="896" t="s">
        <v>407</v>
      </c>
      <c r="C247" s="899" t="s">
        <v>1137</v>
      </c>
    </row>
    <row r="248" spans="2:3" ht="13.2" x14ac:dyDescent="0.25">
      <c r="B248" s="896" t="s">
        <v>408</v>
      </c>
      <c r="C248" s="899" t="s">
        <v>1137</v>
      </c>
    </row>
    <row r="249" spans="2:3" ht="13.2" x14ac:dyDescent="0.25">
      <c r="B249" s="896" t="s">
        <v>409</v>
      </c>
      <c r="C249" s="899" t="s">
        <v>1137</v>
      </c>
    </row>
    <row r="250" spans="2:3" ht="13.2" x14ac:dyDescent="0.25">
      <c r="B250" s="896" t="s">
        <v>1128</v>
      </c>
      <c r="C250" s="899" t="s">
        <v>1137</v>
      </c>
    </row>
    <row r="251" spans="2:3" ht="13.2" x14ac:dyDescent="0.25">
      <c r="B251" s="896" t="s">
        <v>218</v>
      </c>
      <c r="C251" s="899" t="s">
        <v>1137</v>
      </c>
    </row>
    <row r="252" spans="2:3" ht="13.2" x14ac:dyDescent="0.25">
      <c r="B252" s="896" t="s">
        <v>410</v>
      </c>
      <c r="C252" s="899" t="s">
        <v>1137</v>
      </c>
    </row>
    <row r="253" spans="2:3" ht="13.2" x14ac:dyDescent="0.25">
      <c r="B253" s="896" t="s">
        <v>411</v>
      </c>
      <c r="C253" s="899" t="s">
        <v>1137</v>
      </c>
    </row>
    <row r="254" spans="2:3" ht="13.2" x14ac:dyDescent="0.25">
      <c r="B254" s="927" t="s">
        <v>1129</v>
      </c>
      <c r="C254" s="899" t="s">
        <v>1137</v>
      </c>
    </row>
    <row r="255" spans="2:3" ht="13.2" x14ac:dyDescent="0.25">
      <c r="B255" s="896" t="s">
        <v>220</v>
      </c>
      <c r="C255" s="899" t="s">
        <v>1137</v>
      </c>
    </row>
    <row r="256" spans="2:3" ht="13.2" x14ac:dyDescent="0.25">
      <c r="B256" s="896" t="s">
        <v>1092</v>
      </c>
      <c r="C256" s="899" t="s">
        <v>1138</v>
      </c>
    </row>
    <row r="257" spans="2:3" ht="13.2" x14ac:dyDescent="0.25">
      <c r="B257" s="896" t="s">
        <v>412</v>
      </c>
      <c r="C257" s="899" t="s">
        <v>1138</v>
      </c>
    </row>
    <row r="258" spans="2:3" ht="13.2" x14ac:dyDescent="0.25">
      <c r="B258" s="896" t="s">
        <v>413</v>
      </c>
      <c r="C258" s="899" t="s">
        <v>1138</v>
      </c>
    </row>
    <row r="259" spans="2:3" ht="13.2" x14ac:dyDescent="0.25">
      <c r="B259" s="896" t="s">
        <v>414</v>
      </c>
      <c r="C259" s="899" t="s">
        <v>1138</v>
      </c>
    </row>
    <row r="260" spans="2:3" ht="13.2" x14ac:dyDescent="0.25">
      <c r="B260" s="896" t="s">
        <v>415</v>
      </c>
      <c r="C260" s="899" t="s">
        <v>1138</v>
      </c>
    </row>
    <row r="261" spans="2:3" ht="13.2" x14ac:dyDescent="0.25">
      <c r="B261" s="896" t="s">
        <v>416</v>
      </c>
      <c r="C261" s="899" t="s">
        <v>1138</v>
      </c>
    </row>
    <row r="262" spans="2:3" ht="13.2" x14ac:dyDescent="0.25">
      <c r="B262" s="896" t="s">
        <v>192</v>
      </c>
      <c r="C262" s="899" t="s">
        <v>1138</v>
      </c>
    </row>
    <row r="263" spans="2:3" ht="13.2" x14ac:dyDescent="0.25">
      <c r="B263" s="896" t="s">
        <v>417</v>
      </c>
      <c r="C263" s="899" t="s">
        <v>1138</v>
      </c>
    </row>
    <row r="264" spans="2:3" ht="13.2" x14ac:dyDescent="0.25">
      <c r="B264" s="896" t="s">
        <v>418</v>
      </c>
      <c r="C264" s="899" t="s">
        <v>1138</v>
      </c>
    </row>
    <row r="265" spans="2:3" ht="13.2" x14ac:dyDescent="0.25">
      <c r="B265" s="896" t="s">
        <v>419</v>
      </c>
      <c r="C265" s="899" t="s">
        <v>1138</v>
      </c>
    </row>
    <row r="266" spans="2:3" ht="13.2" x14ac:dyDescent="0.25">
      <c r="B266" s="896" t="s">
        <v>420</v>
      </c>
      <c r="C266" s="899" t="s">
        <v>1138</v>
      </c>
    </row>
    <row r="267" spans="2:3" ht="13.2" x14ac:dyDescent="0.25">
      <c r="B267" s="896" t="s">
        <v>1015</v>
      </c>
      <c r="C267" s="899" t="s">
        <v>1138</v>
      </c>
    </row>
    <row r="268" spans="2:3" ht="13.2" x14ac:dyDescent="0.25">
      <c r="B268" s="896" t="s">
        <v>1077</v>
      </c>
      <c r="C268" s="899" t="s">
        <v>1138</v>
      </c>
    </row>
    <row r="269" spans="2:3" ht="13.2" x14ac:dyDescent="0.25">
      <c r="B269" s="896" t="s">
        <v>421</v>
      </c>
      <c r="C269" s="899" t="s">
        <v>1138</v>
      </c>
    </row>
    <row r="270" spans="2:3" ht="13.2" x14ac:dyDescent="0.25">
      <c r="B270" s="896" t="s">
        <v>422</v>
      </c>
      <c r="C270" s="899" t="s">
        <v>1138</v>
      </c>
    </row>
    <row r="271" spans="2:3" ht="13.2" x14ac:dyDescent="0.25">
      <c r="B271" s="896" t="s">
        <v>423</v>
      </c>
      <c r="C271" s="899" t="s">
        <v>1138</v>
      </c>
    </row>
    <row r="272" spans="2:3" ht="13.2" x14ac:dyDescent="0.25">
      <c r="B272" s="896" t="s">
        <v>424</v>
      </c>
      <c r="C272" s="899" t="s">
        <v>1138</v>
      </c>
    </row>
    <row r="273" spans="2:3" ht="13.2" x14ac:dyDescent="0.25">
      <c r="B273" s="896" t="s">
        <v>208</v>
      </c>
      <c r="C273" s="899" t="s">
        <v>1138</v>
      </c>
    </row>
    <row r="274" spans="2:3" ht="13.2" x14ac:dyDescent="0.25">
      <c r="B274" s="896" t="s">
        <v>425</v>
      </c>
      <c r="C274" s="899" t="s">
        <v>1138</v>
      </c>
    </row>
    <row r="275" spans="2:3" ht="13.2" x14ac:dyDescent="0.25">
      <c r="B275" s="896" t="s">
        <v>426</v>
      </c>
      <c r="C275" s="899" t="s">
        <v>1138</v>
      </c>
    </row>
    <row r="276" spans="2:3" ht="13.2" x14ac:dyDescent="0.25">
      <c r="B276" s="896" t="s">
        <v>427</v>
      </c>
      <c r="C276" s="899" t="s">
        <v>1138</v>
      </c>
    </row>
    <row r="277" spans="2:3" ht="13.2" x14ac:dyDescent="0.25">
      <c r="B277" s="896" t="s">
        <v>428</v>
      </c>
      <c r="C277" s="899" t="s">
        <v>1138</v>
      </c>
    </row>
    <row r="278" spans="2:3" ht="13.2" x14ac:dyDescent="0.25">
      <c r="B278" s="896" t="s">
        <v>429</v>
      </c>
      <c r="C278" s="899" t="s">
        <v>1138</v>
      </c>
    </row>
    <row r="279" spans="2:3" ht="13.2" x14ac:dyDescent="0.25">
      <c r="B279" s="896" t="s">
        <v>430</v>
      </c>
      <c r="C279" s="899" t="s">
        <v>1138</v>
      </c>
    </row>
    <row r="280" spans="2:3" ht="13.2" x14ac:dyDescent="0.25">
      <c r="B280" s="896" t="s">
        <v>431</v>
      </c>
      <c r="C280" s="899" t="s">
        <v>1138</v>
      </c>
    </row>
    <row r="281" spans="2:3" ht="13.2" x14ac:dyDescent="0.25">
      <c r="B281" s="896" t="s">
        <v>219</v>
      </c>
      <c r="C281" s="899" t="s">
        <v>1138</v>
      </c>
    </row>
    <row r="282" spans="2:3" ht="13.2" x14ac:dyDescent="0.25">
      <c r="B282" s="896" t="s">
        <v>432</v>
      </c>
      <c r="C282" s="899" t="s">
        <v>1138</v>
      </c>
    </row>
    <row r="283" spans="2:3" ht="13.2" x14ac:dyDescent="0.25">
      <c r="B283" s="896" t="s">
        <v>433</v>
      </c>
      <c r="C283" s="899" t="s">
        <v>1138</v>
      </c>
    </row>
    <row r="284" spans="2:3" ht="13.2" x14ac:dyDescent="0.25">
      <c r="B284" s="896" t="s">
        <v>434</v>
      </c>
      <c r="C284" s="899" t="s">
        <v>1138</v>
      </c>
    </row>
    <row r="285" spans="2:3" ht="13.2" x14ac:dyDescent="0.25">
      <c r="B285" s="896" t="s">
        <v>224</v>
      </c>
      <c r="C285" s="899" t="s">
        <v>1138</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85" sqref="C85"/>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1063</v>
      </c>
      <c r="B1" s="818"/>
      <c r="C1" s="817" t="s">
        <v>1062</v>
      </c>
      <c r="E1" s="816" t="s">
        <v>1061</v>
      </c>
    </row>
    <row r="2" spans="1:5" x14ac:dyDescent="0.2">
      <c r="A2" s="806" t="s">
        <v>1466</v>
      </c>
      <c r="B2" s="814" t="s">
        <v>838</v>
      </c>
      <c r="C2" s="812" t="s">
        <v>1477</v>
      </c>
      <c r="E2" s="815"/>
    </row>
    <row r="3" spans="1:5" x14ac:dyDescent="0.2">
      <c r="A3" s="806" t="s">
        <v>1467</v>
      </c>
      <c r="B3" s="811">
        <v>1.1000000000000001</v>
      </c>
      <c r="C3" s="810" t="s">
        <v>1478</v>
      </c>
      <c r="D3" s="806" t="str">
        <f t="shared" ref="D3:D12" si="0">CONCATENATE(B3, " - ", C3)</f>
        <v>1.1 - Chef Operations Office (administration)</v>
      </c>
      <c r="E3" s="809" t="s">
        <v>1545</v>
      </c>
    </row>
    <row r="4" spans="1:5" x14ac:dyDescent="0.2">
      <c r="A4" s="806" t="s">
        <v>1468</v>
      </c>
      <c r="B4" s="811">
        <v>1.2</v>
      </c>
      <c r="C4" s="810" t="s">
        <v>1479</v>
      </c>
      <c r="D4" s="806" t="str">
        <f t="shared" si="0"/>
        <v>1.2 - Legislative support</v>
      </c>
      <c r="E4" s="809" t="s">
        <v>1546</v>
      </c>
    </row>
    <row r="5" spans="1:5" x14ac:dyDescent="0.2">
      <c r="A5" s="806" t="s">
        <v>1469</v>
      </c>
      <c r="B5" s="811">
        <v>1.3</v>
      </c>
      <c r="C5" s="810" t="s">
        <v>1165</v>
      </c>
      <c r="D5" s="806" t="str">
        <f t="shared" si="0"/>
        <v>1.3 - Legal Services</v>
      </c>
      <c r="E5" s="809" t="s">
        <v>1547</v>
      </c>
    </row>
    <row r="6" spans="1:5" x14ac:dyDescent="0.2">
      <c r="A6" s="806" t="s">
        <v>1470</v>
      </c>
      <c r="B6" s="811">
        <v>1.4</v>
      </c>
      <c r="C6" s="810" t="s">
        <v>1480</v>
      </c>
      <c r="D6" s="806" t="str">
        <f t="shared" si="0"/>
        <v>1.4 - IDP</v>
      </c>
      <c r="E6" s="809" t="s">
        <v>1548</v>
      </c>
    </row>
    <row r="7" spans="1:5" x14ac:dyDescent="0.2">
      <c r="A7" s="806" t="s">
        <v>1471</v>
      </c>
      <c r="B7" s="811">
        <v>1.5</v>
      </c>
      <c r="C7" s="810" t="s">
        <v>1374</v>
      </c>
      <c r="D7" s="806" t="str">
        <f t="shared" si="0"/>
        <v>1.5 - Communications and Marketing</v>
      </c>
      <c r="E7" s="809" t="s">
        <v>1549</v>
      </c>
    </row>
    <row r="8" spans="1:5" x14ac:dyDescent="0.2">
      <c r="A8" s="806" t="s">
        <v>1472</v>
      </c>
      <c r="B8" s="811">
        <v>1.6</v>
      </c>
      <c r="C8" s="810" t="s">
        <v>1215</v>
      </c>
      <c r="D8" s="806" t="str">
        <f t="shared" si="0"/>
        <v>1.6 - Project Management Unit</v>
      </c>
      <c r="E8" s="809" t="s">
        <v>1550</v>
      </c>
    </row>
    <row r="9" spans="1:5" x14ac:dyDescent="0.2">
      <c r="A9" s="806" t="s">
        <v>1473</v>
      </c>
      <c r="B9" s="811">
        <v>1.7</v>
      </c>
      <c r="C9" s="810" t="s">
        <v>1481</v>
      </c>
      <c r="D9" s="806" t="str">
        <f t="shared" si="0"/>
        <v>1.7 - Performance Management</v>
      </c>
      <c r="E9" s="809" t="s">
        <v>1551</v>
      </c>
    </row>
    <row r="10" spans="1:5" x14ac:dyDescent="0.2">
      <c r="A10" s="806" t="s">
        <v>1474</v>
      </c>
      <c r="B10" s="811">
        <v>1.8</v>
      </c>
      <c r="C10" s="810" t="s">
        <v>1482</v>
      </c>
      <c r="D10" s="806" t="str">
        <f t="shared" si="0"/>
        <v>1.8 - Cluster Offices</v>
      </c>
      <c r="E10" s="809" t="s">
        <v>1552</v>
      </c>
    </row>
    <row r="11" spans="1:5" x14ac:dyDescent="0.2">
      <c r="A11" s="806" t="s">
        <v>1475</v>
      </c>
      <c r="B11" s="811">
        <v>1.9</v>
      </c>
      <c r="C11" s="810" t="s">
        <v>1483</v>
      </c>
      <c r="D11" s="806" t="str">
        <f t="shared" si="0"/>
        <v>1.9 - Executive Support</v>
      </c>
      <c r="E11" s="809" t="s">
        <v>1553</v>
      </c>
    </row>
    <row r="12" spans="1:5" x14ac:dyDescent="0.2">
      <c r="A12" s="806" t="s">
        <v>1476</v>
      </c>
      <c r="B12" s="811" t="s">
        <v>1060</v>
      </c>
      <c r="C12" s="810"/>
      <c r="D12" s="806" t="str">
        <f t="shared" si="0"/>
        <v xml:space="preserve">1.10 - </v>
      </c>
      <c r="E12" s="809"/>
    </row>
    <row r="13" spans="1:5" x14ac:dyDescent="0.2">
      <c r="A13" s="806" t="str">
        <f>B123&amp;" - "&amp;C123</f>
        <v xml:space="preserve">Vote 12 - </v>
      </c>
      <c r="B13" s="814" t="s">
        <v>837</v>
      </c>
      <c r="C13" s="812" t="s">
        <v>1484</v>
      </c>
      <c r="E13" s="815"/>
    </row>
    <row r="14" spans="1:5" x14ac:dyDescent="0.2">
      <c r="A14" s="806" t="str">
        <f>B134&amp;" - "&amp;C134</f>
        <v xml:space="preserve">Vote 13 - </v>
      </c>
      <c r="B14" s="811">
        <v>2.1</v>
      </c>
      <c r="C14" s="810" t="s">
        <v>1370</v>
      </c>
      <c r="D14" s="806" t="str">
        <f t="shared" ref="D14:D23" si="1">CONCATENATE(B14, " - ", C14)</f>
        <v>2.1 - COUNCIL</v>
      </c>
      <c r="E14" s="809" t="s">
        <v>1554</v>
      </c>
    </row>
    <row r="15" spans="1:5" x14ac:dyDescent="0.2">
      <c r="A15" s="806" t="str">
        <f>B145&amp;" - "&amp;C145</f>
        <v>Vote 14 - [NAME OF VOTE 14]</v>
      </c>
      <c r="B15" s="811">
        <v>2.2000000000000002</v>
      </c>
      <c r="C15" s="810" t="s">
        <v>1485</v>
      </c>
      <c r="D15" s="806" t="str">
        <f t="shared" si="1"/>
        <v>2.2 - Municipal Manager</v>
      </c>
      <c r="E15" s="809" t="s">
        <v>1555</v>
      </c>
    </row>
    <row r="16" spans="1:5" x14ac:dyDescent="0.2">
      <c r="A16" s="806" t="str">
        <f>B156&amp;" - "&amp;C156</f>
        <v>Vote 15 - [NAME OF VOTE 15]</v>
      </c>
      <c r="B16" s="811">
        <v>2.2999999999999998</v>
      </c>
      <c r="C16" s="810" t="s">
        <v>1167</v>
      </c>
      <c r="D16" s="806" t="str">
        <f t="shared" si="1"/>
        <v>2.3 - Risk Management</v>
      </c>
      <c r="E16" s="809" t="s">
        <v>1556</v>
      </c>
    </row>
    <row r="17" spans="1:5" x14ac:dyDescent="0.2">
      <c r="B17" s="811">
        <v>2.4</v>
      </c>
      <c r="C17" s="810" t="s">
        <v>1486</v>
      </c>
      <c r="D17" s="806" t="str">
        <f t="shared" si="1"/>
        <v>2.4 - Internal Audit</v>
      </c>
      <c r="E17" s="809" t="s">
        <v>1557</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1487</v>
      </c>
      <c r="E24" s="809"/>
    </row>
    <row r="25" spans="1:5" x14ac:dyDescent="0.2">
      <c r="B25" s="811">
        <v>3.1</v>
      </c>
      <c r="C25" s="810" t="s">
        <v>1488</v>
      </c>
      <c r="D25" s="806" t="str">
        <f t="shared" ref="D25:D34" si="2">CONCATENATE(B25, " - ", C25)</f>
        <v>3.1 - Water and sanitation admin</v>
      </c>
      <c r="E25" s="809" t="s">
        <v>1558</v>
      </c>
    </row>
    <row r="26" spans="1:5" x14ac:dyDescent="0.2">
      <c r="B26" s="811">
        <v>3.2</v>
      </c>
      <c r="C26" s="810" t="s">
        <v>1489</v>
      </c>
      <c r="D26" s="806" t="str">
        <f t="shared" si="2"/>
        <v>3.2 - Reticulation, Distribution and Maitenance, Water Demand and Coservation</v>
      </c>
      <c r="E26" s="809" t="s">
        <v>1559</v>
      </c>
    </row>
    <row r="27" spans="1:5" x14ac:dyDescent="0.2">
      <c r="B27" s="811">
        <v>3.3</v>
      </c>
      <c r="C27" s="810" t="s">
        <v>1490</v>
      </c>
      <c r="D27" s="806" t="str">
        <f t="shared" si="2"/>
        <v>3.3 - Operations, Water and Waste Water, Quality Management and Laboratory Services</v>
      </c>
      <c r="E27" s="809" t="s">
        <v>1560</v>
      </c>
    </row>
    <row r="28" spans="1:5" x14ac:dyDescent="0.2">
      <c r="B28" s="811">
        <v>3.4</v>
      </c>
      <c r="C28" s="810" t="s">
        <v>1491</v>
      </c>
      <c r="D28" s="806" t="str">
        <f t="shared" si="2"/>
        <v>3.4 - Quality Monitoring Services</v>
      </c>
      <c r="E28" s="809" t="s">
        <v>1561</v>
      </c>
    </row>
    <row r="29" spans="1:5" x14ac:dyDescent="0.2">
      <c r="B29" s="811">
        <v>3.5</v>
      </c>
      <c r="C29" s="810" t="s">
        <v>1492</v>
      </c>
      <c r="D29" s="806" t="str">
        <f t="shared" si="2"/>
        <v>3.5 - Infrastructure Development, Planning and Reticulation Design</v>
      </c>
      <c r="E29" s="809" t="s">
        <v>1562</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1493</v>
      </c>
      <c r="E35" s="809"/>
    </row>
    <row r="36" spans="2:5" x14ac:dyDescent="0.2">
      <c r="B36" s="811">
        <v>4.0999999999999996</v>
      </c>
      <c r="C36" s="810" t="s">
        <v>1494</v>
      </c>
      <c r="D36" s="806" t="str">
        <f t="shared" ref="D36:D45" si="3">CONCATENATE(B36, " - ", C36)</f>
        <v>4.1 - Energy Services Admin</v>
      </c>
      <c r="E36" s="809" t="s">
        <v>1563</v>
      </c>
    </row>
    <row r="37" spans="2:5" x14ac:dyDescent="0.2">
      <c r="B37" s="811">
        <v>4.2</v>
      </c>
      <c r="C37" s="810" t="s">
        <v>1495</v>
      </c>
      <c r="D37" s="806" t="str">
        <f t="shared" si="3"/>
        <v>4.2 - Energy Operation and Maintenance Admininstration</v>
      </c>
      <c r="E37" s="809" t="s">
        <v>1564</v>
      </c>
    </row>
    <row r="38" spans="2:5" x14ac:dyDescent="0.2">
      <c r="B38" s="811">
        <v>4.3</v>
      </c>
      <c r="C38" s="810" t="s">
        <v>1496</v>
      </c>
      <c r="D38" s="806" t="str">
        <f t="shared" si="3"/>
        <v>4.3 - Energy Services: 66KV Operations, Maitenance: Scada and Protection</v>
      </c>
      <c r="E38" s="809" t="s">
        <v>1565</v>
      </c>
    </row>
    <row r="39" spans="2:5" x14ac:dyDescent="0.2">
      <c r="B39" s="811">
        <v>4.4000000000000004</v>
      </c>
      <c r="C39" s="810" t="s">
        <v>1497</v>
      </c>
      <c r="D39" s="806" t="str">
        <f t="shared" si="3"/>
        <v>4.4 - Energy Services: 11KV Operations, Maitenance and Construction</v>
      </c>
      <c r="E39" s="809" t="s">
        <v>1566</v>
      </c>
    </row>
    <row r="40" spans="2:5" x14ac:dyDescent="0.2">
      <c r="B40" s="811">
        <v>4.5</v>
      </c>
      <c r="C40" s="810" t="s">
        <v>1498</v>
      </c>
      <c r="D40" s="806" t="str">
        <f t="shared" si="3"/>
        <v>4.5 - Energy Services: Planning and development</v>
      </c>
      <c r="E40" s="809" t="s">
        <v>1567</v>
      </c>
    </row>
    <row r="41" spans="2:5" x14ac:dyDescent="0.2">
      <c r="B41" s="811">
        <v>4.5999999999999996</v>
      </c>
      <c r="C41" s="810"/>
      <c r="D41" s="806" t="str">
        <f t="shared" si="3"/>
        <v xml:space="preserve">4.6 - </v>
      </c>
      <c r="E41" s="809" t="s">
        <v>1568</v>
      </c>
    </row>
    <row r="42" spans="2:5" x14ac:dyDescent="0.2">
      <c r="B42" s="811">
        <v>4.7</v>
      </c>
      <c r="C42" s="810"/>
      <c r="D42" s="806" t="str">
        <f t="shared" si="3"/>
        <v xml:space="preserve">4.7 - </v>
      </c>
      <c r="E42" s="809" t="s">
        <v>1569</v>
      </c>
    </row>
    <row r="43" spans="2:5" x14ac:dyDescent="0.2">
      <c r="B43" s="811">
        <v>4.8</v>
      </c>
      <c r="C43" s="810"/>
      <c r="D43" s="806" t="str">
        <f t="shared" si="3"/>
        <v xml:space="preserve">4.8 - </v>
      </c>
      <c r="E43" s="809" t="s">
        <v>1572</v>
      </c>
    </row>
    <row r="44" spans="2:5" x14ac:dyDescent="0.2">
      <c r="B44" s="811">
        <v>4.9000000000000004</v>
      </c>
      <c r="C44" s="810"/>
      <c r="D44" s="806" t="str">
        <f t="shared" si="3"/>
        <v xml:space="preserve">4.9 - </v>
      </c>
      <c r="E44" s="809" t="s">
        <v>1570</v>
      </c>
    </row>
    <row r="45" spans="2:5" x14ac:dyDescent="0.2">
      <c r="B45" s="811" t="s">
        <v>1057</v>
      </c>
      <c r="C45" s="810"/>
      <c r="D45" s="806" t="str">
        <f t="shared" si="3"/>
        <v xml:space="preserve">4.10 - </v>
      </c>
      <c r="E45" s="809" t="s">
        <v>1571</v>
      </c>
    </row>
    <row r="46" spans="2:5" x14ac:dyDescent="0.2">
      <c r="B46" s="814" t="s">
        <v>834</v>
      </c>
      <c r="C46" s="812" t="s">
        <v>1499</v>
      </c>
      <c r="E46" s="809"/>
    </row>
    <row r="47" spans="2:5" x14ac:dyDescent="0.2">
      <c r="B47" s="811">
        <v>5.0999999999999996</v>
      </c>
      <c r="C47" s="810" t="s">
        <v>1500</v>
      </c>
      <c r="D47" s="806" t="str">
        <f t="shared" ref="D47:D56" si="4">CONCATENATE(B47, " - ", C47)</f>
        <v>5.1 - Directorate Community Services</v>
      </c>
      <c r="E47" s="809" t="s">
        <v>1573</v>
      </c>
    </row>
    <row r="48" spans="2:5" x14ac:dyDescent="0.2">
      <c r="B48" s="811">
        <v>5.2</v>
      </c>
      <c r="C48" s="810" t="s">
        <v>793</v>
      </c>
      <c r="D48" s="806" t="str">
        <f t="shared" si="4"/>
        <v>5.2 - Sport and Recreation</v>
      </c>
      <c r="E48" s="809" t="s">
        <v>1574</v>
      </c>
    </row>
    <row r="49" spans="2:5" x14ac:dyDescent="0.2">
      <c r="B49" s="811">
        <v>5.3</v>
      </c>
      <c r="C49" s="810" t="s">
        <v>1501</v>
      </c>
      <c r="D49" s="806" t="str">
        <f t="shared" si="4"/>
        <v>5.3 - Sport and Facilities Maintenance</v>
      </c>
      <c r="E49" s="809" t="s">
        <v>1575</v>
      </c>
    </row>
    <row r="50" spans="2:5" x14ac:dyDescent="0.2">
      <c r="B50" s="811">
        <v>5.4</v>
      </c>
      <c r="C50" s="810" t="s">
        <v>1502</v>
      </c>
      <c r="D50" s="806" t="str">
        <f t="shared" si="4"/>
        <v>5.4 - Swimming Pools</v>
      </c>
      <c r="E50" s="809" t="s">
        <v>1576</v>
      </c>
    </row>
    <row r="51" spans="2:5" x14ac:dyDescent="0.2">
      <c r="B51" s="811">
        <v>5.5</v>
      </c>
      <c r="C51" s="810" t="s">
        <v>1186</v>
      </c>
      <c r="D51" s="806" t="str">
        <f t="shared" si="4"/>
        <v>5.5 - Museums and Art Galleries</v>
      </c>
      <c r="E51" s="809" t="s">
        <v>1577</v>
      </c>
    </row>
    <row r="52" spans="2:5" x14ac:dyDescent="0.2">
      <c r="B52" s="811">
        <v>5.6</v>
      </c>
      <c r="C52" s="810" t="s">
        <v>171</v>
      </c>
      <c r="D52" s="806" t="str">
        <f t="shared" si="4"/>
        <v>5.6 - Libraries and Archives</v>
      </c>
      <c r="E52" s="809" t="s">
        <v>1578</v>
      </c>
    </row>
    <row r="53" spans="2:5" x14ac:dyDescent="0.2">
      <c r="B53" s="811">
        <v>5.7</v>
      </c>
      <c r="C53" s="810" t="s">
        <v>1503</v>
      </c>
      <c r="D53" s="806" t="str">
        <f t="shared" si="4"/>
        <v>5.7 - Culture Services</v>
      </c>
      <c r="E53" s="809" t="s">
        <v>1579</v>
      </c>
    </row>
    <row r="54" spans="2:5" x14ac:dyDescent="0.2">
      <c r="B54" s="811">
        <v>5.8</v>
      </c>
      <c r="C54" s="810" t="s">
        <v>1504</v>
      </c>
      <c r="D54" s="806" t="str">
        <f t="shared" si="4"/>
        <v>5.8 - Cemetaries</v>
      </c>
      <c r="E54" s="809" t="s">
        <v>1580</v>
      </c>
    </row>
    <row r="55" spans="2:5" x14ac:dyDescent="0.2">
      <c r="B55" s="811">
        <v>5.9</v>
      </c>
      <c r="C55" s="810" t="s">
        <v>1505</v>
      </c>
      <c r="D55" s="806" t="str">
        <f t="shared" si="4"/>
        <v>5.9 - Waste Management</v>
      </c>
      <c r="E55" s="809" t="s">
        <v>1376</v>
      </c>
    </row>
    <row r="56" spans="2:5" x14ac:dyDescent="0.2">
      <c r="B56" s="811" t="s">
        <v>1056</v>
      </c>
      <c r="C56" s="810" t="s">
        <v>1506</v>
      </c>
      <c r="D56" s="806" t="str">
        <f t="shared" si="4"/>
        <v>5.10 - Other Community Services</v>
      </c>
      <c r="E56" s="809" t="s">
        <v>1377</v>
      </c>
    </row>
    <row r="57" spans="2:5" x14ac:dyDescent="0.2">
      <c r="B57" s="814" t="s">
        <v>833</v>
      </c>
      <c r="C57" s="812" t="s">
        <v>1507</v>
      </c>
      <c r="E57" s="809"/>
    </row>
    <row r="58" spans="2:5" x14ac:dyDescent="0.2">
      <c r="B58" s="811">
        <v>6.1</v>
      </c>
      <c r="C58" s="810" t="s">
        <v>1168</v>
      </c>
      <c r="D58" s="806" t="str">
        <f t="shared" ref="D58:D67" si="5">CONCATENATE(B58, " - ", C58)</f>
        <v>6.1 - Security Services</v>
      </c>
      <c r="E58" s="809" t="s">
        <v>1581</v>
      </c>
    </row>
    <row r="59" spans="2:5" x14ac:dyDescent="0.2">
      <c r="B59" s="811">
        <v>6.2</v>
      </c>
      <c r="C59" s="810" t="s">
        <v>1508</v>
      </c>
      <c r="D59" s="806" t="str">
        <f t="shared" si="5"/>
        <v>6.2 - Fire and Emergency Services</v>
      </c>
      <c r="E59" s="809" t="s">
        <v>1582</v>
      </c>
    </row>
    <row r="60" spans="2:5" x14ac:dyDescent="0.2">
      <c r="B60" s="811">
        <v>6.3</v>
      </c>
      <c r="C60" s="810" t="s">
        <v>1509</v>
      </c>
      <c r="D60" s="806" t="str">
        <f t="shared" si="5"/>
        <v>6.3 - Public Safety Administrative</v>
      </c>
      <c r="E60" s="809" t="s">
        <v>1583</v>
      </c>
    </row>
    <row r="61" spans="2:5" x14ac:dyDescent="0.2">
      <c r="B61" s="811">
        <v>6.4</v>
      </c>
      <c r="C61" s="810" t="s">
        <v>1510</v>
      </c>
      <c r="D61" s="806" t="str">
        <f t="shared" si="5"/>
        <v>6.4 - Licensing</v>
      </c>
      <c r="E61" s="809" t="s">
        <v>1584</v>
      </c>
    </row>
    <row r="62" spans="2:5" x14ac:dyDescent="0.2">
      <c r="B62" s="811">
        <v>6.5</v>
      </c>
      <c r="C62" s="810" t="s">
        <v>1511</v>
      </c>
      <c r="D62" s="806" t="str">
        <f t="shared" si="5"/>
        <v>6.5 - Vehicle Licensing and Testing</v>
      </c>
      <c r="E62" s="809" t="s">
        <v>1585</v>
      </c>
    </row>
    <row r="63" spans="2:5" x14ac:dyDescent="0.2">
      <c r="B63" s="811">
        <v>6.6</v>
      </c>
      <c r="C63" s="810" t="s">
        <v>1512</v>
      </c>
      <c r="D63" s="806" t="str">
        <f t="shared" si="5"/>
        <v>6.6 - Traffic</v>
      </c>
      <c r="E63" s="809" t="s">
        <v>1586</v>
      </c>
    </row>
    <row r="64" spans="2:5" x14ac:dyDescent="0.2">
      <c r="B64" s="811">
        <v>6.7</v>
      </c>
      <c r="C64" s="810" t="s">
        <v>1513</v>
      </c>
      <c r="D64" s="806" t="str">
        <f t="shared" si="5"/>
        <v>6.7 - By-Law Enforcement and Security (administration)</v>
      </c>
      <c r="E64" s="809" t="s">
        <v>1587</v>
      </c>
    </row>
    <row r="65" spans="2:5" x14ac:dyDescent="0.2">
      <c r="B65" s="811">
        <v>6.8</v>
      </c>
      <c r="C65" s="810" t="s">
        <v>1180</v>
      </c>
      <c r="D65" s="806" t="str">
        <f t="shared" si="5"/>
        <v>6.8 - Disaster Management</v>
      </c>
      <c r="E65" s="809" t="s">
        <v>1588</v>
      </c>
    </row>
    <row r="66" spans="2:5" x14ac:dyDescent="0.2">
      <c r="B66" s="811">
        <v>6.9</v>
      </c>
      <c r="C66" s="810" t="s">
        <v>1202</v>
      </c>
      <c r="D66" s="806" t="str">
        <f t="shared" si="5"/>
        <v>6.9 - Health Services</v>
      </c>
      <c r="E66" s="809" t="s">
        <v>1589</v>
      </c>
    </row>
    <row r="67" spans="2:5" x14ac:dyDescent="0.2">
      <c r="B67" s="811" t="s">
        <v>1055</v>
      </c>
      <c r="C67" s="810"/>
      <c r="D67" s="806" t="str">
        <f t="shared" si="5"/>
        <v xml:space="preserve">6.10 - </v>
      </c>
      <c r="E67" s="809" t="s">
        <v>1590</v>
      </c>
    </row>
    <row r="68" spans="2:5" x14ac:dyDescent="0.2">
      <c r="B68" s="813" t="s">
        <v>832</v>
      </c>
      <c r="C68" s="812" t="s">
        <v>1371</v>
      </c>
      <c r="E68" s="809"/>
    </row>
    <row r="69" spans="2:5" x14ac:dyDescent="0.2">
      <c r="B69" s="811">
        <v>7.1</v>
      </c>
      <c r="C69" s="810" t="s">
        <v>1514</v>
      </c>
      <c r="D69" s="806" t="str">
        <f t="shared" ref="D69:D78" si="6">CONCATENATE(B69, " - ", C69)</f>
        <v>7.1 - Corporate and Shared Services</v>
      </c>
      <c r="E69" s="809" t="s">
        <v>1591</v>
      </c>
    </row>
    <row r="70" spans="2:5" x14ac:dyDescent="0.2">
      <c r="B70" s="811">
        <v>7.2</v>
      </c>
      <c r="C70" s="810" t="s">
        <v>1515</v>
      </c>
      <c r="D70" s="806" t="str">
        <f t="shared" si="6"/>
        <v>7.2 - Information Services</v>
      </c>
      <c r="E70" s="809" t="s">
        <v>1592</v>
      </c>
    </row>
    <row r="71" spans="2:5" x14ac:dyDescent="0.2">
      <c r="B71" s="811">
        <v>7.3</v>
      </c>
      <c r="C71" s="810" t="s">
        <v>1516</v>
      </c>
      <c r="D71" s="806" t="str">
        <f t="shared" si="6"/>
        <v>7.3 - Occupational Health and Safety</v>
      </c>
      <c r="E71" s="809" t="s">
        <v>1593</v>
      </c>
    </row>
    <row r="72" spans="2:5" x14ac:dyDescent="0.2">
      <c r="B72" s="811">
        <v>7.4</v>
      </c>
      <c r="C72" s="810" t="s">
        <v>1164</v>
      </c>
      <c r="D72" s="806" t="str">
        <f t="shared" si="6"/>
        <v>7.4 - Fleet Management</v>
      </c>
      <c r="E72" s="809" t="s">
        <v>1594</v>
      </c>
    </row>
    <row r="73" spans="2:5" x14ac:dyDescent="0.2">
      <c r="B73" s="811">
        <v>7.5</v>
      </c>
      <c r="C73" s="810" t="s">
        <v>1517</v>
      </c>
      <c r="D73" s="806" t="str">
        <f t="shared" si="6"/>
        <v>7.5 - Human Resources Management</v>
      </c>
      <c r="E73" s="809" t="s">
        <v>1595</v>
      </c>
    </row>
    <row r="74" spans="2:5" x14ac:dyDescent="0.2">
      <c r="B74" s="811">
        <v>7.6</v>
      </c>
      <c r="C74" s="810" t="s">
        <v>1518</v>
      </c>
      <c r="D74" s="806" t="str">
        <f t="shared" si="6"/>
        <v>7.6 - Human Resources Admin</v>
      </c>
      <c r="E74" s="809" t="s">
        <v>1596</v>
      </c>
    </row>
    <row r="75" spans="2:5" x14ac:dyDescent="0.2">
      <c r="B75" s="811">
        <v>7.7</v>
      </c>
      <c r="C75" s="810" t="s">
        <v>1519</v>
      </c>
      <c r="D75" s="806" t="str">
        <f t="shared" si="6"/>
        <v>7.7 - Human Resources Development</v>
      </c>
      <c r="E75" s="809" t="s">
        <v>1597</v>
      </c>
    </row>
    <row r="76" spans="2:5" x14ac:dyDescent="0.2">
      <c r="B76" s="811">
        <v>7.8</v>
      </c>
      <c r="C76" s="810"/>
      <c r="D76" s="806" t="str">
        <f t="shared" si="6"/>
        <v xml:space="preserve">7.8 - </v>
      </c>
      <c r="E76" s="809" t="s">
        <v>1598</v>
      </c>
    </row>
    <row r="77" spans="2:5" x14ac:dyDescent="0.2">
      <c r="B77" s="811">
        <v>7.9</v>
      </c>
      <c r="C77" s="810"/>
      <c r="D77" s="806" t="str">
        <f t="shared" si="6"/>
        <v xml:space="preserve">7.9 - </v>
      </c>
      <c r="E77" s="809" t="s">
        <v>1599</v>
      </c>
    </row>
    <row r="78" spans="2:5" x14ac:dyDescent="0.2">
      <c r="B78" s="811" t="s">
        <v>1054</v>
      </c>
      <c r="C78" s="810"/>
      <c r="D78" s="806" t="str">
        <f t="shared" si="6"/>
        <v xml:space="preserve">7.10 - </v>
      </c>
      <c r="E78" s="809" t="s">
        <v>1600</v>
      </c>
    </row>
    <row r="79" spans="2:5" x14ac:dyDescent="0.2">
      <c r="B79" s="813" t="s">
        <v>831</v>
      </c>
      <c r="C79" s="812" t="s">
        <v>1372</v>
      </c>
      <c r="E79" s="809"/>
    </row>
    <row r="80" spans="2:5" x14ac:dyDescent="0.2">
      <c r="B80" s="811">
        <v>8.1</v>
      </c>
      <c r="C80" s="810" t="s">
        <v>1520</v>
      </c>
      <c r="D80" s="806" t="str">
        <f t="shared" ref="D80:D89" si="7">CONCATENATE(B80, " - ", C80)</f>
        <v>8.1 - Directorate Planning and Development</v>
      </c>
      <c r="E80" s="809" t="s">
        <v>1601</v>
      </c>
    </row>
    <row r="81" spans="2:5" x14ac:dyDescent="0.2">
      <c r="B81" s="811">
        <v>8.1999999999999993</v>
      </c>
      <c r="C81" s="810" t="s">
        <v>170</v>
      </c>
      <c r="D81" s="806" t="str">
        <f t="shared" si="7"/>
        <v>8.2 - Property Services</v>
      </c>
      <c r="E81" s="809" t="s">
        <v>1602</v>
      </c>
    </row>
    <row r="82" spans="2:5" x14ac:dyDescent="0.2">
      <c r="B82" s="811">
        <v>8.3000000000000007</v>
      </c>
      <c r="C82" s="810" t="s">
        <v>1521</v>
      </c>
      <c r="D82" s="806" t="str">
        <f t="shared" si="7"/>
        <v>8.3 - City and Regional Planning</v>
      </c>
      <c r="E82" s="809" t="s">
        <v>1603</v>
      </c>
    </row>
    <row r="83" spans="2:5" x14ac:dyDescent="0.2">
      <c r="B83" s="811">
        <v>8.4</v>
      </c>
      <c r="C83" s="810" t="s">
        <v>1522</v>
      </c>
      <c r="D83" s="806" t="str">
        <f t="shared" si="7"/>
        <v>8.4 - Corporate Geo Information</v>
      </c>
      <c r="E83" s="809" t="s">
        <v>1604</v>
      </c>
    </row>
    <row r="84" spans="2:5" x14ac:dyDescent="0.2">
      <c r="B84" s="811">
        <v>8.5</v>
      </c>
      <c r="C84" s="810" t="s">
        <v>1523</v>
      </c>
      <c r="D84" s="806" t="str">
        <f t="shared" si="7"/>
        <v>8.5 - Building Inspectorate</v>
      </c>
      <c r="E84" s="809" t="s">
        <v>1605</v>
      </c>
    </row>
    <row r="85" spans="2:5" x14ac:dyDescent="0.2">
      <c r="B85" s="811">
        <v>8.6</v>
      </c>
      <c r="C85" s="810" t="s">
        <v>1524</v>
      </c>
      <c r="D85" s="806" t="str">
        <f t="shared" si="7"/>
        <v>8.6 - Economic Development and Tourism</v>
      </c>
      <c r="E85" s="809" t="s">
        <v>1606</v>
      </c>
    </row>
    <row r="86" spans="2:5" x14ac:dyDescent="0.2">
      <c r="B86" s="811">
        <v>8.6999999999999993</v>
      </c>
      <c r="C86" s="810" t="s">
        <v>1525</v>
      </c>
      <c r="D86" s="806" t="str">
        <f t="shared" si="7"/>
        <v>8.7 - Local Economic Development</v>
      </c>
      <c r="E86" s="809" t="s">
        <v>1607</v>
      </c>
    </row>
    <row r="87" spans="2:5" x14ac:dyDescent="0.2">
      <c r="B87" s="811">
        <v>8.8000000000000007</v>
      </c>
      <c r="C87" s="810" t="s">
        <v>1526</v>
      </c>
      <c r="D87" s="806" t="str">
        <f t="shared" si="7"/>
        <v>8.8 - Investment Promotion</v>
      </c>
      <c r="E87" s="809" t="s">
        <v>1608</v>
      </c>
    </row>
    <row r="88" spans="2:5" x14ac:dyDescent="0.2">
      <c r="B88" s="811">
        <v>8.9</v>
      </c>
      <c r="C88" s="810" t="s">
        <v>1527</v>
      </c>
      <c r="D88" s="806" t="str">
        <f t="shared" si="7"/>
        <v>8.9 - LED (Economic Planning)</v>
      </c>
      <c r="E88" s="809" t="s">
        <v>1609</v>
      </c>
    </row>
    <row r="89" spans="2:5" x14ac:dyDescent="0.2">
      <c r="B89" s="811" t="s">
        <v>1053</v>
      </c>
      <c r="C89" s="810" t="s">
        <v>1528</v>
      </c>
      <c r="D89" s="806" t="str">
        <f t="shared" si="7"/>
        <v>8.10 - Other Planning and Economic Development</v>
      </c>
      <c r="E89" s="809" t="s">
        <v>1379</v>
      </c>
    </row>
    <row r="90" spans="2:5" x14ac:dyDescent="0.2">
      <c r="B90" s="813" t="s">
        <v>830</v>
      </c>
      <c r="C90" s="812" t="s">
        <v>1373</v>
      </c>
      <c r="E90" s="809"/>
    </row>
    <row r="91" spans="2:5" x14ac:dyDescent="0.2">
      <c r="B91" s="811">
        <v>9.1</v>
      </c>
      <c r="C91" s="810" t="s">
        <v>1529</v>
      </c>
      <c r="D91" s="806" t="str">
        <f t="shared" ref="D91:D100" si="8">CONCATENATE(B91, " - ", C91)</f>
        <v>9.1 - Budget and Treasury Office (Administration)</v>
      </c>
      <c r="E91" s="809" t="s">
        <v>1611</v>
      </c>
    </row>
    <row r="92" spans="2:5" x14ac:dyDescent="0.2">
      <c r="B92" s="811">
        <v>9.1999999999999993</v>
      </c>
      <c r="C92" s="810" t="s">
        <v>1530</v>
      </c>
      <c r="D92" s="806" t="str">
        <f t="shared" si="8"/>
        <v>9.2 - Expenditure</v>
      </c>
      <c r="E92" s="809" t="s">
        <v>1610</v>
      </c>
    </row>
    <row r="93" spans="2:5" x14ac:dyDescent="0.2">
      <c r="B93" s="811">
        <v>9.3000000000000007</v>
      </c>
      <c r="C93" s="810" t="s">
        <v>1531</v>
      </c>
      <c r="D93" s="806" t="str">
        <f t="shared" si="8"/>
        <v>9.3 - Revenue Management and Customer Care</v>
      </c>
      <c r="E93" s="809" t="s">
        <v>1612</v>
      </c>
    </row>
    <row r="94" spans="2:5" x14ac:dyDescent="0.2">
      <c r="B94" s="811">
        <v>9.4</v>
      </c>
      <c r="C94" s="810" t="s">
        <v>1378</v>
      </c>
      <c r="D94" s="806" t="str">
        <f t="shared" si="8"/>
        <v>9.4 - Supply Chain Management</v>
      </c>
      <c r="E94" s="809" t="s">
        <v>1613</v>
      </c>
    </row>
    <row r="95" spans="2:5" x14ac:dyDescent="0.2">
      <c r="B95" s="811">
        <v>9.5</v>
      </c>
      <c r="C95" s="810" t="s">
        <v>1161</v>
      </c>
      <c r="D95" s="806" t="str">
        <f t="shared" si="8"/>
        <v>9.5 - Asset Management</v>
      </c>
      <c r="E95" s="809" t="s">
        <v>1614</v>
      </c>
    </row>
    <row r="96" spans="2:5" x14ac:dyDescent="0.2">
      <c r="B96" s="811">
        <v>9.6</v>
      </c>
      <c r="C96" s="810" t="s">
        <v>1532</v>
      </c>
      <c r="D96" s="806" t="str">
        <f t="shared" si="8"/>
        <v>9.6 - Budget and Financial Reporting</v>
      </c>
      <c r="E96" s="809" t="s">
        <v>1615</v>
      </c>
    </row>
    <row r="97" spans="2:5" x14ac:dyDescent="0.2">
      <c r="B97" s="811">
        <v>9.6999999999999993</v>
      </c>
      <c r="C97" s="810" t="s">
        <v>1533</v>
      </c>
      <c r="D97" s="806" t="str">
        <f t="shared" si="8"/>
        <v>9.7 - Business and Financial Planning</v>
      </c>
      <c r="E97" s="809" t="s">
        <v>1616</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1534</v>
      </c>
      <c r="E101" s="809"/>
    </row>
    <row r="102" spans="2:5" x14ac:dyDescent="0.2">
      <c r="B102" s="811">
        <v>10.1</v>
      </c>
      <c r="C102" s="810" t="s">
        <v>1375</v>
      </c>
      <c r="D102" s="806" t="str">
        <f t="shared" ref="D102:D111" si="9">CONCATENATE(B102, " - ", C102)</f>
        <v>10.1 - Roads and streets</v>
      </c>
      <c r="E102" s="809" t="s">
        <v>1617</v>
      </c>
    </row>
    <row r="103" spans="2:5" x14ac:dyDescent="0.2">
      <c r="B103" s="811">
        <v>10.199999999999999</v>
      </c>
      <c r="C103" s="810" t="s">
        <v>1534</v>
      </c>
      <c r="D103" s="806" t="str">
        <f t="shared" si="9"/>
        <v>10.2 - Transport Services</v>
      </c>
      <c r="E103" s="809" t="s">
        <v>1618</v>
      </c>
    </row>
    <row r="104" spans="2:5" x14ac:dyDescent="0.2">
      <c r="B104" s="811">
        <v>10.3</v>
      </c>
      <c r="C104" s="810" t="s">
        <v>1535</v>
      </c>
      <c r="D104" s="806" t="str">
        <f t="shared" si="9"/>
        <v>10.3 - Transport Services (Planning and Operations)</v>
      </c>
      <c r="E104" s="809" t="s">
        <v>1619</v>
      </c>
    </row>
    <row r="105" spans="2:5" x14ac:dyDescent="0.2">
      <c r="B105" s="811">
        <v>10.4</v>
      </c>
      <c r="C105" s="810" t="s">
        <v>1536</v>
      </c>
      <c r="D105" s="806" t="str">
        <f t="shared" si="9"/>
        <v>10.4 - Transport Services (Intelligent Transport and Operations)</v>
      </c>
      <c r="E105" s="809" t="s">
        <v>1620</v>
      </c>
    </row>
    <row r="106" spans="2:5" x14ac:dyDescent="0.2">
      <c r="B106" s="811">
        <v>10.5</v>
      </c>
      <c r="C106" s="810" t="s">
        <v>1537</v>
      </c>
      <c r="D106" s="806" t="str">
        <f t="shared" si="9"/>
        <v>10.5 - Transport Services (Public Transport Regulation and Moitoring)</v>
      </c>
      <c r="E106" s="809" t="s">
        <v>1621</v>
      </c>
    </row>
    <row r="107" spans="2:5" x14ac:dyDescent="0.2">
      <c r="B107" s="811">
        <v>10.6</v>
      </c>
      <c r="C107" s="810" t="s">
        <v>1538</v>
      </c>
      <c r="D107" s="806" t="str">
        <f t="shared" si="9"/>
        <v>10.6 - Roads and Stormwater (administration)</v>
      </c>
      <c r="E107" s="809" t="s">
        <v>1622</v>
      </c>
    </row>
    <row r="108" spans="2:5" x14ac:dyDescent="0.2">
      <c r="B108" s="811">
        <v>10.7</v>
      </c>
      <c r="C108" s="810" t="s">
        <v>1539</v>
      </c>
      <c r="D108" s="806" t="str">
        <f t="shared" si="9"/>
        <v>10.7 - Storm Water Management and Traffic engineering</v>
      </c>
      <c r="E108" s="809" t="s">
        <v>1623</v>
      </c>
    </row>
    <row r="109" spans="2:5" x14ac:dyDescent="0.2">
      <c r="B109" s="811">
        <v>10.8</v>
      </c>
      <c r="C109" s="810" t="s">
        <v>1540</v>
      </c>
      <c r="D109" s="806" t="str">
        <f t="shared" si="9"/>
        <v>10.8 - Roads and Stormwater (Roads and Streets)</v>
      </c>
      <c r="E109" s="809" t="s">
        <v>1624</v>
      </c>
    </row>
    <row r="110" spans="2:5" x14ac:dyDescent="0.2">
      <c r="B110" s="811">
        <v>10.9</v>
      </c>
      <c r="C110" s="810" t="s">
        <v>1541</v>
      </c>
      <c r="D110" s="806" t="str">
        <f t="shared" si="9"/>
        <v>10.9 - Roads and Stormwater (Stormwater)</v>
      </c>
      <c r="E110" s="809" t="s">
        <v>1625</v>
      </c>
    </row>
    <row r="111" spans="2:5" x14ac:dyDescent="0.2">
      <c r="B111" s="811" t="s">
        <v>1051</v>
      </c>
      <c r="C111" s="810"/>
      <c r="D111" s="806" t="str">
        <f t="shared" si="9"/>
        <v xml:space="preserve">10.10 - </v>
      </c>
      <c r="E111" s="809"/>
    </row>
    <row r="112" spans="2:5" x14ac:dyDescent="0.2">
      <c r="B112" s="813" t="s">
        <v>828</v>
      </c>
      <c r="C112" s="812" t="s">
        <v>1542</v>
      </c>
      <c r="E112" s="809"/>
    </row>
    <row r="113" spans="2:5" x14ac:dyDescent="0.2">
      <c r="B113" s="811">
        <v>11.1</v>
      </c>
      <c r="C113" s="810" t="s">
        <v>1542</v>
      </c>
      <c r="D113" s="806" t="str">
        <f t="shared" ref="D113:D122" si="10">CONCATENATE(B113, " - ", C113)</f>
        <v>11.1 - Human Settlement</v>
      </c>
      <c r="E113" s="809" t="s">
        <v>1626</v>
      </c>
    </row>
    <row r="114" spans="2:5" x14ac:dyDescent="0.2">
      <c r="B114" s="811">
        <v>11.2</v>
      </c>
      <c r="C114" s="810" t="s">
        <v>1543</v>
      </c>
      <c r="D114" s="806" t="str">
        <f t="shared" si="10"/>
        <v>11.2 - Human Settlement - Housing Adimistration</v>
      </c>
      <c r="E114" s="809" t="s">
        <v>1627</v>
      </c>
    </row>
    <row r="115" spans="2:5" x14ac:dyDescent="0.2">
      <c r="B115" s="811">
        <v>11.3</v>
      </c>
      <c r="C115" s="810" t="s">
        <v>1544</v>
      </c>
      <c r="D115" s="806" t="str">
        <f t="shared" si="10"/>
        <v>11.3 - Human Settlement Rental Hosing and Programme Implemantation</v>
      </c>
      <c r="E115" s="809" t="s">
        <v>1628</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16" workbookViewId="0">
      <selection activeCell="D10" sqref="D10"/>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347</v>
      </c>
      <c r="B3" s="827"/>
      <c r="C3" s="824"/>
      <c r="D3" s="824"/>
    </row>
    <row r="4" spans="1:17" ht="13.5" customHeight="1" thickTop="1" x14ac:dyDescent="0.3">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351</v>
      </c>
      <c r="B8" s="849" t="str">
        <f>IF(B4&gt;" ",VLOOKUP(B4,'Lookup and lists'!B28:C311,2, FALSE)," ")</f>
        <v>Limpopo</v>
      </c>
      <c r="C8" s="1012"/>
      <c r="D8" s="1012"/>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352</v>
      </c>
      <c r="B10" s="957" t="s">
        <v>1381</v>
      </c>
      <c r="C10" s="854"/>
      <c r="D10" s="855"/>
      <c r="F10" s="833"/>
      <c r="G10" s="832"/>
      <c r="H10" s="833"/>
      <c r="I10" s="833"/>
      <c r="J10" s="832"/>
      <c r="K10" s="834"/>
      <c r="L10" s="834"/>
      <c r="M10" s="834"/>
      <c r="N10" s="834"/>
      <c r="O10" s="834"/>
      <c r="P10" s="835"/>
      <c r="Q10" s="836"/>
    </row>
    <row r="11" spans="1:17" ht="13.5" customHeight="1" x14ac:dyDescent="0.3">
      <c r="A11" s="856"/>
      <c r="B11" s="857"/>
      <c r="C11" s="1013"/>
      <c r="D11" s="1014"/>
      <c r="F11" s="833"/>
      <c r="G11" s="832"/>
      <c r="H11" s="833"/>
      <c r="I11" s="833"/>
      <c r="J11" s="832"/>
      <c r="K11" s="834"/>
      <c r="L11" s="834"/>
      <c r="M11" s="834"/>
      <c r="N11" s="834"/>
      <c r="O11" s="834"/>
      <c r="P11" s="835"/>
      <c r="Q11" s="839"/>
    </row>
    <row r="12" spans="1:17" ht="13.5" customHeight="1" x14ac:dyDescent="0.3">
      <c r="A12" s="853" t="s">
        <v>353</v>
      </c>
      <c r="B12" s="858"/>
      <c r="C12" s="859"/>
      <c r="D12" s="859"/>
      <c r="F12" s="833"/>
      <c r="G12" s="833"/>
      <c r="H12" s="833"/>
      <c r="I12" s="833"/>
      <c r="J12" s="832"/>
      <c r="K12" s="834"/>
      <c r="L12" s="834"/>
      <c r="M12" s="834"/>
      <c r="N12" s="834"/>
      <c r="O12" s="834"/>
      <c r="P12" s="835"/>
      <c r="Q12" s="836"/>
    </row>
    <row r="13" spans="1:17" ht="13.5" customHeight="1" x14ac:dyDescent="0.3">
      <c r="A13" s="860"/>
      <c r="B13" s="861"/>
      <c r="C13" s="1015"/>
      <c r="D13" s="1015"/>
      <c r="F13" s="833"/>
      <c r="G13" s="833"/>
      <c r="H13" s="833"/>
      <c r="I13" s="862"/>
      <c r="J13" s="833"/>
      <c r="K13" s="834"/>
      <c r="L13" s="834"/>
      <c r="M13" s="834"/>
      <c r="N13" s="834"/>
      <c r="O13" s="834"/>
      <c r="P13" s="835"/>
    </row>
    <row r="14" spans="1:17" ht="13.5" customHeight="1" thickBot="1" x14ac:dyDescent="0.35">
      <c r="A14" s="1016" t="s">
        <v>354</v>
      </c>
      <c r="B14" s="1017"/>
      <c r="C14" s="844"/>
      <c r="D14" s="844"/>
      <c r="F14" s="833"/>
      <c r="G14" s="833"/>
      <c r="H14" s="862"/>
      <c r="I14" s="863"/>
      <c r="J14" s="833"/>
      <c r="K14" s="834"/>
      <c r="L14" s="834"/>
      <c r="M14" s="834"/>
      <c r="N14" s="834"/>
      <c r="O14" s="834"/>
      <c r="P14" s="835"/>
    </row>
    <row r="15" spans="1:17" ht="13.5" customHeight="1" thickTop="1" x14ac:dyDescent="0.3">
      <c r="A15" s="864" t="s">
        <v>355</v>
      </c>
      <c r="B15" s="865"/>
      <c r="F15" s="862"/>
      <c r="G15" s="833"/>
      <c r="H15" s="863"/>
      <c r="I15" s="863"/>
      <c r="J15" s="833"/>
      <c r="K15" s="834"/>
      <c r="L15" s="834"/>
      <c r="M15" s="834"/>
      <c r="N15" s="834"/>
      <c r="O15" s="834"/>
      <c r="P15" s="835"/>
    </row>
    <row r="16" spans="1:17" s="845" customFormat="1" ht="13.5" customHeight="1" x14ac:dyDescent="0.3">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357</v>
      </c>
      <c r="B17" s="929" t="s">
        <v>1380</v>
      </c>
      <c r="F17" s="863"/>
      <c r="G17" s="863"/>
      <c r="H17" s="863"/>
      <c r="I17" s="863"/>
      <c r="J17" s="862"/>
      <c r="K17" s="834"/>
      <c r="L17" s="834"/>
      <c r="M17" s="834"/>
      <c r="N17" s="834"/>
      <c r="O17" s="834"/>
      <c r="P17" s="835"/>
    </row>
    <row r="18" spans="1:17" ht="13.5" customHeight="1" x14ac:dyDescent="0.3">
      <c r="A18" s="868" t="s">
        <v>358</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359</v>
      </c>
      <c r="B20" s="872"/>
      <c r="F20" s="863"/>
      <c r="G20" s="863"/>
      <c r="H20" s="863"/>
      <c r="I20" s="863"/>
      <c r="J20" s="863"/>
      <c r="K20" s="834"/>
      <c r="L20" s="834"/>
      <c r="M20" s="834"/>
      <c r="N20" s="834"/>
      <c r="O20" s="834"/>
      <c r="P20" s="835"/>
    </row>
    <row r="21" spans="1:17" ht="13.5" customHeight="1" x14ac:dyDescent="0.3">
      <c r="A21" s="866" t="s">
        <v>360</v>
      </c>
      <c r="B21" s="929" t="s">
        <v>1382</v>
      </c>
      <c r="F21" s="863"/>
      <c r="G21" s="863"/>
      <c r="H21" s="863"/>
      <c r="I21" s="863"/>
      <c r="J21" s="863"/>
      <c r="K21" s="834"/>
      <c r="L21" s="834"/>
      <c r="M21" s="834"/>
      <c r="N21" s="834"/>
      <c r="O21" s="834"/>
      <c r="P21" s="835"/>
    </row>
    <row r="22" spans="1:17" ht="13.5" customHeight="1" x14ac:dyDescent="0.3">
      <c r="A22" s="866" t="s">
        <v>361</v>
      </c>
      <c r="B22" s="929" t="s">
        <v>1383</v>
      </c>
      <c r="F22" s="863"/>
      <c r="G22" s="863"/>
      <c r="H22" s="863"/>
      <c r="I22" s="863"/>
      <c r="J22" s="863"/>
      <c r="K22" s="834"/>
      <c r="L22" s="834"/>
      <c r="M22" s="834"/>
      <c r="N22" s="834"/>
      <c r="O22" s="834"/>
      <c r="P22" s="835"/>
    </row>
    <row r="23" spans="1:17" ht="13.5" customHeight="1" x14ac:dyDescent="0.3">
      <c r="A23" s="866" t="s">
        <v>357</v>
      </c>
      <c r="B23" s="929" t="s">
        <v>1380</v>
      </c>
      <c r="F23" s="863"/>
      <c r="G23" s="863"/>
      <c r="H23" s="863"/>
      <c r="I23" s="863"/>
      <c r="J23" s="863"/>
      <c r="K23" s="834"/>
      <c r="L23" s="834"/>
      <c r="M23" s="834"/>
      <c r="N23" s="834"/>
      <c r="O23" s="834"/>
      <c r="P23" s="835"/>
    </row>
    <row r="24" spans="1:17" ht="13.5" customHeight="1" x14ac:dyDescent="0.3">
      <c r="A24" s="868" t="s">
        <v>358</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362</v>
      </c>
      <c r="B26" s="874"/>
      <c r="F26" s="863"/>
      <c r="G26" s="863"/>
      <c r="H26" s="863"/>
      <c r="I26" s="863"/>
      <c r="J26" s="863"/>
      <c r="K26" s="834"/>
      <c r="L26" s="834"/>
      <c r="M26" s="834"/>
      <c r="N26" s="834"/>
      <c r="O26" s="834"/>
      <c r="P26" s="835"/>
    </row>
    <row r="27" spans="1:17" ht="13.5" customHeight="1" x14ac:dyDescent="0.3">
      <c r="A27" s="866" t="s">
        <v>363</v>
      </c>
      <c r="B27" s="929" t="s">
        <v>1384</v>
      </c>
      <c r="F27" s="863"/>
      <c r="G27" s="863"/>
      <c r="H27" s="863"/>
      <c r="I27" s="863"/>
      <c r="J27" s="863"/>
      <c r="K27" s="834"/>
      <c r="L27" s="834"/>
      <c r="M27" s="834"/>
      <c r="N27" s="834"/>
      <c r="O27" s="834"/>
      <c r="P27" s="835"/>
    </row>
    <row r="28" spans="1:17" ht="13.5" customHeight="1" x14ac:dyDescent="0.3">
      <c r="A28" s="868" t="s">
        <v>364</v>
      </c>
      <c r="B28" s="875"/>
      <c r="J28" s="863"/>
      <c r="K28" s="863"/>
      <c r="L28" s="863"/>
      <c r="M28" s="863"/>
      <c r="N28" s="863"/>
      <c r="O28" s="863"/>
      <c r="P28" s="835"/>
    </row>
    <row r="29" spans="1:17" ht="13.5" customHeight="1" x14ac:dyDescent="0.3">
      <c r="A29" s="869"/>
      <c r="B29" s="876"/>
      <c r="P29" s="835"/>
    </row>
    <row r="30" spans="1:17" ht="13.5" customHeight="1" thickBot="1" x14ac:dyDescent="0.35">
      <c r="A30" s="1018" t="s">
        <v>365</v>
      </c>
      <c r="B30" s="1019"/>
      <c r="C30" s="1010"/>
      <c r="D30" s="1020"/>
      <c r="P30" s="835"/>
    </row>
    <row r="31" spans="1:17" ht="13.5" customHeight="1" thickTop="1" x14ac:dyDescent="0.3">
      <c r="A31" s="871" t="s">
        <v>366</v>
      </c>
      <c r="B31" s="872"/>
      <c r="C31" s="1000" t="s">
        <v>367</v>
      </c>
      <c r="D31" s="1006"/>
      <c r="P31" s="835"/>
    </row>
    <row r="32" spans="1:17" s="933" customFormat="1" ht="13.5" customHeight="1" x14ac:dyDescent="0.3">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3">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3">
      <c r="A34" s="866" t="s">
        <v>368</v>
      </c>
      <c r="B34" s="929" t="s">
        <v>1387</v>
      </c>
      <c r="C34" s="866" t="s">
        <v>368</v>
      </c>
      <c r="D34" s="929" t="s">
        <v>1399</v>
      </c>
      <c r="P34" s="835"/>
    </row>
    <row r="35" spans="1:17" ht="13.5" customHeight="1" x14ac:dyDescent="0.3">
      <c r="A35" s="866" t="s">
        <v>363</v>
      </c>
      <c r="B35" s="929" t="s">
        <v>1388</v>
      </c>
      <c r="C35" s="866" t="s">
        <v>363</v>
      </c>
      <c r="D35" s="929" t="s">
        <v>1400</v>
      </c>
      <c r="F35" s="832"/>
      <c r="G35" s="834"/>
      <c r="P35" s="835"/>
    </row>
    <row r="36" spans="1:17" ht="13.5" customHeight="1" x14ac:dyDescent="0.3">
      <c r="A36" s="866" t="s">
        <v>369</v>
      </c>
      <c r="B36" s="929" t="s">
        <v>1389</v>
      </c>
      <c r="C36" s="866" t="s">
        <v>369</v>
      </c>
      <c r="D36" s="929" t="s">
        <v>1401</v>
      </c>
      <c r="F36" s="832"/>
      <c r="G36" s="834"/>
      <c r="P36" s="835"/>
    </row>
    <row r="37" spans="1:17" ht="13.5" customHeight="1" x14ac:dyDescent="0.3">
      <c r="A37" s="866" t="s">
        <v>364</v>
      </c>
      <c r="B37" s="929" t="s">
        <v>1390</v>
      </c>
      <c r="C37" s="866" t="s">
        <v>364</v>
      </c>
      <c r="D37" s="929" t="s">
        <v>1402</v>
      </c>
      <c r="F37" s="833"/>
      <c r="G37" s="834"/>
      <c r="P37" s="835"/>
    </row>
    <row r="38" spans="1:17" ht="13.5" customHeight="1" x14ac:dyDescent="0.3">
      <c r="A38" s="866" t="s">
        <v>370</v>
      </c>
      <c r="B38" s="929" t="s">
        <v>1391</v>
      </c>
      <c r="C38" s="866" t="s">
        <v>370</v>
      </c>
      <c r="D38" s="929" t="s">
        <v>1403</v>
      </c>
      <c r="F38" s="833"/>
      <c r="G38" s="834"/>
      <c r="P38" s="835"/>
    </row>
    <row r="39" spans="1:17" ht="13.5" customHeight="1" x14ac:dyDescent="0.3">
      <c r="A39" s="866"/>
      <c r="B39" s="877"/>
      <c r="C39" s="866"/>
      <c r="D39" s="877"/>
      <c r="F39" s="833"/>
      <c r="G39" s="834"/>
      <c r="P39" s="835"/>
    </row>
    <row r="40" spans="1:17" ht="13.5" customHeight="1" x14ac:dyDescent="0.3">
      <c r="A40" s="1002" t="s">
        <v>371</v>
      </c>
      <c r="B40" s="1007"/>
      <c r="C40" s="1002" t="s">
        <v>372</v>
      </c>
      <c r="D40" s="1007"/>
      <c r="F40" s="833"/>
      <c r="G40" s="834"/>
      <c r="P40" s="835"/>
    </row>
    <row r="41" spans="1:17" s="933" customFormat="1" ht="13.5" customHeight="1" x14ac:dyDescent="0.3">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3">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3">
      <c r="A43" s="866" t="s">
        <v>368</v>
      </c>
      <c r="B43" s="929" t="s">
        <v>1394</v>
      </c>
      <c r="C43" s="866" t="s">
        <v>368</v>
      </c>
      <c r="D43" s="929" t="s">
        <v>1405</v>
      </c>
      <c r="F43" s="833"/>
      <c r="G43" s="834"/>
      <c r="P43" s="835"/>
    </row>
    <row r="44" spans="1:17" ht="13.5" customHeight="1" x14ac:dyDescent="0.3">
      <c r="A44" s="866" t="s">
        <v>363</v>
      </c>
      <c r="B44" s="929" t="s">
        <v>1395</v>
      </c>
      <c r="C44" s="866" t="s">
        <v>363</v>
      </c>
      <c r="D44" s="929" t="s">
        <v>1406</v>
      </c>
      <c r="F44" s="862"/>
      <c r="G44" s="834"/>
      <c r="P44" s="835"/>
    </row>
    <row r="45" spans="1:17" ht="13.5" customHeight="1" x14ac:dyDescent="0.3">
      <c r="A45" s="866" t="s">
        <v>369</v>
      </c>
      <c r="B45" s="929" t="s">
        <v>1396</v>
      </c>
      <c r="C45" s="866" t="s">
        <v>369</v>
      </c>
      <c r="D45" s="929" t="s">
        <v>1407</v>
      </c>
      <c r="F45" s="863"/>
      <c r="G45" s="834"/>
      <c r="P45" s="835"/>
    </row>
    <row r="46" spans="1:17" ht="13.5" customHeight="1" x14ac:dyDescent="0.3">
      <c r="A46" s="866" t="s">
        <v>364</v>
      </c>
      <c r="B46" s="929" t="s">
        <v>1390</v>
      </c>
      <c r="C46" s="866" t="s">
        <v>364</v>
      </c>
      <c r="D46" s="929" t="s">
        <v>1390</v>
      </c>
      <c r="F46" s="863"/>
      <c r="G46" s="834"/>
      <c r="P46" s="835"/>
    </row>
    <row r="47" spans="1:17" ht="13.5" customHeight="1" x14ac:dyDescent="0.3">
      <c r="A47" s="878" t="s">
        <v>370</v>
      </c>
      <c r="B47" s="958" t="s">
        <v>1397</v>
      </c>
      <c r="C47" s="878" t="s">
        <v>370</v>
      </c>
      <c r="D47" s="958" t="s">
        <v>1408</v>
      </c>
      <c r="F47" s="863"/>
      <c r="G47" s="834"/>
      <c r="P47" s="835"/>
    </row>
    <row r="48" spans="1:17" ht="13.5" customHeight="1" x14ac:dyDescent="0.3">
      <c r="A48" s="869"/>
      <c r="B48" s="876"/>
      <c r="C48" s="869"/>
      <c r="D48" s="876"/>
      <c r="F48" s="863"/>
      <c r="G48" s="834"/>
      <c r="P48" s="835"/>
    </row>
    <row r="49" spans="1:17" ht="13.5" customHeight="1" x14ac:dyDescent="0.3">
      <c r="A49" s="1002" t="s">
        <v>373</v>
      </c>
      <c r="B49" s="1007"/>
      <c r="C49" s="1002" t="s">
        <v>374</v>
      </c>
      <c r="D49" s="1007"/>
      <c r="F49" s="863"/>
      <c r="G49" s="834"/>
      <c r="P49" s="835"/>
    </row>
    <row r="50" spans="1:17" s="933" customFormat="1" ht="13.5" customHeight="1" x14ac:dyDescent="0.3">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3">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3">
      <c r="A52" s="866" t="s">
        <v>368</v>
      </c>
      <c r="B52" s="867"/>
      <c r="C52" s="866" t="s">
        <v>368</v>
      </c>
      <c r="D52" s="867"/>
      <c r="F52" s="863"/>
      <c r="G52" s="834"/>
      <c r="P52" s="835"/>
    </row>
    <row r="53" spans="1:17" ht="13.5" customHeight="1" x14ac:dyDescent="0.3">
      <c r="A53" s="866" t="s">
        <v>363</v>
      </c>
      <c r="B53" s="867"/>
      <c r="C53" s="866" t="s">
        <v>363</v>
      </c>
      <c r="D53" s="867"/>
      <c r="F53" s="863"/>
      <c r="G53" s="834"/>
      <c r="P53" s="835"/>
    </row>
    <row r="54" spans="1:17" ht="13.5" customHeight="1" x14ac:dyDescent="0.3">
      <c r="A54" s="866" t="s">
        <v>369</v>
      </c>
      <c r="B54" s="867"/>
      <c r="C54" s="866" t="s">
        <v>369</v>
      </c>
      <c r="D54" s="867"/>
      <c r="F54" s="863"/>
      <c r="G54" s="834"/>
      <c r="P54" s="835"/>
    </row>
    <row r="55" spans="1:17" s="823" customFormat="1" ht="13.5" customHeight="1" x14ac:dyDescent="0.3">
      <c r="A55" s="866" t="s">
        <v>364</v>
      </c>
      <c r="B55" s="867"/>
      <c r="C55" s="866" t="s">
        <v>364</v>
      </c>
      <c r="D55" s="867"/>
      <c r="E55" s="822"/>
      <c r="F55" s="863"/>
      <c r="G55" s="834"/>
      <c r="P55" s="835"/>
    </row>
    <row r="56" spans="1:17" s="823" customFormat="1" ht="13.5" customHeight="1" x14ac:dyDescent="0.3">
      <c r="A56" s="868" t="s">
        <v>370</v>
      </c>
      <c r="B56" s="875"/>
      <c r="C56" s="868" t="s">
        <v>370</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1008" t="s">
        <v>375</v>
      </c>
      <c r="B58" s="1009"/>
      <c r="C58" s="1010"/>
      <c r="D58" s="1011"/>
      <c r="E58" s="822"/>
      <c r="F58" s="863"/>
      <c r="G58" s="834"/>
      <c r="P58" s="835"/>
    </row>
    <row r="59" spans="1:17" s="881" customFormat="1" ht="13.5" customHeight="1" thickTop="1" x14ac:dyDescent="0.3">
      <c r="A59" s="871" t="s">
        <v>376</v>
      </c>
      <c r="B59" s="872"/>
      <c r="C59" s="1000" t="s">
        <v>377</v>
      </c>
      <c r="D59" s="1001"/>
      <c r="E59" s="824"/>
      <c r="F59" s="879"/>
      <c r="G59" s="880"/>
      <c r="P59" s="835"/>
      <c r="Q59" s="823"/>
    </row>
    <row r="60" spans="1:17" s="933" customFormat="1" ht="13.5" customHeight="1" x14ac:dyDescent="0.3">
      <c r="A60" s="928" t="s">
        <v>1151</v>
      </c>
      <c r="B60" s="929" t="s">
        <v>1409</v>
      </c>
      <c r="C60" s="928" t="s">
        <v>1151</v>
      </c>
      <c r="D60" s="929" t="s">
        <v>1445</v>
      </c>
      <c r="E60" s="930"/>
      <c r="F60" s="931"/>
      <c r="G60" s="931"/>
      <c r="H60" s="931"/>
      <c r="I60" s="655"/>
      <c r="J60" s="655"/>
      <c r="K60" s="655"/>
      <c r="L60" s="655"/>
      <c r="M60" s="655"/>
      <c r="N60" s="655"/>
      <c r="O60" s="655"/>
      <c r="P60" s="932"/>
      <c r="Q60" s="655"/>
    </row>
    <row r="61" spans="1:17" s="933" customFormat="1" ht="13.5" customHeight="1" x14ac:dyDescent="0.3">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3">
      <c r="A62" s="866" t="s">
        <v>368</v>
      </c>
      <c r="B62" s="929" t="s">
        <v>1410</v>
      </c>
      <c r="C62" s="866" t="s">
        <v>368</v>
      </c>
      <c r="D62" s="929" t="s">
        <v>1446</v>
      </c>
      <c r="E62" s="824"/>
      <c r="F62" s="879"/>
      <c r="G62" s="880"/>
      <c r="P62" s="835"/>
      <c r="Q62" s="823"/>
    </row>
    <row r="63" spans="1:17" s="823" customFormat="1" ht="13.5" customHeight="1" x14ac:dyDescent="0.3">
      <c r="A63" s="866" t="s">
        <v>363</v>
      </c>
      <c r="B63" s="929" t="s">
        <v>1395</v>
      </c>
      <c r="C63" s="866" t="s">
        <v>363</v>
      </c>
      <c r="D63" s="929" t="s">
        <v>1395</v>
      </c>
      <c r="E63" s="822"/>
      <c r="F63" s="863"/>
      <c r="G63" s="834"/>
      <c r="P63" s="835"/>
    </row>
    <row r="64" spans="1:17" s="823" customFormat="1" ht="13.5" customHeight="1" x14ac:dyDescent="0.3">
      <c r="A64" s="866" t="s">
        <v>369</v>
      </c>
      <c r="B64" s="929" t="s">
        <v>1411</v>
      </c>
      <c r="C64" s="866" t="s">
        <v>369</v>
      </c>
      <c r="D64" s="929" t="s">
        <v>1447</v>
      </c>
      <c r="E64" s="822"/>
      <c r="F64" s="863"/>
      <c r="G64" s="834"/>
      <c r="P64" s="835"/>
    </row>
    <row r="65" spans="1:17" s="823" customFormat="1" ht="13.5" customHeight="1" x14ac:dyDescent="0.3">
      <c r="A65" s="866" t="s">
        <v>364</v>
      </c>
      <c r="B65" s="929" t="s">
        <v>1390</v>
      </c>
      <c r="C65" s="866" t="s">
        <v>364</v>
      </c>
      <c r="D65" s="929" t="s">
        <v>1390</v>
      </c>
      <c r="E65" s="822"/>
      <c r="F65" s="863"/>
      <c r="G65" s="834"/>
      <c r="P65" s="835"/>
    </row>
    <row r="66" spans="1:17" ht="13.5" customHeight="1" x14ac:dyDescent="0.3">
      <c r="A66" s="868" t="s">
        <v>370</v>
      </c>
      <c r="B66" s="959" t="s">
        <v>1412</v>
      </c>
      <c r="C66" s="868" t="s">
        <v>370</v>
      </c>
      <c r="D66" s="956" t="s">
        <v>1448</v>
      </c>
      <c r="F66" s="863"/>
      <c r="G66" s="834"/>
      <c r="P66" s="835"/>
    </row>
    <row r="67" spans="1:17" ht="13.5" customHeight="1" x14ac:dyDescent="0.3">
      <c r="A67" s="869"/>
      <c r="B67" s="876"/>
      <c r="C67" s="869"/>
      <c r="D67" s="876"/>
      <c r="F67" s="863"/>
      <c r="G67" s="834"/>
      <c r="P67" s="835"/>
    </row>
    <row r="68" spans="1:17" ht="13.5" customHeight="1" x14ac:dyDescent="0.3">
      <c r="A68" s="882" t="s">
        <v>378</v>
      </c>
      <c r="B68" s="874"/>
      <c r="C68" s="1002" t="s">
        <v>379</v>
      </c>
      <c r="D68" s="1003"/>
      <c r="F68" s="863"/>
      <c r="G68" s="834"/>
      <c r="P68" s="835"/>
    </row>
    <row r="69" spans="1:17" s="933" customFormat="1" ht="13.5" customHeight="1" x14ac:dyDescent="0.3">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3">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3">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3">
      <c r="A72" s="866" t="s">
        <v>363</v>
      </c>
      <c r="B72" s="929" t="s">
        <v>1415</v>
      </c>
      <c r="C72" s="866" t="s">
        <v>363</v>
      </c>
      <c r="D72" s="929" t="s">
        <v>1415</v>
      </c>
      <c r="F72" s="863"/>
      <c r="G72" s="834"/>
      <c r="P72" s="835"/>
    </row>
    <row r="73" spans="1:17" ht="13.5" customHeight="1" x14ac:dyDescent="0.3">
      <c r="A73" s="866" t="s">
        <v>369</v>
      </c>
      <c r="B73" s="929" t="s">
        <v>1416</v>
      </c>
      <c r="C73" s="866" t="s">
        <v>369</v>
      </c>
      <c r="D73" s="929" t="s">
        <v>1420</v>
      </c>
      <c r="F73" s="863"/>
      <c r="G73" s="834"/>
      <c r="P73" s="835"/>
    </row>
    <row r="74" spans="1:17" ht="13.5" customHeight="1" x14ac:dyDescent="0.3">
      <c r="A74" s="866" t="s">
        <v>364</v>
      </c>
      <c r="B74" s="929" t="s">
        <v>1402</v>
      </c>
      <c r="C74" s="866" t="s">
        <v>364</v>
      </c>
      <c r="D74" s="929" t="s">
        <v>1402</v>
      </c>
      <c r="F74" s="863"/>
      <c r="G74" s="834"/>
      <c r="P74" s="835"/>
    </row>
    <row r="75" spans="1:17" ht="13.5" customHeight="1" x14ac:dyDescent="0.3">
      <c r="A75" s="868" t="s">
        <v>370</v>
      </c>
      <c r="B75" s="959" t="s">
        <v>1417</v>
      </c>
      <c r="C75" s="868" t="s">
        <v>370</v>
      </c>
      <c r="D75" s="956" t="s">
        <v>1421</v>
      </c>
      <c r="F75" s="863"/>
      <c r="G75" s="834"/>
      <c r="P75" s="835"/>
    </row>
    <row r="76" spans="1:17" ht="13.5" customHeight="1" x14ac:dyDescent="0.3">
      <c r="A76" s="869"/>
      <c r="B76" s="876"/>
      <c r="C76" s="869"/>
      <c r="D76" s="876"/>
      <c r="F76" s="863"/>
      <c r="G76" s="834"/>
      <c r="P76" s="835"/>
    </row>
    <row r="77" spans="1:17" s="933" customFormat="1" ht="13.5" customHeight="1" x14ac:dyDescent="0.3">
      <c r="A77" s="1004" t="s">
        <v>380</v>
      </c>
      <c r="B77" s="1005"/>
      <c r="C77" s="1004" t="s">
        <v>380</v>
      </c>
      <c r="D77" s="1005"/>
      <c r="E77" s="930"/>
      <c r="F77" s="934"/>
      <c r="G77" s="935"/>
      <c r="H77" s="931"/>
      <c r="I77" s="655"/>
      <c r="J77" s="655"/>
      <c r="K77" s="655"/>
      <c r="L77" s="655"/>
      <c r="M77" s="655"/>
      <c r="N77" s="655"/>
      <c r="O77" s="655"/>
      <c r="P77" s="932"/>
      <c r="Q77" s="931"/>
    </row>
    <row r="78" spans="1:17" s="933" customFormat="1" ht="13.5" customHeight="1" x14ac:dyDescent="0.3">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3">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3">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3">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3">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3">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3">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3">
      <c r="A85" s="1004" t="s">
        <v>380</v>
      </c>
      <c r="B85" s="1005"/>
      <c r="C85" s="1004" t="s">
        <v>380</v>
      </c>
      <c r="D85" s="1005"/>
      <c r="E85" s="930"/>
      <c r="F85" s="934"/>
      <c r="G85" s="935"/>
      <c r="H85" s="931"/>
      <c r="I85" s="655"/>
      <c r="J85" s="655"/>
      <c r="K85" s="655"/>
      <c r="L85" s="655"/>
      <c r="M85" s="655"/>
      <c r="N85" s="655"/>
      <c r="O85" s="655"/>
      <c r="P85" s="932"/>
      <c r="Q85" s="931"/>
    </row>
    <row r="86" spans="1:17" s="933" customFormat="1" ht="13.5" customHeight="1" x14ac:dyDescent="0.3">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3">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3">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3">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3">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3">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3">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3">
      <c r="A93" s="1004" t="s">
        <v>380</v>
      </c>
      <c r="B93" s="1005"/>
      <c r="C93" s="1004" t="s">
        <v>380</v>
      </c>
      <c r="D93" s="1005"/>
      <c r="E93" s="930"/>
      <c r="F93" s="934"/>
      <c r="G93" s="935"/>
      <c r="I93" s="655"/>
      <c r="J93" s="655"/>
      <c r="K93" s="655"/>
      <c r="L93" s="655"/>
      <c r="M93" s="655"/>
      <c r="N93" s="655"/>
      <c r="O93" s="655"/>
      <c r="P93" s="932"/>
    </row>
    <row r="94" spans="1:17" s="933" customFormat="1" ht="13.5" customHeight="1" x14ac:dyDescent="0.3">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3">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3">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3">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3">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3">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3">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3">
      <c r="A101" s="1004" t="s">
        <v>380</v>
      </c>
      <c r="B101" s="1005"/>
      <c r="C101" s="1004" t="s">
        <v>380</v>
      </c>
      <c r="D101" s="1005"/>
      <c r="E101" s="930"/>
      <c r="F101" s="934"/>
      <c r="G101" s="935"/>
      <c r="I101" s="655"/>
      <c r="J101" s="655"/>
      <c r="K101" s="655"/>
      <c r="L101" s="655"/>
      <c r="M101" s="655"/>
      <c r="N101" s="655"/>
      <c r="O101" s="655"/>
      <c r="P101" s="932"/>
    </row>
    <row r="102" spans="1:17" s="933" customFormat="1" ht="13.5" customHeight="1" x14ac:dyDescent="0.3">
      <c r="A102" s="928" t="s">
        <v>1151</v>
      </c>
      <c r="B102" s="929" t="s">
        <v>1449</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3">
      <c r="A104" s="928" t="s">
        <v>368</v>
      </c>
      <c r="B104" s="929" t="s">
        <v>1450</v>
      </c>
      <c r="C104" s="928" t="s">
        <v>368</v>
      </c>
      <c r="D104" s="929"/>
      <c r="E104" s="930"/>
      <c r="F104" s="934"/>
      <c r="G104" s="935"/>
      <c r="I104" s="655"/>
      <c r="J104" s="655"/>
      <c r="K104" s="655"/>
      <c r="L104" s="655"/>
      <c r="M104" s="655"/>
      <c r="N104" s="655"/>
      <c r="O104" s="655"/>
      <c r="P104" s="932"/>
    </row>
    <row r="105" spans="1:17" s="931" customFormat="1" ht="12.75" customHeight="1" x14ac:dyDescent="0.3">
      <c r="A105" s="928" t="s">
        <v>363</v>
      </c>
      <c r="B105" s="968" t="s">
        <v>1451</v>
      </c>
      <c r="C105" s="928" t="s">
        <v>363</v>
      </c>
      <c r="D105" s="929"/>
      <c r="E105" s="930"/>
      <c r="F105" s="934"/>
      <c r="G105" s="935"/>
      <c r="I105" s="655"/>
      <c r="J105" s="655"/>
      <c r="K105" s="655"/>
      <c r="L105" s="655"/>
      <c r="M105" s="655"/>
      <c r="N105" s="655"/>
      <c r="O105" s="655"/>
      <c r="P105" s="932"/>
    </row>
    <row r="106" spans="1:17" s="943" customFormat="1" ht="12.75" customHeight="1" x14ac:dyDescent="0.3">
      <c r="A106" s="928" t="s">
        <v>369</v>
      </c>
      <c r="B106" s="968" t="s">
        <v>1452</v>
      </c>
      <c r="C106" s="928" t="s">
        <v>369</v>
      </c>
      <c r="D106" s="929"/>
      <c r="E106" s="942"/>
      <c r="F106" s="934"/>
      <c r="G106" s="935"/>
      <c r="I106" s="655"/>
      <c r="J106" s="655"/>
      <c r="K106" s="655"/>
      <c r="L106" s="655"/>
      <c r="M106" s="655"/>
      <c r="N106" s="655"/>
      <c r="O106" s="655"/>
      <c r="P106" s="932"/>
      <c r="Q106" s="931"/>
    </row>
    <row r="107" spans="1:17" s="655" customFormat="1" ht="12.75" customHeight="1" x14ac:dyDescent="0.3">
      <c r="A107" s="928" t="s">
        <v>364</v>
      </c>
      <c r="B107" s="929"/>
      <c r="C107" s="928" t="s">
        <v>364</v>
      </c>
      <c r="D107" s="929"/>
      <c r="E107" s="944"/>
      <c r="F107" s="934"/>
      <c r="G107" s="935"/>
      <c r="P107" s="932"/>
      <c r="Q107" s="931"/>
    </row>
    <row r="108" spans="1:17" s="655" customFormat="1" ht="12.75" customHeight="1" x14ac:dyDescent="0.3">
      <c r="A108" s="928" t="s">
        <v>370</v>
      </c>
      <c r="B108" s="969" t="s">
        <v>1453</v>
      </c>
      <c r="C108" s="928" t="s">
        <v>370</v>
      </c>
      <c r="D108" s="929"/>
      <c r="E108" s="944"/>
      <c r="F108" s="934"/>
      <c r="G108" s="935"/>
      <c r="P108" s="932"/>
      <c r="Q108" s="931"/>
    </row>
    <row r="109" spans="1:17" s="931" customFormat="1" ht="12.75" customHeight="1" x14ac:dyDescent="0.3">
      <c r="A109" s="1004" t="s">
        <v>380</v>
      </c>
      <c r="B109" s="1005"/>
      <c r="C109" s="1004" t="s">
        <v>380</v>
      </c>
      <c r="D109" s="1005"/>
      <c r="E109" s="930"/>
      <c r="I109" s="655"/>
      <c r="J109" s="655"/>
      <c r="K109" s="655"/>
      <c r="L109" s="655"/>
      <c r="M109" s="655"/>
      <c r="N109" s="655"/>
      <c r="O109" s="655"/>
      <c r="P109" s="932"/>
    </row>
    <row r="110" spans="1:17" s="933" customFormat="1" ht="13.5" customHeight="1" x14ac:dyDescent="0.3">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1152</v>
      </c>
      <c r="B111" s="929"/>
      <c r="C111" s="928" t="s">
        <v>1152</v>
      </c>
      <c r="D111" s="929"/>
      <c r="E111" s="930"/>
      <c r="I111" s="655"/>
      <c r="J111" s="655"/>
      <c r="K111" s="655"/>
      <c r="L111" s="655"/>
      <c r="M111" s="655"/>
      <c r="N111" s="655"/>
      <c r="O111" s="655"/>
      <c r="P111" s="932"/>
    </row>
    <row r="112" spans="1:17" s="931" customFormat="1" ht="12.75" customHeight="1" x14ac:dyDescent="0.3">
      <c r="A112" s="928" t="s">
        <v>368</v>
      </c>
      <c r="B112" s="929"/>
      <c r="C112" s="928" t="s">
        <v>368</v>
      </c>
      <c r="D112" s="929"/>
      <c r="E112" s="930"/>
      <c r="I112" s="655"/>
      <c r="J112" s="655"/>
      <c r="K112" s="655"/>
      <c r="L112" s="655"/>
      <c r="M112" s="655"/>
      <c r="N112" s="655"/>
      <c r="O112" s="655"/>
      <c r="P112" s="932"/>
    </row>
    <row r="113" spans="1:25" s="931" customFormat="1" ht="12.75" customHeight="1" x14ac:dyDescent="0.3">
      <c r="A113" s="928" t="s">
        <v>363</v>
      </c>
      <c r="B113" s="929"/>
      <c r="C113" s="928" t="s">
        <v>363</v>
      </c>
      <c r="D113" s="929"/>
      <c r="E113" s="930"/>
      <c r="I113" s="655"/>
      <c r="J113" s="655"/>
      <c r="K113" s="655"/>
      <c r="L113" s="655"/>
      <c r="M113" s="655"/>
      <c r="N113" s="655"/>
      <c r="O113" s="655"/>
      <c r="P113" s="932"/>
    </row>
    <row r="114" spans="1:25" s="933" customFormat="1" ht="12.75" customHeight="1" x14ac:dyDescent="0.3">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1004" t="s">
        <v>380</v>
      </c>
      <c r="B117" s="1005"/>
      <c r="C117" s="1004" t="s">
        <v>380</v>
      </c>
      <c r="D117" s="1005"/>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1004" t="s">
        <v>380</v>
      </c>
      <c r="B125" s="1005"/>
      <c r="C125" s="1004" t="s">
        <v>380</v>
      </c>
      <c r="D125" s="1005"/>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1004" t="s">
        <v>380</v>
      </c>
      <c r="B133" s="1005"/>
      <c r="C133" s="1021"/>
      <c r="D133" s="1022"/>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8" activePane="bottomRight" state="frozen"/>
      <selection pane="topRight"/>
      <selection pane="bottomLeft"/>
      <selection pane="bottomRight" activeCell="B6" sqref="B6: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M06 December</v>
      </c>
      <c r="B1" s="349"/>
      <c r="C1" s="349"/>
      <c r="D1" s="349"/>
      <c r="E1" s="349"/>
      <c r="F1" s="349"/>
      <c r="G1" s="349"/>
      <c r="H1" s="349"/>
      <c r="I1" s="349"/>
      <c r="J1" s="349"/>
    </row>
    <row r="2" spans="1:10" x14ac:dyDescent="0.2">
      <c r="A2" s="1024" t="str">
        <f>desc</f>
        <v>Description</v>
      </c>
      <c r="B2" s="159" t="str">
        <f>Head1</f>
        <v>2018/19</v>
      </c>
      <c r="C2" s="1026" t="str">
        <f>Head2</f>
        <v>Budget Year 2019/20</v>
      </c>
      <c r="D2" s="1027"/>
      <c r="E2" s="1027"/>
      <c r="F2" s="1027"/>
      <c r="G2" s="1027"/>
      <c r="H2" s="1027"/>
      <c r="I2" s="1027"/>
      <c r="J2" s="1028"/>
    </row>
    <row r="3" spans="1:10" ht="20.399999999999999" x14ac:dyDescent="0.2">
      <c r="A3" s="1025"/>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480000000</v>
      </c>
      <c r="E6" s="411">
        <f>SUM('C4-FinPerf RE'!F6:F6)</f>
        <v>41616490.470000006</v>
      </c>
      <c r="F6" s="411">
        <f>SUM('C4-FinPerf RE'!G6:G6)</f>
        <v>253609710.94000003</v>
      </c>
      <c r="G6" s="659">
        <f>SUM('C4-FinPerf RE'!H6:H6)</f>
        <v>240000000</v>
      </c>
      <c r="H6" s="411">
        <f>F6-G6</f>
        <v>13609710.940000027</v>
      </c>
      <c r="I6" s="600">
        <f>IF(H6=0,"",H6/G6)</f>
        <v>5.670712891666678E-2</v>
      </c>
      <c r="J6" s="651">
        <f>SUM('C4-FinPerf RE'!K6:K6)</f>
        <v>480000000</v>
      </c>
    </row>
    <row r="7" spans="1:10" ht="12.75" customHeight="1" x14ac:dyDescent="0.2">
      <c r="A7" s="153" t="s">
        <v>992</v>
      </c>
      <c r="B7" s="657">
        <f>SUM('C4-FinPerf RE'!C7:C11)</f>
        <v>1405749530</v>
      </c>
      <c r="C7" s="658">
        <f>SUM('C4-FinPerf RE'!D7:D11)</f>
        <v>1766071008</v>
      </c>
      <c r="D7" s="411">
        <f>SUM('C4-FinPerf RE'!E7:E11)</f>
        <v>1766071008</v>
      </c>
      <c r="E7" s="411">
        <f>SUM('C4-FinPerf RE'!F7:F11)</f>
        <v>177614520.28000003</v>
      </c>
      <c r="F7" s="411">
        <f>SUM('C4-FinPerf RE'!G7:G11)</f>
        <v>817015688.30999994</v>
      </c>
      <c r="G7" s="659">
        <f>SUM('C4-FinPerf RE'!H7:H11)</f>
        <v>883035504</v>
      </c>
      <c r="H7" s="411">
        <f>F7-G7</f>
        <v>-66019815.690000057</v>
      </c>
      <c r="I7" s="208">
        <f>IF(H7=0,"",H7/G7)</f>
        <v>-7.4764622023623703E-2</v>
      </c>
      <c r="J7" s="651">
        <f>SUM('C4-FinPerf RE'!K7:K11)</f>
        <v>1766071008</v>
      </c>
    </row>
    <row r="8" spans="1:10" ht="12.75" customHeight="1" x14ac:dyDescent="0.2">
      <c r="A8" s="153" t="s">
        <v>509</v>
      </c>
      <c r="B8" s="657">
        <f>'C4-FinPerf RE'!C13</f>
        <v>13123882</v>
      </c>
      <c r="C8" s="658">
        <f>'C4-FinPerf RE'!D13</f>
        <v>28917996</v>
      </c>
      <c r="D8" s="411">
        <f>'C4-FinPerf RE'!E13</f>
        <v>28917996</v>
      </c>
      <c r="E8" s="411">
        <f>'C4-FinPerf RE'!F13</f>
        <v>1285991.19</v>
      </c>
      <c r="F8" s="411">
        <f>'C4-FinPerf RE'!G13</f>
        <v>7800767.25</v>
      </c>
      <c r="G8" s="659">
        <f>'C4-FinPerf RE'!H13</f>
        <v>14458998</v>
      </c>
      <c r="H8" s="411">
        <f>F8-G8</f>
        <v>-6658230.75</v>
      </c>
      <c r="I8" s="208">
        <f>IF(H8=0,"",H8/G8)</f>
        <v>-0.4604904675967173</v>
      </c>
      <c r="J8" s="651">
        <f>'C4-FinPerf RE'!K13</f>
        <v>28917996</v>
      </c>
    </row>
    <row r="9" spans="1:10" ht="12.75" customHeight="1" x14ac:dyDescent="0.2">
      <c r="A9" s="153" t="s">
        <v>1154</v>
      </c>
      <c r="B9" s="657">
        <f>'C4-FinPerf RE'!C19</f>
        <v>951365113</v>
      </c>
      <c r="C9" s="658">
        <f>'C4-FinPerf RE'!D19</f>
        <v>1039367004</v>
      </c>
      <c r="D9" s="411">
        <f>'C4-FinPerf RE'!E19</f>
        <v>1039367004</v>
      </c>
      <c r="E9" s="411">
        <f>'C4-FinPerf RE'!F19</f>
        <v>202650112.21000001</v>
      </c>
      <c r="F9" s="411">
        <f>'C4-FinPerf RE'!G19</f>
        <v>621017191.66850007</v>
      </c>
      <c r="G9" s="659">
        <f>'C4-FinPerf RE'!H19</f>
        <v>519683502</v>
      </c>
      <c r="H9" s="411">
        <f>F9-G9</f>
        <v>101333689.66850007</v>
      </c>
      <c r="I9" s="208">
        <f>IF(H9=0,"",H9/G9)</f>
        <v>0.19499116150217918</v>
      </c>
      <c r="J9" s="651">
        <f>'C4-FinPerf RE'!K19</f>
        <v>1039367004</v>
      </c>
    </row>
    <row r="10" spans="1:10" ht="12.75" customHeight="1" x14ac:dyDescent="0.2">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481431624</v>
      </c>
      <c r="E10" s="412">
        <f>'C4-FinPerf RE'!F12+'C4-FinPerf RE'!F14+'C4-FinPerf RE'!F15+'C4-FinPerf RE'!F16+'C4-FinPerf RE'!F17+'C4-FinPerf RE'!F18+'C4-FinPerf RE'!F20+'C4-FinPerf RE'!F21</f>
        <v>20971993.050000001</v>
      </c>
      <c r="F10" s="412">
        <f>'C4-FinPerf RE'!G12+'C4-FinPerf RE'!G14+'C4-FinPerf RE'!G15+'C4-FinPerf RE'!G16+'C4-FinPerf RE'!G17+'C4-FinPerf RE'!G18+'C4-FinPerf RE'!G20+'C4-FinPerf RE'!G21</f>
        <v>136495408.54000002</v>
      </c>
      <c r="G10" s="662">
        <f>'C4-FinPerf RE'!H12+'C4-FinPerf RE'!H14+'C4-FinPerf RE'!H15+'C4-FinPerf RE'!H16+'C4-FinPerf RE'!H17+'C4-FinPerf RE'!H18+'C4-FinPerf RE'!H20+'C4-FinPerf RE'!H21</f>
        <v>240715812</v>
      </c>
      <c r="H10" s="412">
        <f>F10-G10</f>
        <v>-104220403.45999998</v>
      </c>
      <c r="I10" s="209">
        <f>IF(H10=0,"",H10/G10)</f>
        <v>-0.43296035517600306</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2959220618.02</v>
      </c>
      <c r="C11" s="665">
        <f t="shared" si="0"/>
        <v>3795787632</v>
      </c>
      <c r="D11" s="666">
        <f t="shared" si="0"/>
        <v>3795787632</v>
      </c>
      <c r="E11" s="666">
        <f t="shared" si="0"/>
        <v>444139107.20000005</v>
      </c>
      <c r="F11" s="666">
        <f t="shared" si="0"/>
        <v>1835938766.7084999</v>
      </c>
      <c r="G11" s="667">
        <f t="shared" si="0"/>
        <v>1897893816</v>
      </c>
      <c r="H11" s="666">
        <f t="shared" ref="H11:H25" si="1">F11-G11</f>
        <v>-61955049.291500092</v>
      </c>
      <c r="I11" s="602">
        <f t="shared" ref="I11:I25" si="2">IF(H11=0,"",H11/G11)</f>
        <v>-3.2644107256788749E-2</v>
      </c>
      <c r="J11" s="668">
        <f t="shared" si="0"/>
        <v>3795787632</v>
      </c>
    </row>
    <row r="12" spans="1:10" ht="12.75" customHeight="1" x14ac:dyDescent="0.2">
      <c r="A12" s="153" t="s">
        <v>487</v>
      </c>
      <c r="B12" s="657">
        <f>'C4-FinPerf RE'!C25</f>
        <v>854297099</v>
      </c>
      <c r="C12" s="658">
        <f>'C4-FinPerf RE'!D25</f>
        <v>921191480</v>
      </c>
      <c r="D12" s="411">
        <f>'C4-FinPerf RE'!E25</f>
        <v>921762604</v>
      </c>
      <c r="E12" s="411">
        <f>'C4-FinPerf RE'!F25</f>
        <v>72309450.720000058</v>
      </c>
      <c r="F12" s="411">
        <f>'C4-FinPerf RE'!G25</f>
        <v>430450549.7699998</v>
      </c>
      <c r="G12" s="659">
        <f>'C4-FinPerf RE'!H25</f>
        <v>460881302</v>
      </c>
      <c r="H12" s="411">
        <f t="shared" si="1"/>
        <v>-30430752.230000198</v>
      </c>
      <c r="I12" s="208">
        <f t="shared" si="2"/>
        <v>-6.6027309196414738E-2</v>
      </c>
      <c r="J12" s="651">
        <f>'C4-FinPerf RE'!K25</f>
        <v>921762604</v>
      </c>
    </row>
    <row r="13" spans="1:10" ht="12.75" customHeight="1" x14ac:dyDescent="0.2">
      <c r="A13" s="153" t="s">
        <v>867</v>
      </c>
      <c r="B13" s="657">
        <f>'C4-FinPerf RE'!C26</f>
        <v>37953706.430000007</v>
      </c>
      <c r="C13" s="658">
        <f>'C4-FinPerf RE'!D26</f>
        <v>40099968</v>
      </c>
      <c r="D13" s="411">
        <f>'C4-FinPerf RE'!E26</f>
        <v>40099968</v>
      </c>
      <c r="E13" s="411">
        <f>'C4-FinPerf RE'!F26</f>
        <v>3124241.19</v>
      </c>
      <c r="F13" s="411">
        <f>'C4-FinPerf RE'!G26</f>
        <v>18976071.939999998</v>
      </c>
      <c r="G13" s="659">
        <f>'C4-FinPerf RE'!H26</f>
        <v>20049984</v>
      </c>
      <c r="H13" s="411">
        <f t="shared" si="1"/>
        <v>-1073912.0600000024</v>
      </c>
      <c r="I13" s="208">
        <f t="shared" si="2"/>
        <v>-5.356174149565418E-2</v>
      </c>
      <c r="J13" s="651">
        <f>'C4-FinPerf RE'!K26</f>
        <v>40099968</v>
      </c>
    </row>
    <row r="14" spans="1:10" ht="12.75" customHeight="1" x14ac:dyDescent="0.2">
      <c r="A14" s="590" t="s">
        <v>684</v>
      </c>
      <c r="B14" s="657">
        <f>'C4-FinPerf RE'!C28</f>
        <v>729667597.54999995</v>
      </c>
      <c r="C14" s="658">
        <f>'C4-FinPerf RE'!D28</f>
        <v>236999988</v>
      </c>
      <c r="D14" s="411">
        <f>'C4-FinPerf RE'!E28</f>
        <v>237000000</v>
      </c>
      <c r="E14" s="411">
        <f>'C4-FinPerf RE'!F28</f>
        <v>19750000</v>
      </c>
      <c r="F14" s="411">
        <f>'C4-FinPerf RE'!G28</f>
        <v>118500000</v>
      </c>
      <c r="G14" s="659">
        <f>'C4-FinPerf RE'!H28</f>
        <v>118500000</v>
      </c>
      <c r="H14" s="411">
        <f t="shared" si="1"/>
        <v>0</v>
      </c>
      <c r="I14" s="208" t="str">
        <f t="shared" si="2"/>
        <v/>
      </c>
      <c r="J14" s="651">
        <f>'C4-FinPerf RE'!K28</f>
        <v>237000000</v>
      </c>
    </row>
    <row r="15" spans="1:10" ht="12.75" customHeight="1" x14ac:dyDescent="0.2">
      <c r="A15" s="153" t="s">
        <v>462</v>
      </c>
      <c r="B15" s="657">
        <f>'C4-FinPerf RE'!C29</f>
        <v>62780466.380000003</v>
      </c>
      <c r="C15" s="658">
        <f>'C4-FinPerf RE'!D29</f>
        <v>85122000</v>
      </c>
      <c r="D15" s="411">
        <f>'C4-FinPerf RE'!E29</f>
        <v>85122000</v>
      </c>
      <c r="E15" s="411">
        <f>'C4-FinPerf RE'!F29</f>
        <v>0</v>
      </c>
      <c r="F15" s="411">
        <f>'C4-FinPerf RE'!G29</f>
        <v>32464062.57</v>
      </c>
      <c r="G15" s="659">
        <f>'C4-FinPerf RE'!H29</f>
        <v>42561000</v>
      </c>
      <c r="H15" s="411">
        <f t="shared" si="1"/>
        <v>-10096937.43</v>
      </c>
      <c r="I15" s="208">
        <f t="shared" si="2"/>
        <v>-0.23723449707478678</v>
      </c>
      <c r="J15" s="651">
        <f>'C4-FinPerf RE'!K29</f>
        <v>85122000</v>
      </c>
    </row>
    <row r="16" spans="1:10" ht="12.75" customHeight="1" x14ac:dyDescent="0.2">
      <c r="A16" s="153" t="s">
        <v>508</v>
      </c>
      <c r="B16" s="657">
        <f>SUM('C4-FinPerf RE'!C30:C31)</f>
        <v>890309729.64999998</v>
      </c>
      <c r="C16" s="658">
        <f>SUM('C4-FinPerf RE'!D30:D31)</f>
        <v>1054135932</v>
      </c>
      <c r="D16" s="411">
        <f>SUM('C4-FinPerf RE'!E30:E31)</f>
        <v>1019858932</v>
      </c>
      <c r="E16" s="411">
        <f>SUM('C4-FinPerf RE'!F30:F31)</f>
        <v>72299158.25</v>
      </c>
      <c r="F16" s="411">
        <f>SUM('C4-FinPerf RE'!G30:G31)</f>
        <v>520121532.14000005</v>
      </c>
      <c r="G16" s="659">
        <f>SUM('C4-FinPerf RE'!H30:H31)</f>
        <v>509929466</v>
      </c>
      <c r="H16" s="411">
        <f t="shared" si="1"/>
        <v>10192066.140000045</v>
      </c>
      <c r="I16" s="600">
        <f t="shared" si="2"/>
        <v>1.9987207681777787E-2</v>
      </c>
      <c r="J16" s="651">
        <f>SUM('C4-FinPerf RE'!K30:K31)</f>
        <v>1019858932</v>
      </c>
    </row>
    <row r="17" spans="1:11" ht="12.75" customHeight="1" x14ac:dyDescent="0.2">
      <c r="A17" s="153" t="s">
        <v>1154</v>
      </c>
      <c r="B17" s="657">
        <f>'C4-FinPerf RE'!C33</f>
        <v>8420000</v>
      </c>
      <c r="C17" s="658">
        <f>'C4-FinPerf RE'!D33</f>
        <v>11500008</v>
      </c>
      <c r="D17" s="411">
        <f>'C4-FinPerf RE'!E33</f>
        <v>11500008</v>
      </c>
      <c r="E17" s="411">
        <f>'C4-FinPerf RE'!F33</f>
        <v>0</v>
      </c>
      <c r="F17" s="411">
        <f>'C4-FinPerf RE'!G33</f>
        <v>2940000</v>
      </c>
      <c r="G17" s="659">
        <f>'C4-FinPerf RE'!H33</f>
        <v>5750004</v>
      </c>
      <c r="H17" s="411">
        <f t="shared" si="1"/>
        <v>-2810004</v>
      </c>
      <c r="I17" s="208">
        <f t="shared" si="2"/>
        <v>-0.4886960078636467</v>
      </c>
      <c r="J17" s="651">
        <f>'C4-FinPerf RE'!K33</f>
        <v>11500008</v>
      </c>
    </row>
    <row r="18" spans="1:11" ht="12.75" customHeight="1" x14ac:dyDescent="0.2">
      <c r="A18" s="153" t="s">
        <v>443</v>
      </c>
      <c r="B18" s="657">
        <f>'C4-FinPerf RE'!C36-SUM('C1-Sum'!B12:B17)</f>
        <v>1205860462.27</v>
      </c>
      <c r="C18" s="658">
        <f>'C4-FinPerf RE'!D36-SUM('C1-Sum'!C12:C17)</f>
        <v>1200881140</v>
      </c>
      <c r="D18" s="411">
        <f>'C4-FinPerf RE'!E36-SUM('C1-Sum'!D12:D17)</f>
        <v>1232361000</v>
      </c>
      <c r="E18" s="411">
        <f>'C4-FinPerf RE'!F36-SUM('C1-Sum'!E12:E17)</f>
        <v>102411838.06000003</v>
      </c>
      <c r="F18" s="411">
        <f>'C4-FinPerf RE'!G36-SUM('C1-Sum'!F12:F17)</f>
        <v>524041269.25999999</v>
      </c>
      <c r="G18" s="659">
        <f>'C4-FinPerf RE'!H36-SUM('C1-Sum'!G12:G17)</f>
        <v>616180500</v>
      </c>
      <c r="H18" s="411">
        <f t="shared" si="1"/>
        <v>-92139230.74000001</v>
      </c>
      <c r="I18" s="208">
        <f t="shared" si="2"/>
        <v>-0.149532857239072</v>
      </c>
      <c r="J18" s="651">
        <f>'C4-FinPerf RE'!K36-SUM('C1-Sum'!J12:J17)</f>
        <v>1232361000</v>
      </c>
    </row>
    <row r="19" spans="1:11" ht="12.75" customHeight="1" x14ac:dyDescent="0.2">
      <c r="A19" s="592" t="s">
        <v>501</v>
      </c>
      <c r="B19" s="669">
        <f t="shared" ref="B19:G19" si="3">SUM(B12:B18)</f>
        <v>3789289061.2800002</v>
      </c>
      <c r="C19" s="670">
        <f t="shared" si="3"/>
        <v>3549930516</v>
      </c>
      <c r="D19" s="671">
        <f t="shared" si="3"/>
        <v>3547704512</v>
      </c>
      <c r="E19" s="671">
        <f t="shared" si="3"/>
        <v>269894688.22000009</v>
      </c>
      <c r="F19" s="671">
        <f t="shared" si="3"/>
        <v>1647493485.6799998</v>
      </c>
      <c r="G19" s="672">
        <f t="shared" si="3"/>
        <v>1773852256</v>
      </c>
      <c r="H19" s="671">
        <f t="shared" si="1"/>
        <v>-126358770.32000017</v>
      </c>
      <c r="I19" s="385">
        <f t="shared" si="2"/>
        <v>-7.1234100750271381E-2</v>
      </c>
      <c r="J19" s="673">
        <f>SUM(J12:J18)</f>
        <v>3547704512</v>
      </c>
    </row>
    <row r="20" spans="1:11" ht="12.75" customHeight="1" x14ac:dyDescent="0.2">
      <c r="A20" s="154" t="s">
        <v>502</v>
      </c>
      <c r="B20" s="674">
        <f t="shared" ref="B20:G20" si="4">B11-B19</f>
        <v>-830068443.26000023</v>
      </c>
      <c r="C20" s="675">
        <f t="shared" si="4"/>
        <v>245857116</v>
      </c>
      <c r="D20" s="646">
        <f t="shared" si="4"/>
        <v>248083120</v>
      </c>
      <c r="E20" s="646">
        <f t="shared" si="4"/>
        <v>174244418.97999996</v>
      </c>
      <c r="F20" s="646">
        <f t="shared" si="4"/>
        <v>188445281.02850008</v>
      </c>
      <c r="G20" s="676">
        <f t="shared" si="4"/>
        <v>124041560</v>
      </c>
      <c r="H20" s="646">
        <f t="shared" si="1"/>
        <v>64403721.02850008</v>
      </c>
      <c r="I20" s="207">
        <f t="shared" si="2"/>
        <v>0.5192108276330939</v>
      </c>
      <c r="J20" s="650">
        <f>J11-J19</f>
        <v>248083120</v>
      </c>
    </row>
    <row r="21" spans="1:11" ht="12.75" customHeight="1" x14ac:dyDescent="0.2">
      <c r="A21" s="153" t="str">
        <f>'C4-FinPerf RE'!A39</f>
        <v>Transfers and subsidies - capital (monetary allocations) (National / Provincial and District)</v>
      </c>
      <c r="B21" s="657">
        <f>'C4-FinPerf RE'!C39</f>
        <v>1086422713</v>
      </c>
      <c r="C21" s="658">
        <f>'C4-FinPerf RE'!D39</f>
        <v>1267135992</v>
      </c>
      <c r="D21" s="411">
        <f>'C4-FinPerf RE'!E39</f>
        <v>1267135992</v>
      </c>
      <c r="E21" s="411">
        <f>'C4-FinPerf RE'!F39</f>
        <v>135213583.99400002</v>
      </c>
      <c r="F21" s="411">
        <f>'C4-FinPerf RE'!G39</f>
        <v>479559995.40900004</v>
      </c>
      <c r="G21" s="659">
        <f>'C4-FinPerf RE'!H39</f>
        <v>633567996</v>
      </c>
      <c r="H21" s="411">
        <f t="shared" si="1"/>
        <v>-154008000.59099996</v>
      </c>
      <c r="I21" s="208">
        <f t="shared" si="2"/>
        <v>-0.24308046107650924</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256354269.73999977</v>
      </c>
      <c r="C23" s="665">
        <f t="shared" si="5"/>
        <v>1512993108</v>
      </c>
      <c r="D23" s="666">
        <f t="shared" si="5"/>
        <v>1515219112</v>
      </c>
      <c r="E23" s="666">
        <f t="shared" si="5"/>
        <v>309458002.97399998</v>
      </c>
      <c r="F23" s="666">
        <f t="shared" si="5"/>
        <v>668005276.43750012</v>
      </c>
      <c r="G23" s="667">
        <f t="shared" si="5"/>
        <v>757609556</v>
      </c>
      <c r="H23" s="666">
        <f t="shared" si="1"/>
        <v>-89604279.562499881</v>
      </c>
      <c r="I23" s="601">
        <f t="shared" si="2"/>
        <v>-0.11827237242833812</v>
      </c>
      <c r="J23" s="668">
        <f>J20+J21+J22</f>
        <v>1515219112</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256354269.73999977</v>
      </c>
      <c r="C25" s="675">
        <f t="shared" si="6"/>
        <v>1512993108</v>
      </c>
      <c r="D25" s="646">
        <f t="shared" si="6"/>
        <v>1515219112</v>
      </c>
      <c r="E25" s="646">
        <f t="shared" si="6"/>
        <v>309458002.97399998</v>
      </c>
      <c r="F25" s="646">
        <f t="shared" si="6"/>
        <v>668005276.43750012</v>
      </c>
      <c r="G25" s="676">
        <f t="shared" si="6"/>
        <v>757609556</v>
      </c>
      <c r="H25" s="646">
        <f t="shared" si="1"/>
        <v>-89604279.562499881</v>
      </c>
      <c r="I25" s="207">
        <f t="shared" si="2"/>
        <v>-0.11827237242833812</v>
      </c>
      <c r="J25" s="650">
        <f>J23+J24</f>
        <v>1515219112</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1369152210.2073689</v>
      </c>
      <c r="C28" s="670">
        <f>'C5-Capex'!D40</f>
        <v>1889186000</v>
      </c>
      <c r="D28" s="671">
        <f>'C5-Capex'!E40</f>
        <v>1830632104</v>
      </c>
      <c r="E28" s="671">
        <f>'C5-Capex'!F40</f>
        <v>152138184.78950003</v>
      </c>
      <c r="F28" s="671">
        <f>'C5-Capex'!G40</f>
        <v>533323379.42550004</v>
      </c>
      <c r="G28" s="672">
        <f>'C5-Capex'!H40</f>
        <v>915079385</v>
      </c>
      <c r="H28" s="671">
        <f t="shared" ref="H28:H33" si="7">F28-G28</f>
        <v>-381756005.57449996</v>
      </c>
      <c r="I28" s="385">
        <f t="shared" ref="I28:I33" si="8">IF(H28=0,"",H28/G28)</f>
        <v>-0.41718348356683826</v>
      </c>
      <c r="J28" s="673">
        <f>'C5-Capex'!K40</f>
        <v>1830632080</v>
      </c>
    </row>
    <row r="29" spans="1:11" ht="12.75" customHeight="1" x14ac:dyDescent="0.2">
      <c r="A29" s="153" t="s">
        <v>512</v>
      </c>
      <c r="B29" s="657">
        <f>'C5-Capex'!C70</f>
        <v>1070478839.6583691</v>
      </c>
      <c r="C29" s="658">
        <f>'C5-Capex'!D70</f>
        <v>1281136000</v>
      </c>
      <c r="D29" s="411">
        <f>'C5-Capex'!E70</f>
        <v>1281136000</v>
      </c>
      <c r="E29" s="411">
        <f>'C5-Capex'!F70</f>
        <v>135213583.99400002</v>
      </c>
      <c r="F29" s="411">
        <f>'C5-Capex'!G70</f>
        <v>479946951.66400003</v>
      </c>
      <c r="G29" s="659">
        <f>'C5-Capex'!H70</f>
        <v>640568000</v>
      </c>
      <c r="H29" s="411">
        <f t="shared" si="7"/>
        <v>-160621048.33599997</v>
      </c>
      <c r="I29" s="600">
        <f t="shared" si="8"/>
        <v>-0.25074784930873845</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6767425.7460000003</v>
      </c>
      <c r="C31" s="658">
        <f>'C5-Capex'!D72</f>
        <v>380000000</v>
      </c>
      <c r="D31" s="411">
        <f>'C5-Capex'!E72</f>
        <v>380000000</v>
      </c>
      <c r="E31" s="411">
        <f>'C5-Capex'!F72</f>
        <v>8379882.5369999995</v>
      </c>
      <c r="F31" s="411">
        <f>'C5-Capex'!G72</f>
        <v>15293141.2205</v>
      </c>
      <c r="G31" s="659">
        <f>'C5-Capex'!H72</f>
        <v>190000000</v>
      </c>
      <c r="H31" s="411">
        <f t="shared" si="7"/>
        <v>-174706858.77950001</v>
      </c>
      <c r="I31" s="208">
        <f t="shared" si="8"/>
        <v>-0.91950978305000008</v>
      </c>
      <c r="J31" s="651">
        <f>'C5-Capex'!K72</f>
        <v>380000000</v>
      </c>
      <c r="K31" s="157"/>
    </row>
    <row r="32" spans="1:11" ht="12.75" customHeight="1" x14ac:dyDescent="0.2">
      <c r="A32" s="153" t="s">
        <v>484</v>
      </c>
      <c r="B32" s="669">
        <f>'C5-Capex'!C73</f>
        <v>291905944.80299997</v>
      </c>
      <c r="C32" s="670">
        <f>'C5-Capex'!D73</f>
        <v>228050000</v>
      </c>
      <c r="D32" s="671">
        <f>'C5-Capex'!E73</f>
        <v>169496004</v>
      </c>
      <c r="E32" s="671">
        <f>'C5-Capex'!F73</f>
        <v>8544718.2584999986</v>
      </c>
      <c r="F32" s="671">
        <f>'C5-Capex'!G73</f>
        <v>38051566.3785</v>
      </c>
      <c r="G32" s="672">
        <f>'C5-Capex'!H73</f>
        <v>84748002</v>
      </c>
      <c r="H32" s="671">
        <f t="shared" si="7"/>
        <v>-46696435.6215</v>
      </c>
      <c r="I32" s="385">
        <f t="shared" si="8"/>
        <v>-0.55100338084076605</v>
      </c>
      <c r="J32" s="673">
        <f>'C5-Capex'!K73</f>
        <v>169496004</v>
      </c>
      <c r="K32" s="157"/>
    </row>
    <row r="33" spans="1:10" ht="12.75" customHeight="1" x14ac:dyDescent="0.2">
      <c r="A33" s="592" t="s">
        <v>143</v>
      </c>
      <c r="B33" s="677">
        <f t="shared" ref="B33:J33" si="9">SUM(B29:B32)</f>
        <v>1369152210.2073691</v>
      </c>
      <c r="C33" s="622">
        <f t="shared" si="9"/>
        <v>1889186000</v>
      </c>
      <c r="D33" s="620">
        <f t="shared" si="9"/>
        <v>1830632004</v>
      </c>
      <c r="E33" s="620">
        <f>SUM(E29:E32)</f>
        <v>152138184.78950003</v>
      </c>
      <c r="F33" s="620">
        <f>SUM(F29:F32)</f>
        <v>533291659.26300001</v>
      </c>
      <c r="G33" s="621">
        <f>SUM(G29:G32)</f>
        <v>915316002</v>
      </c>
      <c r="H33" s="620">
        <f t="shared" si="7"/>
        <v>-382024342.73699999</v>
      </c>
      <c r="I33" s="603">
        <f t="shared" si="8"/>
        <v>-0.41736880148742334</v>
      </c>
      <c r="J33" s="623">
        <f t="shared" si="9"/>
        <v>1830632004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1390296268</v>
      </c>
      <c r="C36" s="658">
        <f>'C6-FinPos'!D13</f>
        <v>973408779.6500001</v>
      </c>
      <c r="D36" s="411">
        <f>'C6-FinPos'!E13</f>
        <v>840496063.76000023</v>
      </c>
      <c r="E36" s="411"/>
      <c r="F36" s="411">
        <f>'C6-FinPos'!F13</f>
        <v>1888697131.1999996</v>
      </c>
      <c r="G36" s="218"/>
      <c r="H36" s="218"/>
      <c r="I36" s="220"/>
      <c r="J36" s="651">
        <f>'C6-FinPos'!G13</f>
        <v>840496063.76000023</v>
      </c>
    </row>
    <row r="37" spans="1:10" ht="12.75" customHeight="1" x14ac:dyDescent="0.2">
      <c r="A37" s="153" t="s">
        <v>651</v>
      </c>
      <c r="B37" s="657">
        <f>'C6-FinPos'!C25</f>
        <v>13907018689</v>
      </c>
      <c r="C37" s="658">
        <f>'C6-FinPos'!D25</f>
        <v>16706838387</v>
      </c>
      <c r="D37" s="411">
        <f>'C6-FinPos'!E25</f>
        <v>16648284391</v>
      </c>
      <c r="E37" s="411"/>
      <c r="F37" s="411">
        <f>'C6-FinPos'!F25</f>
        <v>14440310348.263</v>
      </c>
      <c r="G37" s="218"/>
      <c r="H37" s="218"/>
      <c r="I37" s="220"/>
      <c r="J37" s="651">
        <f>'C6-FinPos'!G25</f>
        <v>16648284391</v>
      </c>
    </row>
    <row r="38" spans="1:10" ht="12.75" customHeight="1" x14ac:dyDescent="0.2">
      <c r="A38" s="153" t="s">
        <v>469</v>
      </c>
      <c r="B38" s="657">
        <f>'C6-FinPos'!C35</f>
        <v>1358325729</v>
      </c>
      <c r="C38" s="658">
        <f>'C6-FinPos'!D35</f>
        <v>631804000</v>
      </c>
      <c r="D38" s="411">
        <f>'C6-FinPos'!E35</f>
        <v>631804000</v>
      </c>
      <c r="E38" s="411"/>
      <c r="F38" s="411">
        <f>'C6-FinPos'!F35</f>
        <v>790015707.89249992</v>
      </c>
      <c r="G38" s="218"/>
      <c r="H38" s="218"/>
      <c r="I38" s="220"/>
      <c r="J38" s="651">
        <f>'C6-FinPos'!G35</f>
        <v>631804000</v>
      </c>
    </row>
    <row r="39" spans="1:10" ht="12.75" customHeight="1" x14ac:dyDescent="0.2">
      <c r="A39" s="153" t="s">
        <v>468</v>
      </c>
      <c r="B39" s="657">
        <f>'C6-FinPos'!C40</f>
        <v>905588668</v>
      </c>
      <c r="C39" s="658">
        <f>'C6-FinPos'!D40</f>
        <v>1130489654</v>
      </c>
      <c r="D39" s="411">
        <f>'C6-FinPos'!E40</f>
        <v>1130489654</v>
      </c>
      <c r="E39" s="411"/>
      <c r="F39" s="411">
        <f>'C6-FinPos'!F40</f>
        <v>895422249.76999998</v>
      </c>
      <c r="G39" s="218"/>
      <c r="H39" s="218"/>
      <c r="I39" s="220"/>
      <c r="J39" s="651">
        <f>'C6-FinPos'!G40</f>
        <v>1130489654</v>
      </c>
    </row>
    <row r="40" spans="1:10" ht="12.75" customHeight="1" x14ac:dyDescent="0.2">
      <c r="A40" s="592" t="s">
        <v>142</v>
      </c>
      <c r="B40" s="674">
        <f>'C6-FinPos'!C48</f>
        <v>13033400560</v>
      </c>
      <c r="C40" s="675">
        <f>'C6-FinPos'!D48</f>
        <v>15917953512.650002</v>
      </c>
      <c r="D40" s="646">
        <f>'C6-FinPos'!E48</f>
        <v>15726486800.760002</v>
      </c>
      <c r="E40" s="411"/>
      <c r="F40" s="646">
        <f>'C6-FinPos'!F48</f>
        <v>14643569521.800499</v>
      </c>
      <c r="G40" s="604"/>
      <c r="H40" s="604"/>
      <c r="I40" s="605"/>
      <c r="J40" s="650">
        <f>'C6-FinPos'!G48</f>
        <v>15726486800.760002</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1206281337.1538014</v>
      </c>
      <c r="C43" s="658">
        <f>'C7-CFlow'!D18</f>
        <v>1582961409</v>
      </c>
      <c r="D43" s="411">
        <f>'C7-CFlow'!E18</f>
        <v>1524961408.999999</v>
      </c>
      <c r="E43" s="411">
        <f>'C7-CFlow'!F18</f>
        <v>46006224.206166148</v>
      </c>
      <c r="F43" s="411">
        <f>'C7-CFlow'!G18</f>
        <v>665006119.31150222</v>
      </c>
      <c r="G43" s="659">
        <f>'C7-CFlow'!H18</f>
        <v>762480704.49999952</v>
      </c>
      <c r="H43" s="411">
        <f>G43-F43</f>
        <v>97474585.188497305</v>
      </c>
      <c r="I43" s="208">
        <f>IF(H43=0,"",H43/G43)</f>
        <v>0.12783875659177074</v>
      </c>
      <c r="J43" s="651">
        <f>'C7-CFlow'!K18</f>
        <v>1524961408.999999</v>
      </c>
    </row>
    <row r="44" spans="1:10" ht="12.75" customHeight="1" x14ac:dyDescent="0.2">
      <c r="A44" s="153" t="s">
        <v>669</v>
      </c>
      <c r="B44" s="657">
        <f>'C7-CFlow'!C28</f>
        <v>-1061415964.723804</v>
      </c>
      <c r="C44" s="658">
        <f>'C7-CFlow'!D28</f>
        <v>-1816379813.4399998</v>
      </c>
      <c r="D44" s="411">
        <f>'C7-CFlow'!E28</f>
        <v>-1757825817.4399998</v>
      </c>
      <c r="E44" s="411">
        <f>'C7-CFlow'!F28</f>
        <v>-152138184.7895</v>
      </c>
      <c r="F44" s="411">
        <f>'C7-CFlow'!G28</f>
        <v>-414898518.21149999</v>
      </c>
      <c r="G44" s="659">
        <f>'C7-CFlow'!H28</f>
        <v>-878912908.72000003</v>
      </c>
      <c r="H44" s="411">
        <f>G44-F44</f>
        <v>-464014390.50850004</v>
      </c>
      <c r="I44" s="208">
        <f>IF(H44=0,"",H44/G44)</f>
        <v>0.52794126233083194</v>
      </c>
      <c r="J44" s="651">
        <f>'C7-CFlow'!K28</f>
        <v>-1757825817.4399998</v>
      </c>
    </row>
    <row r="45" spans="1:10" ht="12.75" customHeight="1" x14ac:dyDescent="0.2">
      <c r="A45" s="153" t="s">
        <v>667</v>
      </c>
      <c r="B45" s="657">
        <f>'C7-CFlow'!C37</f>
        <v>-87756567.329999998</v>
      </c>
      <c r="C45" s="658">
        <f>'C7-CFlow'!D37</f>
        <v>240000000</v>
      </c>
      <c r="D45" s="411">
        <f>'C7-CFlow'!E37</f>
        <v>240000000</v>
      </c>
      <c r="E45" s="411">
        <f>'C7-CFlow'!F37</f>
        <v>-24495043.259999998</v>
      </c>
      <c r="F45" s="411">
        <f>'C7-CFlow'!G37</f>
        <v>-44359055.080000103</v>
      </c>
      <c r="G45" s="659">
        <f>'C7-CFlow'!H37</f>
        <v>120000000</v>
      </c>
      <c r="H45" s="411">
        <f>G45-F45</f>
        <v>164359055.0800001</v>
      </c>
      <c r="I45" s="208">
        <f>IF(H45=0,"",H45/G45)</f>
        <v>1.3696587923333341</v>
      </c>
      <c r="J45" s="651">
        <f>'C7-CFlow'!K37</f>
        <v>240000000</v>
      </c>
    </row>
    <row r="46" spans="1:10" ht="12.75" customHeight="1" x14ac:dyDescent="0.2">
      <c r="A46" s="154" t="s">
        <v>54</v>
      </c>
      <c r="B46" s="674">
        <f>'C7-CFlow'!C41</f>
        <v>61635083.999997444</v>
      </c>
      <c r="C46" s="675">
        <f>'C7-CFlow'!D41</f>
        <v>166129395.45000017</v>
      </c>
      <c r="D46" s="646">
        <f>'C7-CFlow'!E41</f>
        <v>68770675.559999228</v>
      </c>
      <c r="E46" s="646">
        <f>'C7-CFlow'!F41</f>
        <v>0</v>
      </c>
      <c r="F46" s="646">
        <f>'C7-CFlow'!G41</f>
        <v>267383630.01999956</v>
      </c>
      <c r="G46" s="676">
        <f>'C7-CFlow'!H41</f>
        <v>65202879.779999495</v>
      </c>
      <c r="H46" s="646">
        <f>G46-F46</f>
        <v>-202180750.24000007</v>
      </c>
      <c r="I46" s="207">
        <f>IF(H46=0,"",H46/G46)</f>
        <v>-3.1007947949872228</v>
      </c>
      <c r="J46" s="650">
        <f>'C7-CFlow'!K41</f>
        <v>68770675.559996665</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240646147</v>
      </c>
      <c r="C50" s="658">
        <f>'SC3'!D14</f>
        <v>76739990</v>
      </c>
      <c r="D50" s="411">
        <f>'SC3'!E14</f>
        <v>53876246</v>
      </c>
      <c r="E50" s="411">
        <f>'SC3'!F14</f>
        <v>49750121</v>
      </c>
      <c r="F50" s="411">
        <f>'SC3'!G14</f>
        <v>37769812</v>
      </c>
      <c r="G50" s="659">
        <f>'SC3'!H14</f>
        <v>35251921</v>
      </c>
      <c r="H50" s="411">
        <f>'SC3'!I14</f>
        <v>123912857</v>
      </c>
      <c r="I50" s="659">
        <f>'SC3'!J14</f>
        <v>863267445</v>
      </c>
      <c r="J50" s="651">
        <f>'SC3'!K14</f>
        <v>1481214539</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123593396.74000001</v>
      </c>
      <c r="C52" s="658">
        <f>'SC4'!D15</f>
        <v>26139374.91</v>
      </c>
      <c r="D52" s="411">
        <f>'SC4'!E15</f>
        <v>7612241.8899999997</v>
      </c>
      <c r="E52" s="411">
        <f>'SC4'!F15</f>
        <v>0</v>
      </c>
      <c r="F52" s="411">
        <f>'SC4'!G15</f>
        <v>26324924.82</v>
      </c>
      <c r="G52" s="659">
        <f>'SC4'!H15</f>
        <v>0</v>
      </c>
      <c r="H52" s="411">
        <f>'SC4'!I15</f>
        <v>0</v>
      </c>
      <c r="I52" s="659">
        <f>'SC4'!J15</f>
        <v>0</v>
      </c>
      <c r="J52" s="651">
        <f>'SC4'!K15</f>
        <v>183669938.36000001</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3"/>
      <c r="B55" s="1023"/>
      <c r="C55" s="1023"/>
      <c r="D55" s="1023"/>
      <c r="E55" s="1023"/>
      <c r="F55" s="1023"/>
      <c r="G55" s="1023"/>
      <c r="H55" s="1023"/>
      <c r="I55" s="1023"/>
      <c r="J55" s="1023"/>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8" activePane="bottomRight" state="frozen"/>
      <selection pane="topRight"/>
      <selection pane="bottomLeft"/>
      <selection pane="bottomRight" activeCell="O50" sqref="O50"/>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3" t="str">
        <f>muni&amp; " - "&amp;S71A&amp; " - "&amp;date</f>
        <v>LIM354 Polokwane - Table C2 Monthly Budget Statement - Financial Performance (functional classification) - M06 December</v>
      </c>
      <c r="B1" s="1033"/>
      <c r="C1" s="1033"/>
      <c r="D1" s="1033"/>
      <c r="E1" s="1033"/>
      <c r="F1" s="1033"/>
      <c r="G1" s="1033"/>
      <c r="H1" s="1033"/>
      <c r="I1" s="1033"/>
      <c r="J1" s="1033"/>
      <c r="K1" s="1033"/>
    </row>
    <row r="2" spans="1:18" x14ac:dyDescent="0.2">
      <c r="A2" s="1031" t="str">
        <f>desc</f>
        <v>Description</v>
      </c>
      <c r="B2" s="1029" t="str">
        <f>head27</f>
        <v>Ref</v>
      </c>
      <c r="C2" s="24" t="str">
        <f>Head1</f>
        <v>2018/19</v>
      </c>
      <c r="D2" s="232" t="str">
        <f>Head2</f>
        <v>Budget Year 2019/20</v>
      </c>
      <c r="E2" s="230"/>
      <c r="F2" s="230"/>
      <c r="G2" s="230"/>
      <c r="H2" s="230"/>
      <c r="I2" s="230"/>
      <c r="J2" s="230"/>
      <c r="K2" s="231"/>
    </row>
    <row r="3" spans="1:18" ht="20.399999999999999" x14ac:dyDescent="0.2">
      <c r="A3" s="1032"/>
      <c r="B3" s="103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2475483599.21</v>
      </c>
      <c r="D6" s="678">
        <f t="shared" si="0"/>
        <v>3150801864</v>
      </c>
      <c r="E6" s="646">
        <f t="shared" si="0"/>
        <v>3150801864</v>
      </c>
      <c r="F6" s="646">
        <f t="shared" si="0"/>
        <v>390113218.06400001</v>
      </c>
      <c r="G6" s="646">
        <f t="shared" si="0"/>
        <v>1421234394.7674999</v>
      </c>
      <c r="H6" s="646">
        <f t="shared" si="0"/>
        <v>1575400600</v>
      </c>
      <c r="I6" s="48">
        <f t="shared" ref="I6:I13" si="1">G6-H6</f>
        <v>-154166205.23250008</v>
      </c>
      <c r="J6" s="201">
        <f>IF(I6=0,"",I6/H6)</f>
        <v>-9.7858414699410465E-2</v>
      </c>
      <c r="K6" s="650">
        <f>SUM(K7:K9)</f>
        <v>3150801864</v>
      </c>
      <c r="L6" s="101"/>
      <c r="Q6" s="70"/>
      <c r="R6" s="71"/>
    </row>
    <row r="7" spans="1:18" ht="12.75" customHeight="1" x14ac:dyDescent="0.2">
      <c r="A7" s="419" t="s">
        <v>112</v>
      </c>
      <c r="B7" s="418"/>
      <c r="C7" s="651">
        <f>'C2C'!C7</f>
        <v>0</v>
      </c>
      <c r="D7" s="679">
        <f>'C2C'!D7</f>
        <v>2003988</v>
      </c>
      <c r="E7" s="411">
        <f>'C2C'!E7</f>
        <v>2003988</v>
      </c>
      <c r="F7" s="411">
        <f>'C2C'!F7</f>
        <v>0</v>
      </c>
      <c r="G7" s="411">
        <f>'C2C'!G7</f>
        <v>0</v>
      </c>
      <c r="H7" s="411">
        <f>'C2C'!H7</f>
        <v>1001579</v>
      </c>
      <c r="I7" s="48">
        <f t="shared" si="1"/>
        <v>-1001579</v>
      </c>
      <c r="J7" s="201">
        <f t="shared" ref="J7:J26" si="2">IF(I7=0,"",I7/H7)</f>
        <v>-1</v>
      </c>
      <c r="K7" s="651">
        <f>'C2C'!K7</f>
        <v>2003988</v>
      </c>
      <c r="L7" s="101"/>
      <c r="Q7" s="70"/>
      <c r="R7" s="71"/>
    </row>
    <row r="8" spans="1:18" ht="12.75" customHeight="1" x14ac:dyDescent="0.2">
      <c r="A8" s="419" t="s">
        <v>1159</v>
      </c>
      <c r="B8" s="418"/>
      <c r="C8" s="652">
        <f>'C2C'!C10</f>
        <v>2475483599.21</v>
      </c>
      <c r="D8" s="680">
        <f>'C2C'!D10</f>
        <v>3148796880</v>
      </c>
      <c r="E8" s="681">
        <f>'C2C'!E10</f>
        <v>3148797876</v>
      </c>
      <c r="F8" s="681">
        <f>'C2C'!F10</f>
        <v>390113218.06400001</v>
      </c>
      <c r="G8" s="681">
        <f>'C2C'!G10</f>
        <v>1421234394.7674999</v>
      </c>
      <c r="H8" s="681">
        <f>'C2C'!H10</f>
        <v>1574398938</v>
      </c>
      <c r="I8" s="48">
        <f t="shared" si="1"/>
        <v>-153164543.23250008</v>
      </c>
      <c r="J8" s="201">
        <f t="shared" si="2"/>
        <v>-9.7284455378932724E-2</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22790892</v>
      </c>
      <c r="F10" s="646">
        <f t="shared" si="3"/>
        <v>554775.79999999993</v>
      </c>
      <c r="G10" s="646">
        <f t="shared" si="3"/>
        <v>4228678.41</v>
      </c>
      <c r="H10" s="646">
        <f t="shared" si="3"/>
        <v>11395446</v>
      </c>
      <c r="I10" s="48">
        <f t="shared" si="1"/>
        <v>-7166767.5899999999</v>
      </c>
      <c r="J10" s="201">
        <f t="shared" si="2"/>
        <v>-0.62891505869976483</v>
      </c>
      <c r="K10" s="650">
        <f>SUM(K11:K15)</f>
        <v>22790892</v>
      </c>
      <c r="L10" s="101"/>
      <c r="Q10" s="70"/>
      <c r="R10" s="71"/>
    </row>
    <row r="11" spans="1:18" ht="12.75" customHeight="1" x14ac:dyDescent="0.2">
      <c r="A11" s="419" t="s">
        <v>114</v>
      </c>
      <c r="B11" s="418"/>
      <c r="C11" s="651">
        <f>'C2C'!C28</f>
        <v>294893.93</v>
      </c>
      <c r="D11" s="679">
        <f>'C2C'!D28</f>
        <v>1700964</v>
      </c>
      <c r="E11" s="411">
        <f>'C2C'!E28</f>
        <v>1700964</v>
      </c>
      <c r="F11" s="411">
        <f>'C2C'!F28</f>
        <v>114742.92</v>
      </c>
      <c r="G11" s="411">
        <f>'C2C'!G28</f>
        <v>1109291.02</v>
      </c>
      <c r="H11" s="411">
        <f>'C2C'!H28</f>
        <v>850482</v>
      </c>
      <c r="I11" s="48">
        <f t="shared" si="1"/>
        <v>258809.02000000002</v>
      </c>
      <c r="J11" s="201">
        <f t="shared" si="2"/>
        <v>0.30430863910112149</v>
      </c>
      <c r="K11" s="651">
        <f>'C2C'!K28</f>
        <v>1700964</v>
      </c>
      <c r="L11" s="101"/>
      <c r="Q11" s="70"/>
      <c r="R11" s="71"/>
    </row>
    <row r="12" spans="1:18" ht="12.75" customHeight="1" x14ac:dyDescent="0.2">
      <c r="A12" s="419" t="s">
        <v>115</v>
      </c>
      <c r="B12" s="418"/>
      <c r="C12" s="651">
        <f>'C2C'!C50</f>
        <v>26732122.819999997</v>
      </c>
      <c r="D12" s="679">
        <f>'C2C'!D50</f>
        <v>11874948</v>
      </c>
      <c r="E12" s="411">
        <f>'C2C'!E50</f>
        <v>11874948</v>
      </c>
      <c r="F12" s="411">
        <f>'C2C'!F50</f>
        <v>298147.38999999996</v>
      </c>
      <c r="G12" s="411">
        <f>'C2C'!G50</f>
        <v>2217847.31</v>
      </c>
      <c r="H12" s="411">
        <f>'C2C'!H50</f>
        <v>5937474</v>
      </c>
      <c r="I12" s="48">
        <f t="shared" si="1"/>
        <v>-3719626.69</v>
      </c>
      <c r="J12" s="201">
        <f t="shared" si="2"/>
        <v>-0.62646618578877145</v>
      </c>
      <c r="K12" s="651">
        <f>'C2C'!K50</f>
        <v>11874948</v>
      </c>
      <c r="L12" s="101"/>
      <c r="Q12" s="70"/>
      <c r="R12" s="71"/>
    </row>
    <row r="13" spans="1:18" ht="12.75" customHeight="1" x14ac:dyDescent="0.2">
      <c r="A13" s="419" t="s">
        <v>116</v>
      </c>
      <c r="B13" s="418"/>
      <c r="C13" s="651">
        <f>'C2C'!C56</f>
        <v>532618.05999999994</v>
      </c>
      <c r="D13" s="679">
        <f>'C2C'!D56</f>
        <v>354000</v>
      </c>
      <c r="E13" s="411">
        <f>'C2C'!E56</f>
        <v>354000</v>
      </c>
      <c r="F13" s="411">
        <f>'C2C'!F56</f>
        <v>51230.55</v>
      </c>
      <c r="G13" s="411">
        <f>'C2C'!G56</f>
        <v>373988.84</v>
      </c>
      <c r="H13" s="411">
        <f>'C2C'!H56</f>
        <v>177000</v>
      </c>
      <c r="I13" s="48">
        <f t="shared" si="1"/>
        <v>196988.84000000003</v>
      </c>
      <c r="J13" s="201">
        <f t="shared" si="2"/>
        <v>1.1129312994350284</v>
      </c>
      <c r="K13" s="651">
        <f>'C2C'!K56</f>
        <v>354000</v>
      </c>
      <c r="L13" s="101"/>
      <c r="Q13" s="70"/>
      <c r="R13" s="71"/>
    </row>
    <row r="14" spans="1:18" ht="12.75" customHeight="1" x14ac:dyDescent="0.2">
      <c r="A14" s="419" t="s">
        <v>733</v>
      </c>
      <c r="B14" s="418"/>
      <c r="C14" s="651">
        <f>'C2C'!C63</f>
        <v>305517.13</v>
      </c>
      <c r="D14" s="679">
        <f>'C2C'!D63</f>
        <v>8857992</v>
      </c>
      <c r="E14" s="411">
        <f>'C2C'!E63</f>
        <v>8857992</v>
      </c>
      <c r="F14" s="411">
        <f>'C2C'!F63</f>
        <v>90654.94</v>
      </c>
      <c r="G14" s="411">
        <f>'C2C'!G63</f>
        <v>527277.24</v>
      </c>
      <c r="H14" s="411">
        <f>'C2C'!H63</f>
        <v>4428996</v>
      </c>
      <c r="I14" s="48">
        <f t="shared" ref="I14:I19" si="4">G14-H14</f>
        <v>-3901718.76</v>
      </c>
      <c r="J14" s="201">
        <f t="shared" ref="J14:J19" si="5">IF(I14=0,"",I14/H14)</f>
        <v>-0.88094881097205768</v>
      </c>
      <c r="K14" s="651">
        <f>'C2C'!K63</f>
        <v>8857992</v>
      </c>
      <c r="L14" s="101"/>
      <c r="Q14" s="70"/>
      <c r="R14" s="71"/>
    </row>
    <row r="15" spans="1:18" ht="12.75" customHeight="1" x14ac:dyDescent="0.2">
      <c r="A15" s="419" t="s">
        <v>630</v>
      </c>
      <c r="B15" s="418"/>
      <c r="C15" s="652">
        <f>'C2C'!C66</f>
        <v>0</v>
      </c>
      <c r="D15" s="680">
        <f>'C2C'!D66</f>
        <v>2988</v>
      </c>
      <c r="E15" s="681">
        <f>'C2C'!E66</f>
        <v>2988</v>
      </c>
      <c r="F15" s="681">
        <f>'C2C'!F66</f>
        <v>0</v>
      </c>
      <c r="G15" s="681">
        <f>'C2C'!G66</f>
        <v>274</v>
      </c>
      <c r="H15" s="681">
        <f>'C2C'!H66</f>
        <v>1494</v>
      </c>
      <c r="I15" s="48">
        <f t="shared" si="4"/>
        <v>-1220</v>
      </c>
      <c r="J15" s="201">
        <f t="shared" si="5"/>
        <v>-0.81659973226238292</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123099912</v>
      </c>
      <c r="F16" s="646">
        <f t="shared" si="6"/>
        <v>4982916.1800000006</v>
      </c>
      <c r="G16" s="646">
        <f t="shared" si="6"/>
        <v>22629260.259999998</v>
      </c>
      <c r="H16" s="646">
        <f t="shared" si="6"/>
        <v>61549956</v>
      </c>
      <c r="I16" s="48">
        <f t="shared" si="4"/>
        <v>-38920695.740000002</v>
      </c>
      <c r="J16" s="201">
        <f t="shared" si="5"/>
        <v>-0.63234319355159252</v>
      </c>
      <c r="K16" s="650">
        <f>SUM(K17:K19)</f>
        <v>123099912</v>
      </c>
      <c r="L16" s="101"/>
      <c r="Q16" s="70"/>
      <c r="R16" s="71"/>
    </row>
    <row r="17" spans="1:18" ht="12.75" customHeight="1" x14ac:dyDescent="0.2">
      <c r="A17" s="419" t="s">
        <v>118</v>
      </c>
      <c r="B17" s="418"/>
      <c r="C17" s="651">
        <f>'C2C'!C75</f>
        <v>18940312.600000001</v>
      </c>
      <c r="D17" s="679">
        <f>'C2C'!D75</f>
        <v>53480928</v>
      </c>
      <c r="E17" s="411">
        <f>'C2C'!E75</f>
        <v>53480928</v>
      </c>
      <c r="F17" s="411">
        <f>'C2C'!F75</f>
        <v>598357.4</v>
      </c>
      <c r="G17" s="411">
        <f>'C2C'!G75</f>
        <v>7767371.2799999993</v>
      </c>
      <c r="H17" s="411">
        <f>'C2C'!H75</f>
        <v>26740464</v>
      </c>
      <c r="I17" s="48">
        <f t="shared" si="4"/>
        <v>-18973092.719999999</v>
      </c>
      <c r="J17" s="201">
        <f t="shared" si="5"/>
        <v>-0.70952743078803715</v>
      </c>
      <c r="K17" s="651">
        <f>'C2C'!K75</f>
        <v>53480928</v>
      </c>
      <c r="L17" s="101"/>
      <c r="Q17" s="70"/>
      <c r="R17" s="71"/>
    </row>
    <row r="18" spans="1:18" ht="12.75" customHeight="1" x14ac:dyDescent="0.2">
      <c r="A18" s="419" t="s">
        <v>119</v>
      </c>
      <c r="B18" s="418"/>
      <c r="C18" s="651">
        <f>'C2C'!C86</f>
        <v>92197453.030000016</v>
      </c>
      <c r="D18" s="679">
        <f>'C2C'!D86</f>
        <v>66161976</v>
      </c>
      <c r="E18" s="411">
        <f>'C2C'!E86</f>
        <v>66161976</v>
      </c>
      <c r="F18" s="411">
        <f>'C2C'!F86</f>
        <v>4384558.78</v>
      </c>
      <c r="G18" s="411">
        <f>'C2C'!G86</f>
        <v>14861888.979999999</v>
      </c>
      <c r="H18" s="411">
        <f>'C2C'!H86</f>
        <v>33080988</v>
      </c>
      <c r="I18" s="48">
        <f t="shared" si="4"/>
        <v>-18219099.020000003</v>
      </c>
      <c r="J18" s="201">
        <f t="shared" si="5"/>
        <v>-0.55074228798728753</v>
      </c>
      <c r="K18" s="651">
        <f>'C2C'!K86</f>
        <v>66161976</v>
      </c>
      <c r="L18" s="101"/>
      <c r="Q18" s="70"/>
      <c r="R18" s="71"/>
    </row>
    <row r="19" spans="1:18" ht="12.75" customHeight="1" x14ac:dyDescent="0.2">
      <c r="A19" s="419" t="s">
        <v>120</v>
      </c>
      <c r="B19" s="418"/>
      <c r="C19" s="651">
        <f>'C2C'!C93</f>
        <v>0.47</v>
      </c>
      <c r="D19" s="679">
        <f>'C2C'!D93</f>
        <v>3457008</v>
      </c>
      <c r="E19" s="411">
        <f>'C2C'!E93</f>
        <v>3457008</v>
      </c>
      <c r="F19" s="411">
        <f>'C2C'!F93</f>
        <v>0</v>
      </c>
      <c r="G19" s="411">
        <f>'C2C'!G93</f>
        <v>0</v>
      </c>
      <c r="H19" s="411">
        <f>'C2C'!H93</f>
        <v>1728504</v>
      </c>
      <c r="I19" s="48">
        <f t="shared" si="4"/>
        <v>-1728504</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1766230956</v>
      </c>
      <c r="F20" s="646">
        <f t="shared" si="7"/>
        <v>183701781.15000001</v>
      </c>
      <c r="G20" s="646">
        <f t="shared" si="7"/>
        <v>867406428.67999995</v>
      </c>
      <c r="H20" s="646">
        <f t="shared" si="7"/>
        <v>883115478</v>
      </c>
      <c r="I20" s="48">
        <f t="shared" si="7"/>
        <v>-15709049.32000003</v>
      </c>
      <c r="J20" s="201">
        <f t="shared" si="2"/>
        <v>-1.7788216503210275E-2</v>
      </c>
      <c r="K20" s="650">
        <f>SUM(K21:K24)</f>
        <v>1766230956</v>
      </c>
      <c r="L20" s="101"/>
      <c r="Q20" s="70"/>
      <c r="R20" s="71"/>
    </row>
    <row r="21" spans="1:18" ht="12.75" customHeight="1" x14ac:dyDescent="0.2">
      <c r="A21" s="419" t="s">
        <v>1228</v>
      </c>
      <c r="B21" s="418"/>
      <c r="C21" s="651">
        <f>'C2C'!C101</f>
        <v>956100536.37</v>
      </c>
      <c r="D21" s="679">
        <f>'C2C'!D101</f>
        <v>1192843992</v>
      </c>
      <c r="E21" s="411">
        <f>'C2C'!E101</f>
        <v>1192843992</v>
      </c>
      <c r="F21" s="411">
        <f>'C2C'!F101</f>
        <v>72755288.86999999</v>
      </c>
      <c r="G21" s="411">
        <f>'C2C'!G101</f>
        <v>501674378</v>
      </c>
      <c r="H21" s="411">
        <f>'C2C'!H101</f>
        <v>596421996</v>
      </c>
      <c r="I21" s="48">
        <f>G21-H21</f>
        <v>-94747618</v>
      </c>
      <c r="J21" s="201">
        <f t="shared" si="2"/>
        <v>-0.15886003305619198</v>
      </c>
      <c r="K21" s="651">
        <f>'C2C'!K101</f>
        <v>1192843992</v>
      </c>
      <c r="L21" s="101"/>
      <c r="Q21" s="70"/>
      <c r="R21" s="71"/>
    </row>
    <row r="22" spans="1:18" ht="12.75" customHeight="1" x14ac:dyDescent="0.2">
      <c r="A22" s="419" t="s">
        <v>1232</v>
      </c>
      <c r="B22" s="418"/>
      <c r="C22" s="651">
        <f>'C2C'!C105</f>
        <v>260621321.38999999</v>
      </c>
      <c r="D22" s="679">
        <f>'C2C'!D105</f>
        <v>310981968</v>
      </c>
      <c r="E22" s="411">
        <f>'C2C'!E105</f>
        <v>310981968</v>
      </c>
      <c r="F22" s="411">
        <f>'C2C'!F105</f>
        <v>91163712.790000007</v>
      </c>
      <c r="G22" s="411">
        <f>'C2C'!G105</f>
        <v>212718565.48999998</v>
      </c>
      <c r="H22" s="411">
        <f>'C2C'!H105</f>
        <v>155490984</v>
      </c>
      <c r="I22" s="48">
        <f>G22-H22</f>
        <v>57227581.48999998</v>
      </c>
      <c r="J22" s="201">
        <f t="shared" si="2"/>
        <v>0.3680443715630482</v>
      </c>
      <c r="K22" s="651">
        <f>'C2C'!K105</f>
        <v>310981968</v>
      </c>
      <c r="L22" s="101"/>
      <c r="Q22" s="70"/>
      <c r="R22" s="71"/>
    </row>
    <row r="23" spans="1:18" ht="12.75" customHeight="1" x14ac:dyDescent="0.2">
      <c r="A23" s="419" t="s">
        <v>122</v>
      </c>
      <c r="B23" s="418"/>
      <c r="C23" s="652">
        <f>'C2C'!C109</f>
        <v>107299037.64999999</v>
      </c>
      <c r="D23" s="680">
        <f>'C2C'!D109</f>
        <v>133774008</v>
      </c>
      <c r="E23" s="681">
        <f>'C2C'!E109</f>
        <v>133774008</v>
      </c>
      <c r="F23" s="681">
        <f>'C2C'!F109</f>
        <v>11890334.640000001</v>
      </c>
      <c r="G23" s="681">
        <f>'C2C'!G109</f>
        <v>97886296.879999995</v>
      </c>
      <c r="H23" s="681">
        <f>'C2C'!H109</f>
        <v>66887004</v>
      </c>
      <c r="I23" s="48">
        <f>G23-H23</f>
        <v>30999292.879999995</v>
      </c>
      <c r="J23" s="201">
        <f t="shared" si="2"/>
        <v>0.46345763789928451</v>
      </c>
      <c r="K23" s="682">
        <f>'C2C'!K109</f>
        <v>133774008</v>
      </c>
      <c r="L23" s="101"/>
      <c r="Q23" s="70"/>
      <c r="R23" s="71"/>
    </row>
    <row r="24" spans="1:18" ht="12.75" customHeight="1" x14ac:dyDescent="0.2">
      <c r="A24" s="419" t="s">
        <v>123</v>
      </c>
      <c r="B24" s="418"/>
      <c r="C24" s="651">
        <f>'C2C'!C114</f>
        <v>107135918.36000001</v>
      </c>
      <c r="D24" s="679">
        <f>'C2C'!D114</f>
        <v>128630988</v>
      </c>
      <c r="E24" s="411">
        <f>'C2C'!E114</f>
        <v>128630988</v>
      </c>
      <c r="F24" s="411">
        <f>'C2C'!F114</f>
        <v>7892444.8499999996</v>
      </c>
      <c r="G24" s="411">
        <f>'C2C'!G114</f>
        <v>55127188.309999995</v>
      </c>
      <c r="H24" s="411">
        <f>'C2C'!H114</f>
        <v>64315494</v>
      </c>
      <c r="I24" s="48">
        <f>G24-H24</f>
        <v>-9188305.6900000051</v>
      </c>
      <c r="J24" s="201">
        <f t="shared" si="2"/>
        <v>-0.14286301975695009</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4045643331.02</v>
      </c>
      <c r="D26" s="607">
        <f t="shared" ref="D26:I26" si="8">D6+D10+D16+D20+D25</f>
        <v>5062923624</v>
      </c>
      <c r="E26" s="549">
        <f t="shared" si="8"/>
        <v>5062923624</v>
      </c>
      <c r="F26" s="549">
        <f t="shared" si="8"/>
        <v>579352691.19400001</v>
      </c>
      <c r="G26" s="549">
        <f t="shared" si="8"/>
        <v>2315498762.1174998</v>
      </c>
      <c r="H26" s="549">
        <f t="shared" si="8"/>
        <v>2531461480</v>
      </c>
      <c r="I26" s="549">
        <f t="shared" si="8"/>
        <v>-215962717.88250011</v>
      </c>
      <c r="J26" s="608">
        <f t="shared" si="2"/>
        <v>-8.5311477021763768E-2</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1937992927.6399999</v>
      </c>
      <c r="D29" s="678">
        <f t="shared" si="9"/>
        <v>1228897836</v>
      </c>
      <c r="E29" s="646">
        <f t="shared" si="9"/>
        <v>1226735836</v>
      </c>
      <c r="F29" s="646">
        <f t="shared" si="9"/>
        <v>109453056.10000011</v>
      </c>
      <c r="G29" s="646">
        <f t="shared" si="9"/>
        <v>658089126.41999996</v>
      </c>
      <c r="H29" s="646">
        <f t="shared" si="9"/>
        <v>613367918</v>
      </c>
      <c r="I29" s="48">
        <f t="shared" ref="I29:I48" si="10">G29-H29</f>
        <v>44721208.419999957</v>
      </c>
      <c r="J29" s="201">
        <f>IF(I29=0,"",I29/H29)</f>
        <v>7.291090242512481E-2</v>
      </c>
      <c r="K29" s="650">
        <f>SUM(K30:K32)</f>
        <v>1228897836</v>
      </c>
      <c r="L29" s="101"/>
      <c r="Q29" s="70"/>
    </row>
    <row r="30" spans="1:18" ht="12.75" customHeight="1" x14ac:dyDescent="0.2">
      <c r="A30" s="419" t="s">
        <v>112</v>
      </c>
      <c r="B30" s="431"/>
      <c r="C30" s="651">
        <f>'C2C'!C130</f>
        <v>104806196.77000001</v>
      </c>
      <c r="D30" s="679">
        <f>'C2C'!D130</f>
        <v>330171120</v>
      </c>
      <c r="E30" s="411">
        <f>'C2C'!E130</f>
        <v>330507124</v>
      </c>
      <c r="F30" s="411">
        <f>'C2C'!F130</f>
        <v>42489828.790000014</v>
      </c>
      <c r="G30" s="411">
        <f>'C2C'!G130</f>
        <v>90139980.13000001</v>
      </c>
      <c r="H30" s="411">
        <f>'C2C'!H130</f>
        <v>165253562</v>
      </c>
      <c r="I30" s="48">
        <f t="shared" si="10"/>
        <v>-75113581.86999999</v>
      </c>
      <c r="J30" s="201">
        <f t="shared" ref="J30:J49" si="11">IF(I30=0,"",I30/H30)</f>
        <v>-0.45453532717194917</v>
      </c>
      <c r="K30" s="651">
        <f>'C2C'!K130</f>
        <v>330171120</v>
      </c>
      <c r="L30" s="101"/>
      <c r="Q30" s="70"/>
    </row>
    <row r="31" spans="1:18" ht="12.75" customHeight="1" x14ac:dyDescent="0.2">
      <c r="A31" s="419" t="s">
        <v>1159</v>
      </c>
      <c r="B31" s="431"/>
      <c r="C31" s="652">
        <f>'C2C'!C133</f>
        <v>1825592258.9499998</v>
      </c>
      <c r="D31" s="680">
        <f>'C2C'!D133</f>
        <v>885212796</v>
      </c>
      <c r="E31" s="681">
        <f>'C2C'!E133</f>
        <v>882714792</v>
      </c>
      <c r="F31" s="681">
        <f>'C2C'!F133</f>
        <v>66229968.080000095</v>
      </c>
      <c r="G31" s="681">
        <f>'C2C'!G133</f>
        <v>561943183.15999997</v>
      </c>
      <c r="H31" s="681">
        <f>'C2C'!H133</f>
        <v>441357396</v>
      </c>
      <c r="I31" s="48">
        <f t="shared" si="10"/>
        <v>120585787.15999997</v>
      </c>
      <c r="J31" s="201">
        <f t="shared" si="11"/>
        <v>0.27321573911044184</v>
      </c>
      <c r="K31" s="682">
        <f>'C2C'!K133</f>
        <v>885212796</v>
      </c>
      <c r="L31" s="101"/>
      <c r="Q31" s="70"/>
    </row>
    <row r="32" spans="1:18" ht="12.75" customHeight="1" x14ac:dyDescent="0.2">
      <c r="A32" s="419" t="s">
        <v>1171</v>
      </c>
      <c r="B32" s="431"/>
      <c r="C32" s="651">
        <f>'C2C'!C148</f>
        <v>7594471.9199999999</v>
      </c>
      <c r="D32" s="679">
        <f>'C2C'!D148</f>
        <v>13513920</v>
      </c>
      <c r="E32" s="411">
        <f>'C2C'!E148</f>
        <v>13513920</v>
      </c>
      <c r="F32" s="411">
        <f>'C2C'!F148</f>
        <v>733259.23</v>
      </c>
      <c r="G32" s="411">
        <f>'C2C'!G148</f>
        <v>6005963.1299999999</v>
      </c>
      <c r="H32" s="411">
        <f>'C2C'!H148</f>
        <v>6756960</v>
      </c>
      <c r="I32" s="48">
        <f t="shared" si="10"/>
        <v>-750996.87000000011</v>
      </c>
      <c r="J32" s="201">
        <f t="shared" si="11"/>
        <v>-0.11114419354265825</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274424024</v>
      </c>
      <c r="F33" s="646">
        <f t="shared" si="12"/>
        <v>15094434.620000001</v>
      </c>
      <c r="G33" s="646">
        <f t="shared" si="12"/>
        <v>93559834.399999976</v>
      </c>
      <c r="H33" s="646">
        <f t="shared" si="12"/>
        <v>114391882</v>
      </c>
      <c r="I33" s="48">
        <f t="shared" si="10"/>
        <v>-20832047.600000024</v>
      </c>
      <c r="J33" s="201">
        <f t="shared" si="11"/>
        <v>-0.18211124107565627</v>
      </c>
      <c r="K33" s="650">
        <f>SUM(K34:K38)</f>
        <v>272800224</v>
      </c>
      <c r="L33" s="101"/>
      <c r="Q33" s="70"/>
    </row>
    <row r="34" spans="1:17" ht="12.75" customHeight="1" x14ac:dyDescent="0.2">
      <c r="A34" s="419" t="s">
        <v>114</v>
      </c>
      <c r="B34" s="431"/>
      <c r="C34" s="651">
        <f>'C2C'!C151</f>
        <v>66389373.119999997</v>
      </c>
      <c r="D34" s="679">
        <f>'C2C'!D151</f>
        <v>65851692</v>
      </c>
      <c r="E34" s="411">
        <f>'C2C'!E151</f>
        <v>67347108</v>
      </c>
      <c r="F34" s="411">
        <f>'C2C'!F151</f>
        <v>4237877.26</v>
      </c>
      <c r="G34" s="411">
        <f>'C2C'!G151</f>
        <v>29081174.380000003</v>
      </c>
      <c r="H34" s="411">
        <f>'C2C'!H151</f>
        <v>33673554</v>
      </c>
      <c r="I34" s="48">
        <f t="shared" si="10"/>
        <v>-4592379.6199999973</v>
      </c>
      <c r="J34" s="201">
        <f t="shared" si="11"/>
        <v>-0.13637941572784379</v>
      </c>
      <c r="K34" s="651">
        <f>'C2C'!K151</f>
        <v>65851692</v>
      </c>
      <c r="L34" s="101"/>
      <c r="Q34" s="70"/>
    </row>
    <row r="35" spans="1:17" ht="12.75" customHeight="1" x14ac:dyDescent="0.2">
      <c r="A35" s="419" t="s">
        <v>115</v>
      </c>
      <c r="B35" s="431"/>
      <c r="C35" s="651">
        <f>'C2C'!C173</f>
        <v>85674383.310000002</v>
      </c>
      <c r="D35" s="679">
        <f>'C2C'!D173</f>
        <v>136536828</v>
      </c>
      <c r="E35" s="411">
        <f>'C2C'!E173</f>
        <v>136664812</v>
      </c>
      <c r="F35" s="411">
        <f>'C2C'!F173</f>
        <v>6191093.9700000007</v>
      </c>
      <c r="G35" s="411">
        <f>'C2C'!G173</f>
        <v>35054279.389999986</v>
      </c>
      <c r="H35" s="411">
        <f>'C2C'!H173</f>
        <v>45512276</v>
      </c>
      <c r="I35" s="48">
        <f t="shared" si="10"/>
        <v>-10457996.610000014</v>
      </c>
      <c r="J35" s="201">
        <f t="shared" si="11"/>
        <v>-0.22978408309002202</v>
      </c>
      <c r="K35" s="651">
        <f>'C2C'!K173</f>
        <v>136536828</v>
      </c>
      <c r="L35" s="101"/>
      <c r="Q35" s="70"/>
    </row>
    <row r="36" spans="1:17" ht="12.75" customHeight="1" x14ac:dyDescent="0.2">
      <c r="A36" s="419" t="s">
        <v>116</v>
      </c>
      <c r="B36" s="429"/>
      <c r="C36" s="651">
        <f>'C2C'!C179</f>
        <v>56503947.349999994</v>
      </c>
      <c r="D36" s="679">
        <f>'C2C'!D179</f>
        <v>51197808</v>
      </c>
      <c r="E36" s="411">
        <f>'C2C'!E179</f>
        <v>51197808</v>
      </c>
      <c r="F36" s="411">
        <f>'C2C'!F179</f>
        <v>3627912.68</v>
      </c>
      <c r="G36" s="411">
        <f>'C2C'!G179</f>
        <v>22236957.349999994</v>
      </c>
      <c r="H36" s="411">
        <f>'C2C'!H179</f>
        <v>25598904</v>
      </c>
      <c r="I36" s="48">
        <f t="shared" si="10"/>
        <v>-3361946.650000006</v>
      </c>
      <c r="J36" s="201">
        <f t="shared" si="11"/>
        <v>-0.13133166365247537</v>
      </c>
      <c r="K36" s="651">
        <f>'C2C'!K179</f>
        <v>51197808</v>
      </c>
      <c r="L36" s="101"/>
      <c r="Q36" s="71"/>
    </row>
    <row r="37" spans="1:17" ht="12.75" customHeight="1" x14ac:dyDescent="0.2">
      <c r="A37" s="419" t="s">
        <v>733</v>
      </c>
      <c r="B37" s="429"/>
      <c r="C37" s="651">
        <f>'C2C'!C186</f>
        <v>589033.43000000005</v>
      </c>
      <c r="D37" s="679">
        <f>'C2C'!D186</f>
        <v>12573336</v>
      </c>
      <c r="E37" s="411">
        <f>'C2C'!E186</f>
        <v>12573736</v>
      </c>
      <c r="F37" s="411">
        <f>'C2C'!F186</f>
        <v>730442.81999999983</v>
      </c>
      <c r="G37" s="411">
        <f>'C2C'!G186</f>
        <v>5121563.6900000004</v>
      </c>
      <c r="H37" s="411">
        <f>'C2C'!H186</f>
        <v>6286868</v>
      </c>
      <c r="I37" s="48">
        <f t="shared" si="10"/>
        <v>-1165304.3099999996</v>
      </c>
      <c r="J37" s="201">
        <f t="shared" si="11"/>
        <v>-0.18535530092249425</v>
      </c>
      <c r="K37" s="651">
        <f>'C2C'!K186</f>
        <v>12573336</v>
      </c>
      <c r="L37" s="101"/>
      <c r="Q37" s="71"/>
    </row>
    <row r="38" spans="1:17" ht="12.75" customHeight="1" x14ac:dyDescent="0.2">
      <c r="A38" s="419" t="s">
        <v>630</v>
      </c>
      <c r="B38" s="429"/>
      <c r="C38" s="652">
        <f>'C2C'!C189</f>
        <v>3558377.8899999997</v>
      </c>
      <c r="D38" s="680">
        <f>'C2C'!D189</f>
        <v>6640560</v>
      </c>
      <c r="E38" s="681">
        <f>'C2C'!E189</f>
        <v>6640560</v>
      </c>
      <c r="F38" s="681">
        <f>'C2C'!F189</f>
        <v>307107.89</v>
      </c>
      <c r="G38" s="681">
        <f>'C2C'!G189</f>
        <v>2065859.5900000008</v>
      </c>
      <c r="H38" s="681">
        <f>'C2C'!H189</f>
        <v>3320280</v>
      </c>
      <c r="I38" s="48">
        <f t="shared" si="10"/>
        <v>-1254420.4099999992</v>
      </c>
      <c r="J38" s="201">
        <f t="shared" si="11"/>
        <v>-0.37780560976785066</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479788944</v>
      </c>
      <c r="F39" s="646">
        <f t="shared" si="13"/>
        <v>35606618.800000004</v>
      </c>
      <c r="G39" s="646">
        <f t="shared" si="13"/>
        <v>161335348.51999998</v>
      </c>
      <c r="H39" s="646">
        <f t="shared" si="13"/>
        <v>239894472</v>
      </c>
      <c r="I39" s="48">
        <f t="shared" si="10"/>
        <v>-78559123.480000019</v>
      </c>
      <c r="J39" s="201">
        <f t="shared" si="11"/>
        <v>-0.32747367133995492</v>
      </c>
      <c r="K39" s="650">
        <f>SUM(K40:K42)</f>
        <v>481477748</v>
      </c>
      <c r="L39" s="101"/>
      <c r="Q39" s="71"/>
    </row>
    <row r="40" spans="1:17" ht="12.75" customHeight="1" x14ac:dyDescent="0.2">
      <c r="A40" s="419" t="s">
        <v>118</v>
      </c>
      <c r="B40" s="429"/>
      <c r="C40" s="651">
        <f>'C2C'!C198</f>
        <v>109149443.87</v>
      </c>
      <c r="D40" s="679">
        <f>'C2C'!D198</f>
        <v>130112276</v>
      </c>
      <c r="E40" s="411">
        <f>'C2C'!E198</f>
        <v>128173272</v>
      </c>
      <c r="F40" s="411">
        <f>'C2C'!F198</f>
        <v>8050519.5299999993</v>
      </c>
      <c r="G40" s="411">
        <f>'C2C'!G198</f>
        <v>48275444.159999996</v>
      </c>
      <c r="H40" s="411">
        <f>'C2C'!H198</f>
        <v>64086636</v>
      </c>
      <c r="I40" s="48">
        <f t="shared" si="10"/>
        <v>-15811191.840000004</v>
      </c>
      <c r="J40" s="201">
        <f t="shared" si="11"/>
        <v>-0.24671589627516108</v>
      </c>
      <c r="K40" s="651">
        <f>'C2C'!K198</f>
        <v>130112276</v>
      </c>
      <c r="L40" s="101"/>
      <c r="Q40" s="71"/>
    </row>
    <row r="41" spans="1:17" ht="12.75" customHeight="1" x14ac:dyDescent="0.2">
      <c r="A41" s="419" t="s">
        <v>119</v>
      </c>
      <c r="B41" s="429"/>
      <c r="C41" s="651">
        <f>'C2C'!C209</f>
        <v>230055195.11000001</v>
      </c>
      <c r="D41" s="679">
        <f>'C2C'!D209</f>
        <v>331561800</v>
      </c>
      <c r="E41" s="411">
        <f>'C2C'!E209</f>
        <v>331562000</v>
      </c>
      <c r="F41" s="411">
        <f>'C2C'!F209</f>
        <v>26324836.910000004</v>
      </c>
      <c r="G41" s="411">
        <f>'C2C'!G209</f>
        <v>109229560.48</v>
      </c>
      <c r="H41" s="411">
        <f>'C2C'!H209</f>
        <v>165781000</v>
      </c>
      <c r="I41" s="48">
        <f t="shared" si="10"/>
        <v>-56551439.519999996</v>
      </c>
      <c r="J41" s="201">
        <f t="shared" si="11"/>
        <v>-0.34112135600581489</v>
      </c>
      <c r="K41" s="651">
        <f>'C2C'!K209</f>
        <v>331561800</v>
      </c>
      <c r="L41" s="101"/>
      <c r="Q41" s="71"/>
    </row>
    <row r="42" spans="1:17" ht="12.75" customHeight="1" x14ac:dyDescent="0.2">
      <c r="A42" s="419" t="s">
        <v>120</v>
      </c>
      <c r="B42" s="429"/>
      <c r="C42" s="651">
        <f>'C2C'!C216</f>
        <v>370968.49</v>
      </c>
      <c r="D42" s="679">
        <f>'C2C'!D216</f>
        <v>19803672</v>
      </c>
      <c r="E42" s="411">
        <f>'C2C'!E216</f>
        <v>20053672</v>
      </c>
      <c r="F42" s="411">
        <f>'C2C'!F216</f>
        <v>1231262.3599999996</v>
      </c>
      <c r="G42" s="411">
        <f>'C2C'!G216</f>
        <v>3830343.8800000004</v>
      </c>
      <c r="H42" s="411">
        <f>'C2C'!H216</f>
        <v>10026836</v>
      </c>
      <c r="I42" s="48">
        <f t="shared" si="10"/>
        <v>-6196492.1199999992</v>
      </c>
      <c r="J42" s="201">
        <f t="shared" si="11"/>
        <v>-0.61799077196435637</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1566755708</v>
      </c>
      <c r="F43" s="646">
        <f t="shared" si="14"/>
        <v>109740578.69999999</v>
      </c>
      <c r="G43" s="646">
        <f t="shared" si="14"/>
        <v>734509176.34000027</v>
      </c>
      <c r="H43" s="646">
        <f t="shared" si="14"/>
        <v>783377854</v>
      </c>
      <c r="I43" s="48">
        <f t="shared" si="14"/>
        <v>-48868677.659999646</v>
      </c>
      <c r="J43" s="201">
        <f t="shared" si="11"/>
        <v>-6.2382000474575129E-2</v>
      </c>
      <c r="K43" s="650">
        <f>SUM(K44:K47)</f>
        <v>1566754708</v>
      </c>
      <c r="L43" s="101"/>
      <c r="Q43" s="71"/>
    </row>
    <row r="44" spans="1:17" ht="12.75" customHeight="1" x14ac:dyDescent="0.2">
      <c r="A44" s="419" t="s">
        <v>1228</v>
      </c>
      <c r="B44" s="429"/>
      <c r="C44" s="651">
        <f>'C2C'!C224</f>
        <v>798519515.72999966</v>
      </c>
      <c r="D44" s="679">
        <f>'C2C'!D224</f>
        <v>961329108</v>
      </c>
      <c r="E44" s="411">
        <f>'C2C'!E224</f>
        <v>961329708</v>
      </c>
      <c r="F44" s="411">
        <f>'C2C'!F224</f>
        <v>61413861.780000001</v>
      </c>
      <c r="G44" s="411">
        <f>'C2C'!G224</f>
        <v>473695365.33000028</v>
      </c>
      <c r="H44" s="411">
        <f>'C2C'!H224</f>
        <v>480664854</v>
      </c>
      <c r="I44" s="48">
        <f t="shared" si="10"/>
        <v>-6969488.6699997187</v>
      </c>
      <c r="J44" s="201">
        <f t="shared" si="11"/>
        <v>-1.4499684368434641E-2</v>
      </c>
      <c r="K44" s="651">
        <f>'C2C'!K224</f>
        <v>961329108</v>
      </c>
      <c r="L44" s="101"/>
      <c r="Q44" s="71"/>
    </row>
    <row r="45" spans="1:17" ht="12.75" customHeight="1" x14ac:dyDescent="0.2">
      <c r="A45" s="419" t="s">
        <v>1232</v>
      </c>
      <c r="B45" s="429"/>
      <c r="C45" s="651">
        <f>'C2C'!C228</f>
        <v>269795799.24000001</v>
      </c>
      <c r="D45" s="679">
        <f>'C2C'!D228</f>
        <v>398912628</v>
      </c>
      <c r="E45" s="411">
        <f>'C2C'!E228</f>
        <v>398912728</v>
      </c>
      <c r="F45" s="411">
        <f>'C2C'!F228</f>
        <v>33949830.57</v>
      </c>
      <c r="G45" s="411">
        <f>'C2C'!G228</f>
        <v>177463492.94000006</v>
      </c>
      <c r="H45" s="411">
        <f>'C2C'!H228</f>
        <v>199456364</v>
      </c>
      <c r="I45" s="48">
        <f t="shared" si="10"/>
        <v>-21992871.059999943</v>
      </c>
      <c r="J45" s="201">
        <f t="shared" si="11"/>
        <v>-0.11026407289766869</v>
      </c>
      <c r="K45" s="651">
        <f>'C2C'!K228</f>
        <v>398912628</v>
      </c>
      <c r="L45" s="101"/>
      <c r="Q45" s="71"/>
    </row>
    <row r="46" spans="1:17" ht="12.75" customHeight="1" x14ac:dyDescent="0.2">
      <c r="A46" s="419" t="s">
        <v>122</v>
      </c>
      <c r="B46" s="429"/>
      <c r="C46" s="652">
        <f>'C2C'!C232</f>
        <v>94000072.979999989</v>
      </c>
      <c r="D46" s="680">
        <f>'C2C'!D232</f>
        <v>77149276</v>
      </c>
      <c r="E46" s="681">
        <f>'C2C'!E232</f>
        <v>77149276</v>
      </c>
      <c r="F46" s="681">
        <f>'C2C'!F232</f>
        <v>4873506.0999999987</v>
      </c>
      <c r="G46" s="681">
        <f>'C2C'!G232</f>
        <v>29339652.910000004</v>
      </c>
      <c r="H46" s="681">
        <f>'C2C'!H232</f>
        <v>38574638</v>
      </c>
      <c r="I46" s="48">
        <f t="shared" si="10"/>
        <v>-9234985.0899999961</v>
      </c>
      <c r="J46" s="201">
        <f t="shared" si="11"/>
        <v>-0.2394056190494904</v>
      </c>
      <c r="K46" s="682">
        <f>'C2C'!K232</f>
        <v>77149276</v>
      </c>
      <c r="L46" s="101"/>
      <c r="Q46" s="71"/>
    </row>
    <row r="47" spans="1:17" ht="12.75" customHeight="1" x14ac:dyDescent="0.2">
      <c r="A47" s="419" t="s">
        <v>123</v>
      </c>
      <c r="B47" s="429"/>
      <c r="C47" s="651">
        <f>'C2C'!C237</f>
        <v>136690023.11999997</v>
      </c>
      <c r="D47" s="679">
        <f>'C2C'!D237</f>
        <v>129363696</v>
      </c>
      <c r="E47" s="411">
        <f>'C2C'!E237</f>
        <v>129363996</v>
      </c>
      <c r="F47" s="411">
        <f>'C2C'!F237</f>
        <v>9503380.2499999981</v>
      </c>
      <c r="G47" s="411">
        <f>'C2C'!G237</f>
        <v>54010665.160000011</v>
      </c>
      <c r="H47" s="411">
        <f>'C2C'!H237</f>
        <v>64681998</v>
      </c>
      <c r="I47" s="48">
        <f t="shared" si="10"/>
        <v>-10671332.839999989</v>
      </c>
      <c r="J47" s="201">
        <f t="shared" si="11"/>
        <v>-0.16498149670639409</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3789289061.2799997</v>
      </c>
      <c r="D49" s="607">
        <f t="shared" ref="D49:I49" si="15">D29+D33+D39+D43+D48</f>
        <v>3549930516</v>
      </c>
      <c r="E49" s="549">
        <f t="shared" si="15"/>
        <v>3547704512</v>
      </c>
      <c r="F49" s="549">
        <f t="shared" si="15"/>
        <v>269894688.22000015</v>
      </c>
      <c r="G49" s="549">
        <f t="shared" si="15"/>
        <v>1647493485.6800003</v>
      </c>
      <c r="H49" s="549">
        <f t="shared" si="15"/>
        <v>1751032126</v>
      </c>
      <c r="I49" s="549">
        <f t="shared" si="15"/>
        <v>-103538640.31999972</v>
      </c>
      <c r="J49" s="608">
        <f t="shared" si="11"/>
        <v>-5.9130063225350395E-2</v>
      </c>
      <c r="K49" s="730">
        <f>K29+K33+K39+K43+K48</f>
        <v>3549930516</v>
      </c>
      <c r="L49" s="101"/>
      <c r="Q49" s="76"/>
    </row>
    <row r="50" spans="1:17" ht="12.75" customHeight="1" x14ac:dyDescent="0.2">
      <c r="A50" s="95" t="s">
        <v>922</v>
      </c>
      <c r="B50" s="432"/>
      <c r="C50" s="544">
        <f t="shared" ref="C50:H50" si="16">C26-C49</f>
        <v>256354269.74000025</v>
      </c>
      <c r="D50" s="649">
        <f t="shared" si="16"/>
        <v>1512993108</v>
      </c>
      <c r="E50" s="643">
        <f t="shared" si="16"/>
        <v>1515219112</v>
      </c>
      <c r="F50" s="643">
        <f t="shared" si="16"/>
        <v>309458002.97399986</v>
      </c>
      <c r="G50" s="643">
        <f t="shared" si="16"/>
        <v>668005276.43749952</v>
      </c>
      <c r="H50" s="643">
        <f t="shared" si="16"/>
        <v>780429354</v>
      </c>
      <c r="I50" s="643">
        <f>I26-I49</f>
        <v>-112424077.56250039</v>
      </c>
      <c r="J50" s="647">
        <f>IF(I50=0,"",I50/H50)</f>
        <v>-0.14405413761833</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4" t="s">
        <v>1249</v>
      </c>
      <c r="B55" s="1034"/>
      <c r="C55" s="1034"/>
      <c r="D55" s="1034"/>
      <c r="E55" s="1034"/>
      <c r="F55" s="1034"/>
      <c r="G55" s="1034"/>
      <c r="H55" s="1034"/>
      <c r="I55" s="1034"/>
      <c r="J55" s="1034"/>
      <c r="K55" s="1034"/>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152" activePane="bottomRight" state="frozen"/>
      <selection pane="topRight"/>
      <selection pane="bottomLeft"/>
      <selection pane="bottomRight" activeCell="E143" sqref="E143"/>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33" t="str">
        <f>muni&amp; " - "&amp;S71A&amp; " - "&amp;date</f>
        <v>LIM354 Polokwane - Table C2 Monthly Budget Statement - Financial Performance (functional classification) - M06 December</v>
      </c>
      <c r="B1" s="1033"/>
      <c r="C1" s="1033"/>
      <c r="D1" s="1033"/>
      <c r="E1" s="1033"/>
      <c r="F1" s="1033"/>
      <c r="G1" s="1033"/>
      <c r="H1" s="1033"/>
      <c r="I1" s="1033"/>
      <c r="J1" s="1033"/>
      <c r="K1" s="1033"/>
    </row>
    <row r="2" spans="1:12" ht="13.5" customHeight="1" x14ac:dyDescent="0.25">
      <c r="A2" s="1031" t="str">
        <f>desc</f>
        <v>Description</v>
      </c>
      <c r="B2" s="1029" t="str">
        <f>head27</f>
        <v>Ref</v>
      </c>
      <c r="C2" s="24" t="str">
        <f>Head1</f>
        <v>2018/19</v>
      </c>
      <c r="D2" s="232" t="str">
        <f>Head2</f>
        <v>Budget Year 2019/20</v>
      </c>
      <c r="E2" s="230"/>
      <c r="F2" s="230"/>
      <c r="G2" s="230"/>
      <c r="H2" s="230"/>
      <c r="I2" s="230"/>
      <c r="J2" s="230"/>
      <c r="K2" s="231"/>
    </row>
    <row r="3" spans="1:12" ht="20.399999999999999" x14ac:dyDescent="0.25">
      <c r="A3" s="1032"/>
      <c r="B3" s="103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2475483599.21</v>
      </c>
      <c r="D6" s="614">
        <f t="shared" ref="D6:K6" si="0">D7+D10+D25</f>
        <v>3150801864</v>
      </c>
      <c r="E6" s="614">
        <f t="shared" si="0"/>
        <v>3150801864</v>
      </c>
      <c r="F6" s="614">
        <f t="shared" si="0"/>
        <v>390113218.06400001</v>
      </c>
      <c r="G6" s="614">
        <f t="shared" si="0"/>
        <v>1421234394.7674999</v>
      </c>
      <c r="H6" s="614">
        <f t="shared" si="0"/>
        <v>1575400600</v>
      </c>
      <c r="I6" s="641">
        <f>G6-H6</f>
        <v>-154166205.23250008</v>
      </c>
      <c r="J6" s="642">
        <f>IF(I6=0,"",I6/H6)</f>
        <v>-9.7858414699410465E-2</v>
      </c>
      <c r="K6" s="615">
        <f t="shared" si="0"/>
        <v>3150801864</v>
      </c>
      <c r="L6" s="101"/>
    </row>
    <row r="7" spans="1:12" x14ac:dyDescent="0.25">
      <c r="A7" s="616" t="s">
        <v>112</v>
      </c>
      <c r="B7" s="418"/>
      <c r="C7" s="617">
        <f>SUM(C8:C9)</f>
        <v>0</v>
      </c>
      <c r="D7" s="617">
        <f t="shared" ref="D7:K7" si="1">SUM(D8:D9)</f>
        <v>2003988</v>
      </c>
      <c r="E7" s="617">
        <f t="shared" si="1"/>
        <v>2003988</v>
      </c>
      <c r="F7" s="617">
        <f t="shared" si="1"/>
        <v>0</v>
      </c>
      <c r="G7" s="617">
        <f t="shared" si="1"/>
        <v>0</v>
      </c>
      <c r="H7" s="617">
        <f t="shared" si="1"/>
        <v>1001579</v>
      </c>
      <c r="I7" s="617">
        <f t="shared" ref="I7:I124" si="2">G7-H7</f>
        <v>-1001579</v>
      </c>
      <c r="J7" s="617">
        <f t="shared" ref="J7:J124" si="3">IF(I7=0,"",I7/H7)</f>
        <v>-1</v>
      </c>
      <c r="K7" s="619">
        <f t="shared" si="1"/>
        <v>2003988</v>
      </c>
      <c r="L7" s="101"/>
    </row>
    <row r="8" spans="1:12" x14ac:dyDescent="0.25">
      <c r="A8" s="704" t="s">
        <v>167</v>
      </c>
      <c r="B8" s="418"/>
      <c r="C8" s="743"/>
      <c r="D8" s="743">
        <v>2002992</v>
      </c>
      <c r="E8" s="743">
        <v>2002992</v>
      </c>
      <c r="F8" s="743">
        <v>0</v>
      </c>
      <c r="G8" s="743">
        <v>0</v>
      </c>
      <c r="H8" s="743">
        <f>E8/12*6</f>
        <v>1001496</v>
      </c>
      <c r="I8" s="411">
        <f t="shared" si="2"/>
        <v>-1001496</v>
      </c>
      <c r="J8" s="411">
        <f t="shared" si="3"/>
        <v>-1</v>
      </c>
      <c r="K8" s="745">
        <f>D8</f>
        <v>2002992</v>
      </c>
      <c r="L8" s="101"/>
    </row>
    <row r="9" spans="1:12" ht="20.399999999999999" x14ac:dyDescent="0.25">
      <c r="A9" s="704" t="s">
        <v>1158</v>
      </c>
      <c r="B9" s="418"/>
      <c r="C9" s="743"/>
      <c r="D9" s="743">
        <v>996</v>
      </c>
      <c r="E9" s="743">
        <v>996</v>
      </c>
      <c r="F9" s="743">
        <v>0</v>
      </c>
      <c r="G9" s="743">
        <v>0</v>
      </c>
      <c r="H9" s="743">
        <f>D9/12</f>
        <v>83</v>
      </c>
      <c r="I9" s="411">
        <f t="shared" si="2"/>
        <v>-83</v>
      </c>
      <c r="J9" s="411">
        <f t="shared" si="3"/>
        <v>-1</v>
      </c>
      <c r="K9" s="745">
        <f>D9</f>
        <v>996</v>
      </c>
      <c r="L9" s="101"/>
    </row>
    <row r="10" spans="1:12" x14ac:dyDescent="0.25">
      <c r="A10" s="616" t="s">
        <v>1159</v>
      </c>
      <c r="B10" s="418"/>
      <c r="C10" s="617">
        <f t="shared" ref="C10:H10" si="4">SUM(C11:C24)</f>
        <v>2475483599.21</v>
      </c>
      <c r="D10" s="617">
        <f>SUM(D11:D24)</f>
        <v>3148796880</v>
      </c>
      <c r="E10" s="617">
        <f t="shared" si="4"/>
        <v>3148797876</v>
      </c>
      <c r="F10" s="617">
        <f t="shared" si="4"/>
        <v>390113218.06400001</v>
      </c>
      <c r="G10" s="617">
        <f t="shared" si="4"/>
        <v>1421234394.7674999</v>
      </c>
      <c r="H10" s="617">
        <f t="shared" si="4"/>
        <v>1574398938</v>
      </c>
      <c r="I10" s="617">
        <f>G10-H10</f>
        <v>-153164543.23250008</v>
      </c>
      <c r="J10" s="617">
        <f>IF(I10=0,"",I10/H10)</f>
        <v>-9.7284455378932724E-2</v>
      </c>
      <c r="K10" s="617">
        <f>SUM(K11:K24)</f>
        <v>3148796880</v>
      </c>
      <c r="L10" s="101"/>
    </row>
    <row r="11" spans="1:12" x14ac:dyDescent="0.25">
      <c r="A11" s="704" t="s">
        <v>1160</v>
      </c>
      <c r="B11" s="418"/>
      <c r="C11" s="743">
        <v>13247.42</v>
      </c>
      <c r="D11" s="743">
        <v>3984</v>
      </c>
      <c r="E11" s="743">
        <v>3984</v>
      </c>
      <c r="F11" s="743">
        <v>250.43</v>
      </c>
      <c r="G11" s="743">
        <v>250.43</v>
      </c>
      <c r="H11" s="743">
        <f t="shared" ref="H11:H24" si="5">E11/12*6</f>
        <v>1992</v>
      </c>
      <c r="I11" s="411">
        <f t="shared" ref="I11:I16" si="6">G11-H11</f>
        <v>-1741.57</v>
      </c>
      <c r="J11" s="411">
        <f t="shared" ref="J11:J16" si="7">IF(I11=0,"",I11/H11)</f>
        <v>-0.87428212851405618</v>
      </c>
      <c r="K11" s="745">
        <f t="shared" ref="K11:K24" si="8">D11</f>
        <v>3984</v>
      </c>
      <c r="L11" s="101"/>
    </row>
    <row r="12" spans="1:12" x14ac:dyDescent="0.25">
      <c r="A12" s="704" t="s">
        <v>1161</v>
      </c>
      <c r="B12" s="418"/>
      <c r="C12" s="743">
        <v>0</v>
      </c>
      <c r="D12" s="743">
        <v>996</v>
      </c>
      <c r="E12" s="743">
        <v>996</v>
      </c>
      <c r="F12" s="743">
        <v>0</v>
      </c>
      <c r="G12" s="743">
        <v>0</v>
      </c>
      <c r="H12" s="743">
        <f t="shared" si="5"/>
        <v>498</v>
      </c>
      <c r="I12" s="411">
        <f t="shared" si="6"/>
        <v>-498</v>
      </c>
      <c r="J12" s="411">
        <f t="shared" si="7"/>
        <v>-1</v>
      </c>
      <c r="K12" s="745">
        <f t="shared" si="8"/>
        <v>996</v>
      </c>
      <c r="L12" s="101"/>
    </row>
    <row r="13" spans="1:12" x14ac:dyDescent="0.25">
      <c r="A13" s="704" t="s">
        <v>1162</v>
      </c>
      <c r="B13" s="418"/>
      <c r="C13" s="743">
        <v>2262912350.8499999</v>
      </c>
      <c r="D13" s="743">
        <v>3136358988</v>
      </c>
      <c r="E13" s="743">
        <v>3136359984</v>
      </c>
      <c r="F13" s="743">
        <v>369389184.18400002</v>
      </c>
      <c r="G13" s="743">
        <v>1292703396.6575</v>
      </c>
      <c r="H13" s="743">
        <f t="shared" si="5"/>
        <v>1568179992</v>
      </c>
      <c r="I13" s="411">
        <f t="shared" si="6"/>
        <v>-275476595.34249997</v>
      </c>
      <c r="J13" s="411">
        <f t="shared" si="7"/>
        <v>-0.17566643927854678</v>
      </c>
      <c r="K13" s="745">
        <f t="shared" si="8"/>
        <v>3136358988</v>
      </c>
      <c r="L13" s="101"/>
    </row>
    <row r="14" spans="1:12" x14ac:dyDescent="0.25">
      <c r="A14" s="704" t="s">
        <v>1163</v>
      </c>
      <c r="B14" s="418"/>
      <c r="C14" s="743">
        <v>26103302.260000002</v>
      </c>
      <c r="D14" s="743">
        <v>1992</v>
      </c>
      <c r="E14" s="743">
        <v>1992</v>
      </c>
      <c r="F14" s="743">
        <v>0</v>
      </c>
      <c r="G14" s="743">
        <v>0</v>
      </c>
      <c r="H14" s="743">
        <f t="shared" si="5"/>
        <v>996</v>
      </c>
      <c r="I14" s="411">
        <f t="shared" si="6"/>
        <v>-996</v>
      </c>
      <c r="J14" s="411">
        <f t="shared" si="7"/>
        <v>-1</v>
      </c>
      <c r="K14" s="745">
        <f t="shared" si="8"/>
        <v>1992</v>
      </c>
      <c r="L14" s="101"/>
    </row>
    <row r="15" spans="1:12" x14ac:dyDescent="0.25">
      <c r="A15" s="704" t="s">
        <v>1164</v>
      </c>
      <c r="B15" s="418"/>
      <c r="C15" s="743">
        <v>4049917.56</v>
      </c>
      <c r="D15" s="743">
        <v>5662956</v>
      </c>
      <c r="E15" s="743">
        <v>5662956</v>
      </c>
      <c r="F15" s="743">
        <v>0</v>
      </c>
      <c r="G15" s="743">
        <v>103.48</v>
      </c>
      <c r="H15" s="743">
        <f t="shared" si="5"/>
        <v>2831478</v>
      </c>
      <c r="I15" s="411">
        <f t="shared" si="6"/>
        <v>-2831374.52</v>
      </c>
      <c r="J15" s="411">
        <f t="shared" si="7"/>
        <v>-0.99996345371569195</v>
      </c>
      <c r="K15" s="745">
        <f t="shared" si="8"/>
        <v>5662956</v>
      </c>
      <c r="L15" s="101"/>
    </row>
    <row r="16" spans="1:12" x14ac:dyDescent="0.25">
      <c r="A16" s="704" t="s">
        <v>168</v>
      </c>
      <c r="B16" s="418"/>
      <c r="C16" s="743">
        <v>6897.46</v>
      </c>
      <c r="D16" s="743">
        <v>3000</v>
      </c>
      <c r="E16" s="743">
        <v>3000</v>
      </c>
      <c r="F16" s="743">
        <v>887.83</v>
      </c>
      <c r="G16" s="743">
        <v>3897.66</v>
      </c>
      <c r="H16" s="743">
        <f t="shared" si="5"/>
        <v>1500</v>
      </c>
      <c r="I16" s="411">
        <f t="shared" si="6"/>
        <v>2397.66</v>
      </c>
      <c r="J16" s="411">
        <f t="shared" si="7"/>
        <v>1.5984399999999999</v>
      </c>
      <c r="K16" s="745">
        <f t="shared" si="8"/>
        <v>3000</v>
      </c>
      <c r="L16" s="101"/>
    </row>
    <row r="17" spans="1:12" x14ac:dyDescent="0.25">
      <c r="A17" s="704" t="s">
        <v>169</v>
      </c>
      <c r="B17" s="418"/>
      <c r="C17" s="743">
        <v>0</v>
      </c>
      <c r="D17" s="743">
        <v>996</v>
      </c>
      <c r="E17" s="743">
        <v>996</v>
      </c>
      <c r="F17" s="743">
        <v>0</v>
      </c>
      <c r="G17" s="743">
        <v>0</v>
      </c>
      <c r="H17" s="743">
        <f t="shared" si="5"/>
        <v>498</v>
      </c>
      <c r="I17" s="411">
        <f t="shared" ref="I17:I24" si="9">G17-H17</f>
        <v>-498</v>
      </c>
      <c r="J17" s="411">
        <f t="shared" ref="J17:J24" si="10">IF(I17=0,"",I17/H17)</f>
        <v>-1</v>
      </c>
      <c r="K17" s="745">
        <f t="shared" si="8"/>
        <v>996</v>
      </c>
      <c r="L17" s="101"/>
    </row>
    <row r="18" spans="1:12" x14ac:dyDescent="0.25">
      <c r="A18" s="704" t="s">
        <v>1165</v>
      </c>
      <c r="B18" s="418"/>
      <c r="C18" s="743">
        <v>0</v>
      </c>
      <c r="D18" s="743">
        <v>996</v>
      </c>
      <c r="E18" s="743">
        <v>996</v>
      </c>
      <c r="F18" s="743">
        <v>0</v>
      </c>
      <c r="G18" s="743">
        <v>0</v>
      </c>
      <c r="H18" s="743">
        <f t="shared" si="5"/>
        <v>498</v>
      </c>
      <c r="I18" s="411">
        <f t="shared" si="9"/>
        <v>-498</v>
      </c>
      <c r="J18" s="411">
        <f t="shared" si="10"/>
        <v>-1</v>
      </c>
      <c r="K18" s="745">
        <f t="shared" si="8"/>
        <v>996</v>
      </c>
      <c r="L18" s="101"/>
    </row>
    <row r="19" spans="1:12" ht="20.399999999999999" x14ac:dyDescent="0.25">
      <c r="A19" s="704" t="s">
        <v>1166</v>
      </c>
      <c r="B19" s="418"/>
      <c r="C19" s="743">
        <v>-19521678.440000001</v>
      </c>
      <c r="D19" s="743">
        <v>1992</v>
      </c>
      <c r="E19" s="743">
        <v>1992</v>
      </c>
      <c r="F19" s="743">
        <v>187878.2</v>
      </c>
      <c r="G19" s="743">
        <v>2647978.84</v>
      </c>
      <c r="H19" s="743">
        <f t="shared" si="5"/>
        <v>996</v>
      </c>
      <c r="I19" s="411">
        <f t="shared" si="9"/>
        <v>2646982.84</v>
      </c>
      <c r="J19" s="411">
        <f t="shared" si="10"/>
        <v>2657.6132931726906</v>
      </c>
      <c r="K19" s="745">
        <f t="shared" si="8"/>
        <v>1992</v>
      </c>
      <c r="L19" s="101"/>
    </row>
    <row r="20" spans="1:12" x14ac:dyDescent="0.25">
      <c r="A20" s="704" t="s">
        <v>170</v>
      </c>
      <c r="B20" s="418"/>
      <c r="C20" s="743">
        <v>0</v>
      </c>
      <c r="D20" s="743">
        <v>996</v>
      </c>
      <c r="E20" s="743">
        <v>996</v>
      </c>
      <c r="F20" s="743">
        <v>0</v>
      </c>
      <c r="G20" s="743">
        <v>0</v>
      </c>
      <c r="H20" s="743">
        <f t="shared" si="5"/>
        <v>498</v>
      </c>
      <c r="I20" s="411">
        <f t="shared" si="9"/>
        <v>-498</v>
      </c>
      <c r="J20" s="411">
        <f t="shared" si="10"/>
        <v>-1</v>
      </c>
      <c r="K20" s="745">
        <f t="shared" si="8"/>
        <v>996</v>
      </c>
      <c r="L20" s="101"/>
    </row>
    <row r="21" spans="1:12" x14ac:dyDescent="0.25">
      <c r="A21" s="704" t="s">
        <v>1167</v>
      </c>
      <c r="B21" s="418"/>
      <c r="C21" s="743">
        <v>146432.06999999998</v>
      </c>
      <c r="D21" s="743">
        <v>14988</v>
      </c>
      <c r="E21" s="743">
        <v>14988</v>
      </c>
      <c r="F21" s="743">
        <v>14607.51</v>
      </c>
      <c r="G21" s="743">
        <v>96829.26</v>
      </c>
      <c r="H21" s="743">
        <f t="shared" si="5"/>
        <v>7494</v>
      </c>
      <c r="I21" s="411">
        <f t="shared" si="9"/>
        <v>89335.26</v>
      </c>
      <c r="J21" s="411">
        <f t="shared" si="10"/>
        <v>11.920904723779023</v>
      </c>
      <c r="K21" s="745">
        <f t="shared" si="8"/>
        <v>14988</v>
      </c>
      <c r="L21" s="101"/>
    </row>
    <row r="22" spans="1:12" x14ac:dyDescent="0.25">
      <c r="A22" s="704" t="s">
        <v>1168</v>
      </c>
      <c r="B22" s="418"/>
      <c r="C22" s="743">
        <v>-3015910.3200000003</v>
      </c>
      <c r="D22" s="743">
        <v>6744996</v>
      </c>
      <c r="E22" s="743">
        <v>6744996</v>
      </c>
      <c r="F22" s="743">
        <v>218079.99</v>
      </c>
      <c r="G22" s="743">
        <v>230299.83000000002</v>
      </c>
      <c r="H22" s="743">
        <f t="shared" si="5"/>
        <v>3372498</v>
      </c>
      <c r="I22" s="411">
        <f t="shared" si="9"/>
        <v>-3142198.17</v>
      </c>
      <c r="J22" s="411">
        <f t="shared" si="10"/>
        <v>-0.93171238945137991</v>
      </c>
      <c r="K22" s="745">
        <f t="shared" si="8"/>
        <v>6744996</v>
      </c>
      <c r="L22" s="101"/>
    </row>
    <row r="23" spans="1:12" x14ac:dyDescent="0.25">
      <c r="A23" s="704" t="s">
        <v>1169</v>
      </c>
      <c r="B23" s="418"/>
      <c r="C23" s="743">
        <v>204789040.34999999</v>
      </c>
      <c r="D23" s="743">
        <v>0</v>
      </c>
      <c r="E23" s="743">
        <v>0</v>
      </c>
      <c r="F23" s="743">
        <v>20302329.919999998</v>
      </c>
      <c r="G23" s="743">
        <v>125551638.61</v>
      </c>
      <c r="H23" s="743">
        <f t="shared" si="5"/>
        <v>0</v>
      </c>
      <c r="I23" s="411">
        <f t="shared" si="9"/>
        <v>125551638.61</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22790892</v>
      </c>
      <c r="F27" s="614">
        <f t="shared" si="12"/>
        <v>554775.79999999993</v>
      </c>
      <c r="G27" s="614">
        <f t="shared" si="12"/>
        <v>4228678.41</v>
      </c>
      <c r="H27" s="614">
        <f t="shared" si="12"/>
        <v>11395446</v>
      </c>
      <c r="I27" s="614">
        <f t="shared" si="2"/>
        <v>-7166767.5899999999</v>
      </c>
      <c r="J27" s="614">
        <f t="shared" si="3"/>
        <v>-0.62891505869976483</v>
      </c>
      <c r="K27" s="615">
        <f t="shared" si="12"/>
        <v>22790892</v>
      </c>
      <c r="L27" s="101"/>
    </row>
    <row r="28" spans="1:12" x14ac:dyDescent="0.25">
      <c r="A28" s="616" t="s">
        <v>114</v>
      </c>
      <c r="B28" s="418"/>
      <c r="C28" s="620">
        <f t="shared" ref="C28:H28" si="13">SUM(C29:C49)</f>
        <v>294893.93</v>
      </c>
      <c r="D28" s="620">
        <f t="shared" si="13"/>
        <v>1700964</v>
      </c>
      <c r="E28" s="620">
        <f t="shared" si="13"/>
        <v>1700964</v>
      </c>
      <c r="F28" s="620">
        <f>SUM(F29:F49)</f>
        <v>114742.92</v>
      </c>
      <c r="G28" s="620">
        <f>SUM(G29:G49)</f>
        <v>1109291.02</v>
      </c>
      <c r="H28" s="620">
        <f t="shared" si="13"/>
        <v>850482</v>
      </c>
      <c r="I28" s="620">
        <f t="shared" si="2"/>
        <v>258809.02000000002</v>
      </c>
      <c r="J28" s="620">
        <f t="shared" si="3"/>
        <v>0.30430863910112149</v>
      </c>
      <c r="K28" s="620">
        <f>SUM(K29:K49)</f>
        <v>1700964</v>
      </c>
      <c r="L28" s="101"/>
    </row>
    <row r="29" spans="1:12" x14ac:dyDescent="0.25">
      <c r="A29" s="704" t="s">
        <v>172</v>
      </c>
      <c r="B29" s="418"/>
      <c r="C29" s="743">
        <v>0</v>
      </c>
      <c r="D29" s="743">
        <v>0</v>
      </c>
      <c r="E29" s="743">
        <v>0</v>
      </c>
      <c r="F29" s="743">
        <v>0</v>
      </c>
      <c r="G29" s="743">
        <v>0</v>
      </c>
      <c r="H29" s="743">
        <f t="shared" ref="H29:H49" si="14">E29/12*6</f>
        <v>0</v>
      </c>
      <c r="I29" s="411">
        <f t="shared" ref="I29:I49"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1125996</v>
      </c>
      <c r="F32" s="743">
        <v>77295.7</v>
      </c>
      <c r="G32" s="743">
        <v>572838.55000000005</v>
      </c>
      <c r="H32" s="743">
        <f t="shared" si="14"/>
        <v>562998</v>
      </c>
      <c r="I32" s="411">
        <f t="shared" si="15"/>
        <v>9840.5500000000466</v>
      </c>
      <c r="J32" s="411">
        <f t="shared" si="16"/>
        <v>1.7478836514517006E-2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996</v>
      </c>
      <c r="F34" s="743">
        <v>13934.71</v>
      </c>
      <c r="G34" s="743">
        <v>282276.51</v>
      </c>
      <c r="H34" s="743">
        <f t="shared" si="14"/>
        <v>498</v>
      </c>
      <c r="I34" s="411">
        <f t="shared" si="15"/>
        <v>281778.51</v>
      </c>
      <c r="J34" s="411">
        <f t="shared" si="16"/>
        <v>565.82030120481932</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1992</v>
      </c>
      <c r="F36" s="743">
        <v>0</v>
      </c>
      <c r="G36" s="743">
        <v>0</v>
      </c>
      <c r="H36" s="743">
        <f t="shared" si="14"/>
        <v>996</v>
      </c>
      <c r="I36" s="411">
        <f t="shared" si="15"/>
        <v>-996</v>
      </c>
      <c r="J36" s="411">
        <f t="shared" ref="J36:J41" si="18">IF(I36=0,"",I36/H36)</f>
        <v>-1</v>
      </c>
      <c r="K36" s="745">
        <f t="shared" si="17"/>
        <v>1992</v>
      </c>
      <c r="L36" s="101"/>
    </row>
    <row r="37" spans="1:12" x14ac:dyDescent="0.25">
      <c r="A37" s="704" t="s">
        <v>1180</v>
      </c>
      <c r="B37" s="418"/>
      <c r="C37" s="743">
        <v>0</v>
      </c>
      <c r="D37" s="743">
        <v>996</v>
      </c>
      <c r="E37" s="743">
        <v>996</v>
      </c>
      <c r="F37" s="743">
        <v>0</v>
      </c>
      <c r="G37" s="743">
        <v>0</v>
      </c>
      <c r="H37" s="743">
        <f t="shared" si="14"/>
        <v>498</v>
      </c>
      <c r="I37" s="411">
        <f t="shared" si="15"/>
        <v>-498</v>
      </c>
      <c r="J37" s="411">
        <f t="shared" si="18"/>
        <v>-1</v>
      </c>
      <c r="K37" s="745">
        <f t="shared" si="17"/>
        <v>996</v>
      </c>
      <c r="L37" s="101"/>
    </row>
    <row r="38" spans="1:12" x14ac:dyDescent="0.25">
      <c r="A38" s="704" t="s">
        <v>1034</v>
      </c>
      <c r="B38" s="418"/>
      <c r="C38" s="743">
        <v>0</v>
      </c>
      <c r="D38" s="743">
        <v>0</v>
      </c>
      <c r="E38" s="743">
        <v>0</v>
      </c>
      <c r="F38" s="743">
        <v>0</v>
      </c>
      <c r="G38" s="743">
        <v>0</v>
      </c>
      <c r="H38" s="743">
        <f t="shared" si="14"/>
        <v>0</v>
      </c>
      <c r="I38" s="411">
        <f t="shared" si="15"/>
        <v>0</v>
      </c>
      <c r="J38" s="411" t="str">
        <f t="shared" si="18"/>
        <v/>
      </c>
      <c r="K38" s="745">
        <f t="shared" si="17"/>
        <v>0</v>
      </c>
      <c r="L38" s="101"/>
    </row>
    <row r="39" spans="1:12" x14ac:dyDescent="0.25">
      <c r="A39" s="704" t="s">
        <v>1181</v>
      </c>
      <c r="B39" s="418"/>
      <c r="C39" s="743">
        <v>0</v>
      </c>
      <c r="D39" s="743">
        <v>0</v>
      </c>
      <c r="E39" s="743">
        <v>0</v>
      </c>
      <c r="F39" s="743">
        <v>0</v>
      </c>
      <c r="G39" s="743">
        <v>0</v>
      </c>
      <c r="H39" s="743">
        <f t="shared" si="14"/>
        <v>0</v>
      </c>
      <c r="I39" s="411">
        <f t="shared" si="15"/>
        <v>0</v>
      </c>
      <c r="J39" s="411" t="str">
        <f t="shared" si="18"/>
        <v/>
      </c>
      <c r="K39" s="745">
        <f t="shared" si="17"/>
        <v>0</v>
      </c>
      <c r="L39" s="101"/>
    </row>
    <row r="40" spans="1:12" x14ac:dyDescent="0.25">
      <c r="A40" s="704" t="s">
        <v>1182</v>
      </c>
      <c r="B40" s="418"/>
      <c r="C40" s="743">
        <v>0</v>
      </c>
      <c r="D40" s="743">
        <v>0</v>
      </c>
      <c r="E40" s="743">
        <v>0</v>
      </c>
      <c r="F40" s="743">
        <v>0</v>
      </c>
      <c r="G40" s="743">
        <v>0</v>
      </c>
      <c r="H40" s="743">
        <f t="shared" si="14"/>
        <v>0</v>
      </c>
      <c r="I40" s="411">
        <f t="shared" si="15"/>
        <v>0</v>
      </c>
      <c r="J40" s="411" t="str">
        <f t="shared" si="18"/>
        <v/>
      </c>
      <c r="K40" s="745">
        <f t="shared" si="17"/>
        <v>0</v>
      </c>
      <c r="L40" s="101"/>
    </row>
    <row r="41" spans="1:12" x14ac:dyDescent="0.25">
      <c r="A41" s="704" t="s">
        <v>1183</v>
      </c>
      <c r="B41" s="418"/>
      <c r="C41" s="743">
        <v>0</v>
      </c>
      <c r="D41" s="743">
        <v>0</v>
      </c>
      <c r="E41" s="743">
        <v>0</v>
      </c>
      <c r="F41" s="743">
        <v>0</v>
      </c>
      <c r="G41" s="743">
        <v>0</v>
      </c>
      <c r="H41" s="743">
        <f t="shared" si="14"/>
        <v>0</v>
      </c>
      <c r="I41" s="411">
        <f t="shared" si="15"/>
        <v>0</v>
      </c>
      <c r="J41" s="411" t="str">
        <f t="shared" si="18"/>
        <v/>
      </c>
      <c r="K41" s="745">
        <f t="shared" si="17"/>
        <v>0</v>
      </c>
      <c r="L41" s="101"/>
    </row>
    <row r="42" spans="1:12" x14ac:dyDescent="0.25">
      <c r="A42" s="704" t="s">
        <v>171</v>
      </c>
      <c r="B42" s="418"/>
      <c r="C42" s="743">
        <v>145529.10999999999</v>
      </c>
      <c r="D42" s="743">
        <v>359988</v>
      </c>
      <c r="E42" s="743">
        <v>359988</v>
      </c>
      <c r="F42" s="743">
        <v>23512.51</v>
      </c>
      <c r="G42" s="743">
        <v>164942.04</v>
      </c>
      <c r="H42" s="743">
        <f t="shared" si="14"/>
        <v>179994</v>
      </c>
      <c r="I42" s="411">
        <f t="shared" si="15"/>
        <v>-15051.959999999992</v>
      </c>
      <c r="J42" s="411">
        <f t="shared" si="3"/>
        <v>-8.362478749291638E-2</v>
      </c>
      <c r="K42" s="745">
        <f t="shared" si="17"/>
        <v>359988</v>
      </c>
      <c r="L42" s="101"/>
    </row>
    <row r="43" spans="1:12" x14ac:dyDescent="0.25">
      <c r="A43" s="704" t="s">
        <v>1184</v>
      </c>
      <c r="B43" s="418"/>
      <c r="C43" s="743">
        <v>0</v>
      </c>
      <c r="D43" s="743">
        <v>0</v>
      </c>
      <c r="E43" s="743">
        <v>0</v>
      </c>
      <c r="F43" s="743">
        <v>0</v>
      </c>
      <c r="G43" s="743">
        <v>0</v>
      </c>
      <c r="H43" s="743">
        <f t="shared" si="14"/>
        <v>0</v>
      </c>
      <c r="I43" s="411">
        <f t="shared" si="15"/>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15"/>
        <v>0</v>
      </c>
      <c r="J44" s="411" t="str">
        <f t="shared" si="3"/>
        <v/>
      </c>
      <c r="K44" s="745">
        <f t="shared" si="17"/>
        <v>0</v>
      </c>
      <c r="L44" s="101"/>
    </row>
    <row r="45" spans="1:12" x14ac:dyDescent="0.25">
      <c r="A45" s="704" t="s">
        <v>1186</v>
      </c>
      <c r="B45" s="418"/>
      <c r="C45" s="743">
        <v>88345.440000000017</v>
      </c>
      <c r="D45" s="743">
        <v>210996</v>
      </c>
      <c r="E45" s="743">
        <v>210996</v>
      </c>
      <c r="F45" s="743">
        <v>0</v>
      </c>
      <c r="G45" s="743">
        <v>89233.919999999998</v>
      </c>
      <c r="H45" s="743">
        <f t="shared" si="14"/>
        <v>105498</v>
      </c>
      <c r="I45" s="411">
        <f t="shared" si="15"/>
        <v>-16264.080000000002</v>
      </c>
      <c r="J45" s="411">
        <f t="shared" si="3"/>
        <v>-0.15416481829039413</v>
      </c>
      <c r="K45" s="745">
        <f t="shared" si="17"/>
        <v>210996</v>
      </c>
      <c r="L45" s="101"/>
    </row>
    <row r="46" spans="1:12" x14ac:dyDescent="0.25">
      <c r="A46" s="704" t="s">
        <v>1187</v>
      </c>
      <c r="B46" s="418"/>
      <c r="C46" s="743">
        <v>0</v>
      </c>
      <c r="D46" s="743">
        <v>0</v>
      </c>
      <c r="E46" s="743">
        <v>0</v>
      </c>
      <c r="F46" s="743">
        <v>0</v>
      </c>
      <c r="G46" s="743">
        <v>0</v>
      </c>
      <c r="H46" s="743">
        <f t="shared" si="14"/>
        <v>0</v>
      </c>
      <c r="I46" s="411">
        <f t="shared" si="15"/>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15"/>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15"/>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15"/>
        <v>0</v>
      </c>
      <c r="J49" s="411" t="str">
        <f t="shared" si="3"/>
        <v/>
      </c>
      <c r="K49" s="745">
        <f t="shared" si="17"/>
        <v>0</v>
      </c>
      <c r="L49" s="101"/>
    </row>
    <row r="50" spans="1:12" x14ac:dyDescent="0.25">
      <c r="A50" s="616" t="s">
        <v>115</v>
      </c>
      <c r="B50" s="418"/>
      <c r="C50" s="620">
        <f>SUM(C51:C55)</f>
        <v>26732122.819999997</v>
      </c>
      <c r="D50" s="620">
        <f t="shared" ref="D50:K50" si="19">SUM(D51:D55)</f>
        <v>11874948</v>
      </c>
      <c r="E50" s="620">
        <f t="shared" si="19"/>
        <v>11874948</v>
      </c>
      <c r="F50" s="620">
        <f t="shared" si="19"/>
        <v>298147.38999999996</v>
      </c>
      <c r="G50" s="620">
        <f t="shared" si="19"/>
        <v>2217847.31</v>
      </c>
      <c r="H50" s="620">
        <f t="shared" si="19"/>
        <v>5937474</v>
      </c>
      <c r="I50" s="620">
        <f t="shared" ref="I50:I55" si="20">G50-H50</f>
        <v>-3719626.69</v>
      </c>
      <c r="J50" s="620">
        <f t="shared" ref="J50:J55" si="21">IF(I50=0,"",I50/H50)</f>
        <v>-0.62646618578877145</v>
      </c>
      <c r="K50" s="623">
        <f t="shared" si="19"/>
        <v>11874948</v>
      </c>
      <c r="L50" s="101"/>
    </row>
    <row r="51" spans="1:12" x14ac:dyDescent="0.25">
      <c r="A51" s="704" t="s">
        <v>1191</v>
      </c>
      <c r="B51" s="418"/>
      <c r="C51" s="743">
        <v>0</v>
      </c>
      <c r="D51" s="743">
        <v>0</v>
      </c>
      <c r="E51" s="743">
        <v>0</v>
      </c>
      <c r="F51" s="743">
        <v>0</v>
      </c>
      <c r="G51" s="743">
        <v>0</v>
      </c>
      <c r="H51" s="743">
        <f t="shared" ref="H51:H55" si="22">E51/12*6</f>
        <v>0</v>
      </c>
      <c r="I51" s="411">
        <f t="shared" si="20"/>
        <v>0</v>
      </c>
      <c r="J51" s="411" t="str">
        <f t="shared" si="21"/>
        <v/>
      </c>
      <c r="K51" s="745">
        <f t="shared" ref="K51:K55" si="23">D51</f>
        <v>0</v>
      </c>
      <c r="L51" s="101"/>
    </row>
    <row r="52" spans="1:12" x14ac:dyDescent="0.25">
      <c r="A52" s="704" t="s">
        <v>1192</v>
      </c>
      <c r="B52" s="418"/>
      <c r="C52" s="743">
        <v>0</v>
      </c>
      <c r="D52" s="743">
        <v>0</v>
      </c>
      <c r="E52" s="743">
        <v>0</v>
      </c>
      <c r="F52" s="743">
        <v>0</v>
      </c>
      <c r="G52" s="743">
        <v>0</v>
      </c>
      <c r="H52" s="743">
        <f t="shared" si="22"/>
        <v>0</v>
      </c>
      <c r="I52" s="411">
        <f t="shared" si="20"/>
        <v>0</v>
      </c>
      <c r="J52" s="411" t="str">
        <f t="shared" si="21"/>
        <v/>
      </c>
      <c r="K52" s="745">
        <f t="shared" si="23"/>
        <v>0</v>
      </c>
      <c r="L52" s="101"/>
    </row>
    <row r="53" spans="1:12" x14ac:dyDescent="0.25">
      <c r="A53" s="704" t="s">
        <v>1193</v>
      </c>
      <c r="B53" s="418"/>
      <c r="C53" s="743">
        <v>6310176.4399999995</v>
      </c>
      <c r="D53" s="743">
        <v>207000</v>
      </c>
      <c r="E53" s="743">
        <v>207000</v>
      </c>
      <c r="F53" s="743">
        <v>94685.52</v>
      </c>
      <c r="G53" s="743">
        <v>665308.47000000009</v>
      </c>
      <c r="H53" s="743">
        <f t="shared" si="22"/>
        <v>103500</v>
      </c>
      <c r="I53" s="411">
        <f t="shared" si="20"/>
        <v>561808.47000000009</v>
      </c>
      <c r="J53" s="411">
        <f t="shared" si="21"/>
        <v>5.428101159420291</v>
      </c>
      <c r="K53" s="745">
        <f t="shared" si="23"/>
        <v>207000</v>
      </c>
      <c r="L53" s="101"/>
    </row>
    <row r="54" spans="1:12" x14ac:dyDescent="0.25">
      <c r="A54" s="704" t="s">
        <v>1194</v>
      </c>
      <c r="B54" s="418"/>
      <c r="C54" s="743">
        <v>20100298.969999999</v>
      </c>
      <c r="D54" s="743">
        <v>11667948</v>
      </c>
      <c r="E54" s="743">
        <v>11667948</v>
      </c>
      <c r="F54" s="743">
        <v>189867.08</v>
      </c>
      <c r="G54" s="743">
        <v>1426598.58</v>
      </c>
      <c r="H54" s="743">
        <f t="shared" si="22"/>
        <v>5833974</v>
      </c>
      <c r="I54" s="411">
        <f t="shared" si="20"/>
        <v>-4407375.42</v>
      </c>
      <c r="J54" s="411">
        <f t="shared" si="21"/>
        <v>-0.75546710012763163</v>
      </c>
      <c r="K54" s="745">
        <f t="shared" si="23"/>
        <v>11667948</v>
      </c>
      <c r="L54" s="101"/>
    </row>
    <row r="55" spans="1:12" x14ac:dyDescent="0.25">
      <c r="A55" s="704" t="s">
        <v>1195</v>
      </c>
      <c r="B55" s="418"/>
      <c r="C55" s="743">
        <v>321647.40999999997</v>
      </c>
      <c r="D55" s="743">
        <v>0</v>
      </c>
      <c r="E55" s="743">
        <v>0</v>
      </c>
      <c r="F55" s="743">
        <v>13594.79</v>
      </c>
      <c r="G55" s="743">
        <v>125940.26</v>
      </c>
      <c r="H55" s="743">
        <f t="shared" si="22"/>
        <v>0</v>
      </c>
      <c r="I55" s="411">
        <f t="shared" si="20"/>
        <v>125940.26</v>
      </c>
      <c r="J55" s="411" t="e">
        <f t="shared" si="21"/>
        <v>#DIV/0!</v>
      </c>
      <c r="K55" s="745">
        <f t="shared" si="23"/>
        <v>0</v>
      </c>
      <c r="L55" s="101"/>
    </row>
    <row r="56" spans="1:12" x14ac:dyDescent="0.25">
      <c r="A56" s="616" t="s">
        <v>116</v>
      </c>
      <c r="B56" s="418"/>
      <c r="C56" s="620">
        <f>SUM(C57:C62)</f>
        <v>532618.05999999994</v>
      </c>
      <c r="D56" s="620">
        <f t="shared" ref="D56:K56" si="24">SUM(D57:D62)</f>
        <v>354000</v>
      </c>
      <c r="E56" s="620">
        <f t="shared" si="24"/>
        <v>354000</v>
      </c>
      <c r="F56" s="620">
        <f t="shared" si="24"/>
        <v>51230.55</v>
      </c>
      <c r="G56" s="620">
        <f t="shared" si="24"/>
        <v>373988.84</v>
      </c>
      <c r="H56" s="620">
        <f t="shared" si="24"/>
        <v>177000</v>
      </c>
      <c r="I56" s="620">
        <f t="shared" si="2"/>
        <v>196988.84000000003</v>
      </c>
      <c r="J56" s="620">
        <f t="shared" si="3"/>
        <v>1.1129312994350284</v>
      </c>
      <c r="K56" s="623">
        <f t="shared" si="24"/>
        <v>354000</v>
      </c>
      <c r="L56" s="101"/>
    </row>
    <row r="57" spans="1:12" x14ac:dyDescent="0.25">
      <c r="A57" s="704" t="s">
        <v>174</v>
      </c>
      <c r="B57" s="418"/>
      <c r="C57" s="743">
        <v>1072</v>
      </c>
      <c r="D57" s="743">
        <v>0</v>
      </c>
      <c r="E57" s="743">
        <v>0</v>
      </c>
      <c r="F57" s="743">
        <v>0</v>
      </c>
      <c r="G57" s="743">
        <v>0</v>
      </c>
      <c r="H57" s="743">
        <f t="shared" ref="H57:H62" si="25">E57/12*6</f>
        <v>0</v>
      </c>
      <c r="I57" s="411">
        <f t="shared" si="2"/>
        <v>0</v>
      </c>
      <c r="J57" s="411" t="str">
        <f t="shared" si="3"/>
        <v/>
      </c>
      <c r="K57" s="745">
        <f t="shared" ref="K57:K62" si="26">D57</f>
        <v>0</v>
      </c>
      <c r="L57" s="101"/>
    </row>
    <row r="58" spans="1:12" x14ac:dyDescent="0.25">
      <c r="A58" s="704" t="s">
        <v>1196</v>
      </c>
      <c r="B58" s="418"/>
      <c r="C58" s="743"/>
      <c r="D58" s="743"/>
      <c r="E58" s="743">
        <v>0</v>
      </c>
      <c r="F58" s="743"/>
      <c r="G58" s="743"/>
      <c r="H58" s="743">
        <f t="shared" si="25"/>
        <v>0</v>
      </c>
      <c r="I58" s="411">
        <f t="shared" si="2"/>
        <v>0</v>
      </c>
      <c r="J58" s="411" t="str">
        <f t="shared" si="3"/>
        <v/>
      </c>
      <c r="K58" s="745">
        <f t="shared" si="26"/>
        <v>0</v>
      </c>
      <c r="L58" s="101"/>
    </row>
    <row r="59" spans="1:12" x14ac:dyDescent="0.25">
      <c r="A59" s="704" t="s">
        <v>1197</v>
      </c>
      <c r="B59" s="418"/>
      <c r="C59" s="743"/>
      <c r="D59" s="743"/>
      <c r="E59" s="743">
        <v>0</v>
      </c>
      <c r="F59" s="743"/>
      <c r="G59" s="743"/>
      <c r="H59" s="743">
        <f t="shared" si="25"/>
        <v>0</v>
      </c>
      <c r="I59" s="411">
        <f>G59-H59</f>
        <v>0</v>
      </c>
      <c r="J59" s="411" t="str">
        <f>IF(I59=0,"",I59/H59)</f>
        <v/>
      </c>
      <c r="K59" s="745">
        <f t="shared" si="26"/>
        <v>0</v>
      </c>
      <c r="L59" s="101"/>
    </row>
    <row r="60" spans="1:12" x14ac:dyDescent="0.25">
      <c r="A60" s="704" t="s">
        <v>1198</v>
      </c>
      <c r="B60" s="418"/>
      <c r="C60" s="743"/>
      <c r="D60" s="743"/>
      <c r="E60" s="743">
        <v>0</v>
      </c>
      <c r="F60" s="743"/>
      <c r="G60" s="743"/>
      <c r="H60" s="743">
        <f t="shared" si="25"/>
        <v>0</v>
      </c>
      <c r="I60" s="411">
        <f t="shared" si="2"/>
        <v>0</v>
      </c>
      <c r="J60" s="411" t="str">
        <f t="shared" si="3"/>
        <v/>
      </c>
      <c r="K60" s="745">
        <f t="shared" si="26"/>
        <v>0</v>
      </c>
      <c r="L60" s="101"/>
    </row>
    <row r="61" spans="1:12" x14ac:dyDescent="0.25">
      <c r="A61" s="704" t="s">
        <v>1199</v>
      </c>
      <c r="B61" s="418"/>
      <c r="C61" s="743">
        <v>531546.05999999994</v>
      </c>
      <c r="D61" s="743">
        <v>354000</v>
      </c>
      <c r="E61" s="743">
        <v>354000</v>
      </c>
      <c r="F61" s="743">
        <v>51230.55</v>
      </c>
      <c r="G61" s="743">
        <v>373988.84</v>
      </c>
      <c r="H61" s="743">
        <f t="shared" si="25"/>
        <v>177000</v>
      </c>
      <c r="I61" s="411">
        <f t="shared" si="2"/>
        <v>196988.84000000003</v>
      </c>
      <c r="J61" s="411">
        <f t="shared" si="3"/>
        <v>1.1129312994350284</v>
      </c>
      <c r="K61" s="745">
        <f t="shared" si="26"/>
        <v>354000</v>
      </c>
      <c r="L61" s="101"/>
    </row>
    <row r="62" spans="1:12" x14ac:dyDescent="0.25">
      <c r="A62" s="704" t="s">
        <v>1200</v>
      </c>
      <c r="B62" s="418"/>
      <c r="C62" s="743"/>
      <c r="D62" s="743"/>
      <c r="E62" s="743">
        <v>0</v>
      </c>
      <c r="F62" s="743"/>
      <c r="G62" s="743"/>
      <c r="H62" s="743">
        <f t="shared" si="25"/>
        <v>0</v>
      </c>
      <c r="I62" s="411">
        <f t="shared" si="2"/>
        <v>0</v>
      </c>
      <c r="J62" s="411" t="str">
        <f t="shared" si="3"/>
        <v/>
      </c>
      <c r="K62" s="745">
        <f t="shared" si="26"/>
        <v>0</v>
      </c>
      <c r="L62" s="101"/>
    </row>
    <row r="63" spans="1:12" x14ac:dyDescent="0.25">
      <c r="A63" s="616" t="s">
        <v>733</v>
      </c>
      <c r="B63" s="418"/>
      <c r="C63" s="620">
        <f t="shared" ref="C63:H63" si="27">SUM(C64:C65)</f>
        <v>305517.13</v>
      </c>
      <c r="D63" s="620">
        <f t="shared" si="27"/>
        <v>8857992</v>
      </c>
      <c r="E63" s="620">
        <f t="shared" si="27"/>
        <v>8857992</v>
      </c>
      <c r="F63" s="620">
        <f t="shared" si="27"/>
        <v>90654.94</v>
      </c>
      <c r="G63" s="620">
        <f t="shared" si="27"/>
        <v>527277.24</v>
      </c>
      <c r="H63" s="620">
        <f t="shared" si="27"/>
        <v>4428996</v>
      </c>
      <c r="I63" s="620">
        <f>G63-H63</f>
        <v>-3901718.76</v>
      </c>
      <c r="J63" s="620">
        <f>IF(I63=0,"",I63/H63)</f>
        <v>-0.88094881097205768</v>
      </c>
      <c r="K63" s="623">
        <f>SUM(K64:K65)</f>
        <v>8857992</v>
      </c>
      <c r="L63" s="101"/>
    </row>
    <row r="64" spans="1:12" x14ac:dyDescent="0.25">
      <c r="A64" s="704" t="s">
        <v>733</v>
      </c>
      <c r="B64" s="418"/>
      <c r="C64" s="743">
        <v>305517.13</v>
      </c>
      <c r="D64" s="743">
        <v>8857992</v>
      </c>
      <c r="E64" s="743">
        <v>8857992</v>
      </c>
      <c r="F64" s="743">
        <v>90654.94</v>
      </c>
      <c r="G64" s="743">
        <v>527277.24</v>
      </c>
      <c r="H64" s="743">
        <f t="shared" ref="H64:H65" si="28">E64/12*6</f>
        <v>4428996</v>
      </c>
      <c r="I64" s="411">
        <f>G64-H64</f>
        <v>-3901718.76</v>
      </c>
      <c r="J64" s="411">
        <f>IF(I64=0,"",I64/H64)</f>
        <v>-0.88094881097205768</v>
      </c>
      <c r="K64" s="745">
        <f>D64</f>
        <v>8857992</v>
      </c>
      <c r="L64" s="101"/>
    </row>
    <row r="65" spans="1:12" x14ac:dyDescent="0.25">
      <c r="A65" s="704" t="s">
        <v>1201</v>
      </c>
      <c r="B65" s="418"/>
      <c r="C65" s="743"/>
      <c r="D65" s="743"/>
      <c r="E65" s="743"/>
      <c r="F65" s="743"/>
      <c r="G65" s="743"/>
      <c r="H65" s="743">
        <f t="shared" si="28"/>
        <v>0</v>
      </c>
      <c r="I65" s="411">
        <f>G65-H65</f>
        <v>0</v>
      </c>
      <c r="J65" s="411" t="str">
        <f>IF(I65=0,"",I65/H65)</f>
        <v/>
      </c>
      <c r="K65" s="745"/>
      <c r="L65" s="101"/>
    </row>
    <row r="66" spans="1:12" x14ac:dyDescent="0.25">
      <c r="A66" s="616" t="s">
        <v>630</v>
      </c>
      <c r="B66" s="418"/>
      <c r="C66" s="620">
        <f t="shared" ref="C66:H66" si="29">SUM(C67:C73)</f>
        <v>0</v>
      </c>
      <c r="D66" s="620">
        <f t="shared" si="29"/>
        <v>2988</v>
      </c>
      <c r="E66" s="620">
        <f t="shared" si="29"/>
        <v>2988</v>
      </c>
      <c r="F66" s="620">
        <f t="shared" si="29"/>
        <v>0</v>
      </c>
      <c r="G66" s="620">
        <f t="shared" si="29"/>
        <v>274</v>
      </c>
      <c r="H66" s="620">
        <f t="shared" si="29"/>
        <v>1494</v>
      </c>
      <c r="I66" s="620">
        <f t="shared" si="2"/>
        <v>-1220</v>
      </c>
      <c r="J66" s="620">
        <f t="shared" si="3"/>
        <v>-0.81659973226238292</v>
      </c>
      <c r="K66" s="620">
        <f>SUM(K67:K73)</f>
        <v>2988</v>
      </c>
      <c r="L66" s="101"/>
    </row>
    <row r="67" spans="1:12" x14ac:dyDescent="0.25">
      <c r="A67" s="704" t="s">
        <v>534</v>
      </c>
      <c r="B67" s="418"/>
      <c r="C67" s="743">
        <v>0</v>
      </c>
      <c r="D67" s="743">
        <v>0</v>
      </c>
      <c r="E67" s="743">
        <v>0</v>
      </c>
      <c r="F67" s="743">
        <v>0</v>
      </c>
      <c r="G67" s="743">
        <v>0</v>
      </c>
      <c r="H67" s="743">
        <f t="shared" ref="H67:H69" si="30">E67/12*6</f>
        <v>0</v>
      </c>
      <c r="I67" s="411">
        <f t="shared" si="2"/>
        <v>0</v>
      </c>
      <c r="J67" s="411" t="str">
        <f t="shared" si="3"/>
        <v/>
      </c>
      <c r="K67" s="745"/>
      <c r="L67" s="101"/>
    </row>
    <row r="68" spans="1:12" x14ac:dyDescent="0.25">
      <c r="A68" s="704" t="s">
        <v>1202</v>
      </c>
      <c r="B68" s="418"/>
      <c r="C68" s="743">
        <v>0</v>
      </c>
      <c r="D68" s="743">
        <v>2988</v>
      </c>
      <c r="E68" s="743">
        <v>2988</v>
      </c>
      <c r="F68" s="743">
        <v>0</v>
      </c>
      <c r="G68" s="743">
        <v>274</v>
      </c>
      <c r="H68" s="743">
        <f t="shared" si="30"/>
        <v>1494</v>
      </c>
      <c r="I68" s="411">
        <f t="shared" si="2"/>
        <v>-1220</v>
      </c>
      <c r="J68" s="411">
        <f t="shared" si="3"/>
        <v>-0.81659973226238292</v>
      </c>
      <c r="K68" s="745">
        <f>D68</f>
        <v>2988</v>
      </c>
      <c r="L68" s="101"/>
    </row>
    <row r="69" spans="1:12" x14ac:dyDescent="0.25">
      <c r="A69" s="704" t="s">
        <v>1203</v>
      </c>
      <c r="B69" s="418"/>
      <c r="C69" s="743"/>
      <c r="D69" s="743"/>
      <c r="E69" s="743"/>
      <c r="F69" s="743"/>
      <c r="G69" s="743"/>
      <c r="H69" s="743">
        <f t="shared" si="30"/>
        <v>0</v>
      </c>
      <c r="I69" s="411">
        <f>G69-H69</f>
        <v>0</v>
      </c>
      <c r="J69" s="411" t="str">
        <f>IF(I69=0,"",I69/H69)</f>
        <v/>
      </c>
      <c r="K69" s="745"/>
      <c r="L69" s="101"/>
    </row>
    <row r="70" spans="1:12" x14ac:dyDescent="0.25">
      <c r="A70" s="704" t="s">
        <v>1204</v>
      </c>
      <c r="B70" s="418"/>
      <c r="C70" s="743"/>
      <c r="D70" s="743"/>
      <c r="E70" s="743"/>
      <c r="F70" s="743"/>
      <c r="G70" s="743"/>
      <c r="H70" s="743">
        <f t="shared" ref="H69:H73" si="31">D70/12*7</f>
        <v>0</v>
      </c>
      <c r="I70" s="411">
        <f>G70-H70</f>
        <v>0</v>
      </c>
      <c r="J70" s="411" t="str">
        <f>IF(I70=0,"",I70/H70)</f>
        <v/>
      </c>
      <c r="K70" s="745"/>
      <c r="L70" s="101"/>
    </row>
    <row r="71" spans="1:12" ht="20.399999999999999" x14ac:dyDescent="0.25">
      <c r="A71" s="704" t="s">
        <v>1205</v>
      </c>
      <c r="B71" s="418"/>
      <c r="C71" s="743"/>
      <c r="D71" s="743"/>
      <c r="E71" s="743"/>
      <c r="F71" s="743"/>
      <c r="G71" s="743"/>
      <c r="H71" s="743">
        <f t="shared" si="31"/>
        <v>0</v>
      </c>
      <c r="I71" s="411">
        <f t="shared" si="2"/>
        <v>0</v>
      </c>
      <c r="J71" s="411" t="str">
        <f t="shared" si="3"/>
        <v/>
      </c>
      <c r="K71" s="745"/>
      <c r="L71" s="101"/>
    </row>
    <row r="72" spans="1:12" x14ac:dyDescent="0.25">
      <c r="A72" s="704" t="s">
        <v>1206</v>
      </c>
      <c r="B72" s="418"/>
      <c r="C72" s="743"/>
      <c r="D72" s="743"/>
      <c r="E72" s="743"/>
      <c r="F72" s="743"/>
      <c r="G72" s="743"/>
      <c r="H72" s="743">
        <f t="shared" si="31"/>
        <v>0</v>
      </c>
      <c r="I72" s="411">
        <f t="shared" si="2"/>
        <v>0</v>
      </c>
      <c r="J72" s="411" t="str">
        <f t="shared" si="3"/>
        <v/>
      </c>
      <c r="K72" s="745"/>
      <c r="L72" s="101"/>
    </row>
    <row r="73" spans="1:12" x14ac:dyDescent="0.25">
      <c r="A73" s="704" t="s">
        <v>1207</v>
      </c>
      <c r="B73" s="418"/>
      <c r="C73" s="743"/>
      <c r="D73" s="743"/>
      <c r="E73" s="743"/>
      <c r="F73" s="743"/>
      <c r="G73" s="743"/>
      <c r="H73" s="743">
        <f t="shared" si="31"/>
        <v>0</v>
      </c>
      <c r="I73" s="411">
        <f t="shared" si="2"/>
        <v>0</v>
      </c>
      <c r="J73" s="411" t="str">
        <f t="shared" si="3"/>
        <v/>
      </c>
      <c r="K73" s="745"/>
      <c r="L73" s="101"/>
    </row>
    <row r="74" spans="1:12" x14ac:dyDescent="0.25">
      <c r="A74" s="417" t="s">
        <v>117</v>
      </c>
      <c r="B74" s="420"/>
      <c r="C74" s="614">
        <f>C75+C86+C93</f>
        <v>111137766.10000002</v>
      </c>
      <c r="D74" s="614">
        <f t="shared" ref="D74:K74" si="32">D75+D86+D93</f>
        <v>123099912</v>
      </c>
      <c r="E74" s="614">
        <f t="shared" si="32"/>
        <v>123099912</v>
      </c>
      <c r="F74" s="614">
        <f t="shared" si="32"/>
        <v>4982916.1800000006</v>
      </c>
      <c r="G74" s="614">
        <f t="shared" si="32"/>
        <v>22629260.259999998</v>
      </c>
      <c r="H74" s="614">
        <f t="shared" si="32"/>
        <v>61549956</v>
      </c>
      <c r="I74" s="614">
        <f t="shared" si="2"/>
        <v>-38920695.740000002</v>
      </c>
      <c r="J74" s="614">
        <f t="shared" si="3"/>
        <v>-0.63234319355159252</v>
      </c>
      <c r="K74" s="615">
        <f t="shared" si="32"/>
        <v>123099912</v>
      </c>
      <c r="L74" s="101"/>
    </row>
    <row r="75" spans="1:12" x14ac:dyDescent="0.25">
      <c r="A75" s="616" t="s">
        <v>118</v>
      </c>
      <c r="B75" s="420"/>
      <c r="C75" s="620">
        <f t="shared" ref="C75:H75" si="33">SUM(C76:C85)</f>
        <v>18940312.600000001</v>
      </c>
      <c r="D75" s="620">
        <f t="shared" si="33"/>
        <v>53480928</v>
      </c>
      <c r="E75" s="620">
        <f t="shared" si="33"/>
        <v>53480928</v>
      </c>
      <c r="F75" s="620">
        <f t="shared" si="33"/>
        <v>598357.4</v>
      </c>
      <c r="G75" s="620">
        <f t="shared" si="33"/>
        <v>7767371.2799999993</v>
      </c>
      <c r="H75" s="620">
        <f t="shared" si="33"/>
        <v>26740464</v>
      </c>
      <c r="I75" s="620">
        <f t="shared" si="2"/>
        <v>-18973092.719999999</v>
      </c>
      <c r="J75" s="620">
        <f t="shared" si="3"/>
        <v>-0.70952743078803715</v>
      </c>
      <c r="K75" s="620">
        <f>SUM(K76:K85)</f>
        <v>53480928</v>
      </c>
      <c r="L75" s="101"/>
    </row>
    <row r="76" spans="1:12" x14ac:dyDescent="0.25">
      <c r="A76" s="704" t="s">
        <v>1208</v>
      </c>
      <c r="B76" s="420"/>
      <c r="C76" s="743">
        <v>0</v>
      </c>
      <c r="D76" s="743">
        <v>0</v>
      </c>
      <c r="E76" s="743">
        <v>0</v>
      </c>
      <c r="F76" s="743">
        <v>0</v>
      </c>
      <c r="G76" s="743">
        <v>0</v>
      </c>
      <c r="H76" s="980">
        <f t="shared" ref="H76:H85" si="34">E76/12*6</f>
        <v>0</v>
      </c>
      <c r="I76" s="411">
        <f>G76-H76</f>
        <v>0</v>
      </c>
      <c r="J76" s="411" t="str">
        <f>IF(I76=0,"",I76/H76)</f>
        <v/>
      </c>
      <c r="K76" s="745">
        <f>D76</f>
        <v>0</v>
      </c>
      <c r="L76" s="101"/>
    </row>
    <row r="77" spans="1:12" x14ac:dyDescent="0.25">
      <c r="A77" s="704" t="s">
        <v>1209</v>
      </c>
      <c r="B77" s="420"/>
      <c r="C77" s="743">
        <v>0</v>
      </c>
      <c r="D77" s="743">
        <v>1992</v>
      </c>
      <c r="E77" s="743">
        <v>1992</v>
      </c>
      <c r="F77" s="743">
        <v>0</v>
      </c>
      <c r="G77" s="743">
        <v>0</v>
      </c>
      <c r="H77" s="743">
        <f t="shared" si="34"/>
        <v>996</v>
      </c>
      <c r="I77" s="411">
        <f t="shared" si="2"/>
        <v>-996</v>
      </c>
      <c r="J77" s="411">
        <f t="shared" si="3"/>
        <v>-1</v>
      </c>
      <c r="K77" s="745">
        <f t="shared" ref="K77:K85" si="35">D77</f>
        <v>1992</v>
      </c>
      <c r="L77" s="101"/>
    </row>
    <row r="78" spans="1:12" x14ac:dyDescent="0.25">
      <c r="A78" s="704" t="s">
        <v>1210</v>
      </c>
      <c r="B78" s="420"/>
      <c r="C78" s="743">
        <v>0</v>
      </c>
      <c r="D78" s="743">
        <v>0</v>
      </c>
      <c r="E78" s="743">
        <v>0</v>
      </c>
      <c r="F78" s="743">
        <v>0</v>
      </c>
      <c r="G78" s="743">
        <v>0</v>
      </c>
      <c r="H78" s="743">
        <f t="shared" si="34"/>
        <v>0</v>
      </c>
      <c r="I78" s="411">
        <f t="shared" si="2"/>
        <v>0</v>
      </c>
      <c r="J78" s="411" t="str">
        <f t="shared" si="3"/>
        <v/>
      </c>
      <c r="K78" s="745">
        <f t="shared" si="35"/>
        <v>0</v>
      </c>
      <c r="L78" s="101"/>
    </row>
    <row r="79" spans="1:12" x14ac:dyDescent="0.25">
      <c r="A79" s="704" t="s">
        <v>1211</v>
      </c>
      <c r="B79" s="420"/>
      <c r="C79" s="743">
        <v>0</v>
      </c>
      <c r="D79" s="743">
        <v>0</v>
      </c>
      <c r="E79" s="743">
        <v>0</v>
      </c>
      <c r="F79" s="743">
        <v>0</v>
      </c>
      <c r="G79" s="743">
        <v>0</v>
      </c>
      <c r="H79" s="743">
        <f t="shared" si="34"/>
        <v>0</v>
      </c>
      <c r="I79" s="411">
        <f>G79-H79</f>
        <v>0</v>
      </c>
      <c r="J79" s="411" t="str">
        <f>IF(I79=0,"",I79/H79)</f>
        <v/>
      </c>
      <c r="K79" s="745">
        <f t="shared" si="35"/>
        <v>0</v>
      </c>
      <c r="L79" s="101"/>
    </row>
    <row r="80" spans="1:12" x14ac:dyDescent="0.25">
      <c r="A80" s="704" t="s">
        <v>1212</v>
      </c>
      <c r="B80" s="420"/>
      <c r="C80" s="743">
        <v>193651.27</v>
      </c>
      <c r="D80" s="743">
        <v>39972</v>
      </c>
      <c r="E80" s="743">
        <v>39972</v>
      </c>
      <c r="F80" s="743">
        <v>4895.67</v>
      </c>
      <c r="G80" s="743">
        <v>983320.05</v>
      </c>
      <c r="H80" s="743">
        <f t="shared" si="34"/>
        <v>19986</v>
      </c>
      <c r="I80" s="411">
        <f>G80-H80</f>
        <v>963334.05</v>
      </c>
      <c r="J80" s="411">
        <f>IF(I80=0,"",I80/H80)</f>
        <v>48.200442809966979</v>
      </c>
      <c r="K80" s="745">
        <f t="shared" si="35"/>
        <v>39972</v>
      </c>
      <c r="L80" s="101"/>
    </row>
    <row r="81" spans="1:12" x14ac:dyDescent="0.25">
      <c r="A81" s="704" t="s">
        <v>1213</v>
      </c>
      <c r="B81" s="420"/>
      <c r="C81" s="743">
        <v>10878456.58</v>
      </c>
      <c r="D81" s="743">
        <v>0</v>
      </c>
      <c r="E81" s="743">
        <v>0</v>
      </c>
      <c r="F81" s="743">
        <v>151657.21</v>
      </c>
      <c r="G81" s="743">
        <v>907180.14</v>
      </c>
      <c r="H81" s="743">
        <f t="shared" si="34"/>
        <v>0</v>
      </c>
      <c r="I81" s="411">
        <f>G81-H81</f>
        <v>907180.14</v>
      </c>
      <c r="J81" s="411" t="e">
        <f>IF(I81=0,"",I81/H81)</f>
        <v>#DIV/0!</v>
      </c>
      <c r="K81" s="745">
        <f t="shared" si="35"/>
        <v>0</v>
      </c>
      <c r="L81" s="101"/>
    </row>
    <row r="82" spans="1:12" ht="20.399999999999999" x14ac:dyDescent="0.25">
      <c r="A82" s="704" t="s">
        <v>1214</v>
      </c>
      <c r="B82" s="420"/>
      <c r="C82" s="743">
        <v>7868204.75</v>
      </c>
      <c r="D82" s="743">
        <v>53437968</v>
      </c>
      <c r="E82" s="743">
        <v>53437968</v>
      </c>
      <c r="F82" s="743">
        <v>441804.52</v>
      </c>
      <c r="G82" s="743">
        <v>5876871.0899999999</v>
      </c>
      <c r="H82" s="743">
        <f t="shared" si="34"/>
        <v>26718984</v>
      </c>
      <c r="I82" s="411">
        <f>G82-H82</f>
        <v>-20842112.91</v>
      </c>
      <c r="J82" s="411">
        <f>IF(I82=0,"",I82/H82)</f>
        <v>-0.78004885627387632</v>
      </c>
      <c r="K82" s="745">
        <f t="shared" si="35"/>
        <v>53437968</v>
      </c>
      <c r="L82" s="101"/>
    </row>
    <row r="83" spans="1:12" x14ac:dyDescent="0.25">
      <c r="A83" s="704" t="s">
        <v>1215</v>
      </c>
      <c r="B83" s="420"/>
      <c r="C83" s="743">
        <v>0</v>
      </c>
      <c r="D83" s="743">
        <v>996</v>
      </c>
      <c r="E83" s="743">
        <v>996</v>
      </c>
      <c r="F83" s="743">
        <v>0</v>
      </c>
      <c r="G83" s="743">
        <v>0</v>
      </c>
      <c r="H83" s="743">
        <f t="shared" si="34"/>
        <v>498</v>
      </c>
      <c r="I83" s="411">
        <f t="shared" si="2"/>
        <v>-498</v>
      </c>
      <c r="J83" s="411">
        <f t="shared" si="3"/>
        <v>-1</v>
      </c>
      <c r="K83" s="745">
        <f t="shared" si="35"/>
        <v>996</v>
      </c>
      <c r="L83" s="101"/>
    </row>
    <row r="84" spans="1:12" x14ac:dyDescent="0.25">
      <c r="A84" s="704" t="s">
        <v>1216</v>
      </c>
      <c r="B84" s="420"/>
      <c r="C84" s="743"/>
      <c r="D84" s="743"/>
      <c r="E84" s="743">
        <v>0</v>
      </c>
      <c r="F84" s="743">
        <v>0</v>
      </c>
      <c r="G84" s="743">
        <v>0</v>
      </c>
      <c r="H84" s="743">
        <f t="shared" si="34"/>
        <v>0</v>
      </c>
      <c r="I84" s="411">
        <f t="shared" si="2"/>
        <v>0</v>
      </c>
      <c r="J84" s="411" t="str">
        <f t="shared" si="3"/>
        <v/>
      </c>
      <c r="K84" s="745">
        <f t="shared" si="35"/>
        <v>0</v>
      </c>
      <c r="L84" s="101"/>
    </row>
    <row r="85" spans="1:12" x14ac:dyDescent="0.25">
      <c r="A85" s="704" t="s">
        <v>1217</v>
      </c>
      <c r="B85" s="420"/>
      <c r="C85" s="743"/>
      <c r="D85" s="743"/>
      <c r="E85" s="743">
        <v>0</v>
      </c>
      <c r="F85" s="743">
        <v>0</v>
      </c>
      <c r="G85" s="743">
        <v>0</v>
      </c>
      <c r="H85" s="743">
        <f t="shared" si="34"/>
        <v>0</v>
      </c>
      <c r="I85" s="411">
        <f t="shared" si="2"/>
        <v>0</v>
      </c>
      <c r="J85" s="411" t="str">
        <f t="shared" si="3"/>
        <v/>
      </c>
      <c r="K85" s="745">
        <f t="shared" si="35"/>
        <v>0</v>
      </c>
      <c r="L85" s="101"/>
    </row>
    <row r="86" spans="1:12" x14ac:dyDescent="0.25">
      <c r="A86" s="616" t="s">
        <v>119</v>
      </c>
      <c r="B86" s="420"/>
      <c r="C86" s="620">
        <f>SUM(C87:C92)</f>
        <v>92197453.030000016</v>
      </c>
      <c r="D86" s="620">
        <f t="shared" ref="D86:K86" si="36">SUM(D87:D92)</f>
        <v>66161976</v>
      </c>
      <c r="E86" s="620">
        <f t="shared" si="36"/>
        <v>66161976</v>
      </c>
      <c r="F86" s="620">
        <f t="shared" si="36"/>
        <v>4384558.78</v>
      </c>
      <c r="G86" s="620">
        <f t="shared" si="36"/>
        <v>14861888.979999999</v>
      </c>
      <c r="H86" s="620">
        <f t="shared" si="36"/>
        <v>33080988</v>
      </c>
      <c r="I86" s="620">
        <f t="shared" si="2"/>
        <v>-18219099.020000003</v>
      </c>
      <c r="J86" s="620">
        <f t="shared" si="3"/>
        <v>-0.55074228798728753</v>
      </c>
      <c r="K86" s="623">
        <f t="shared" si="36"/>
        <v>66161976</v>
      </c>
      <c r="L86" s="101"/>
    </row>
    <row r="87" spans="1:12" x14ac:dyDescent="0.25">
      <c r="A87" s="704" t="s">
        <v>1218</v>
      </c>
      <c r="B87" s="420"/>
      <c r="C87" s="743"/>
      <c r="D87" s="743"/>
      <c r="E87" s="743">
        <v>0</v>
      </c>
      <c r="F87" s="743"/>
      <c r="G87" s="743"/>
      <c r="H87" s="743">
        <f t="shared" ref="H87:H92" si="37">E87/12*6</f>
        <v>0</v>
      </c>
      <c r="I87" s="411">
        <f t="shared" si="2"/>
        <v>0</v>
      </c>
      <c r="J87" s="411" t="str">
        <f t="shared" si="3"/>
        <v/>
      </c>
      <c r="K87" s="745">
        <f t="shared" ref="K87:K92" si="38">D87</f>
        <v>0</v>
      </c>
      <c r="L87" s="101"/>
    </row>
    <row r="88" spans="1:12" x14ac:dyDescent="0.25">
      <c r="A88" s="704" t="s">
        <v>1219</v>
      </c>
      <c r="B88" s="420"/>
      <c r="C88" s="743"/>
      <c r="D88" s="743"/>
      <c r="E88" s="743">
        <v>0</v>
      </c>
      <c r="F88" s="743"/>
      <c r="G88" s="743"/>
      <c r="H88" s="743">
        <f t="shared" si="37"/>
        <v>0</v>
      </c>
      <c r="I88" s="411">
        <f>G88-H88</f>
        <v>0</v>
      </c>
      <c r="J88" s="411" t="str">
        <f>IF(I88=0,"",I88/H88)</f>
        <v/>
      </c>
      <c r="K88" s="745">
        <f t="shared" si="38"/>
        <v>0</v>
      </c>
      <c r="L88" s="101"/>
    </row>
    <row r="89" spans="1:12" x14ac:dyDescent="0.25">
      <c r="A89" s="704" t="s">
        <v>1220</v>
      </c>
      <c r="B89" s="420"/>
      <c r="C89" s="743">
        <v>0</v>
      </c>
      <c r="D89" s="743">
        <v>3984</v>
      </c>
      <c r="E89" s="743">
        <v>3984</v>
      </c>
      <c r="F89" s="743">
        <v>200</v>
      </c>
      <c r="G89" s="743">
        <v>200</v>
      </c>
      <c r="H89" s="743">
        <f t="shared" si="37"/>
        <v>1992</v>
      </c>
      <c r="I89" s="411">
        <f t="shared" si="2"/>
        <v>-1792</v>
      </c>
      <c r="J89" s="411">
        <f t="shared" si="3"/>
        <v>-0.89959839357429716</v>
      </c>
      <c r="K89" s="745">
        <f t="shared" si="38"/>
        <v>3984</v>
      </c>
      <c r="L89" s="101"/>
    </row>
    <row r="90" spans="1:12" x14ac:dyDescent="0.25">
      <c r="A90" s="704" t="s">
        <v>1221</v>
      </c>
      <c r="B90" s="420"/>
      <c r="C90" s="743">
        <v>16490669.34</v>
      </c>
      <c r="D90" s="743">
        <v>65886000</v>
      </c>
      <c r="E90" s="743">
        <v>65886000</v>
      </c>
      <c r="F90" s="743">
        <v>4384358.78</v>
      </c>
      <c r="G90" s="743">
        <v>14782210.709999999</v>
      </c>
      <c r="H90" s="743">
        <f t="shared" si="37"/>
        <v>32943000</v>
      </c>
      <c r="I90" s="411">
        <f t="shared" si="2"/>
        <v>-18160789.289999999</v>
      </c>
      <c r="J90" s="411">
        <f t="shared" si="3"/>
        <v>-0.55127915763591651</v>
      </c>
      <c r="K90" s="745">
        <f t="shared" si="38"/>
        <v>65886000</v>
      </c>
      <c r="L90" s="101"/>
    </row>
    <row r="91" spans="1:12" x14ac:dyDescent="0.25">
      <c r="A91" s="704" t="s">
        <v>175</v>
      </c>
      <c r="B91" s="420"/>
      <c r="C91" s="743">
        <v>75706783.690000013</v>
      </c>
      <c r="D91" s="743">
        <v>271992</v>
      </c>
      <c r="E91" s="743">
        <v>271992</v>
      </c>
      <c r="F91" s="743">
        <v>0</v>
      </c>
      <c r="G91" s="743">
        <v>79478.27</v>
      </c>
      <c r="H91" s="743">
        <f t="shared" si="37"/>
        <v>135996</v>
      </c>
      <c r="I91" s="411">
        <f t="shared" si="2"/>
        <v>-56517.729999999996</v>
      </c>
      <c r="J91" s="411">
        <f t="shared" si="3"/>
        <v>-0.41558376716962259</v>
      </c>
      <c r="K91" s="745">
        <f t="shared" si="38"/>
        <v>271992</v>
      </c>
      <c r="L91" s="101"/>
    </row>
    <row r="92" spans="1:12" x14ac:dyDescent="0.25">
      <c r="A92" s="704" t="s">
        <v>1222</v>
      </c>
      <c r="B92" s="420"/>
      <c r="C92" s="743"/>
      <c r="D92" s="743"/>
      <c r="E92" s="743">
        <v>0</v>
      </c>
      <c r="F92" s="743">
        <v>0</v>
      </c>
      <c r="G92" s="743">
        <v>0</v>
      </c>
      <c r="H92" s="743">
        <f t="shared" si="37"/>
        <v>0</v>
      </c>
      <c r="I92" s="411">
        <f t="shared" si="2"/>
        <v>0</v>
      </c>
      <c r="J92" s="411" t="str">
        <f t="shared" si="3"/>
        <v/>
      </c>
      <c r="K92" s="745">
        <f t="shared" si="38"/>
        <v>0</v>
      </c>
      <c r="L92" s="101"/>
    </row>
    <row r="93" spans="1:12" x14ac:dyDescent="0.25">
      <c r="A93" s="616" t="s">
        <v>120</v>
      </c>
      <c r="B93" s="420"/>
      <c r="C93" s="620">
        <f>SUM(C94:C99)</f>
        <v>0.47</v>
      </c>
      <c r="D93" s="620">
        <f t="shared" ref="D93:K93" si="39">SUM(D94:D99)</f>
        <v>3457008</v>
      </c>
      <c r="E93" s="620">
        <f t="shared" si="39"/>
        <v>3457008</v>
      </c>
      <c r="F93" s="620">
        <f t="shared" si="39"/>
        <v>0</v>
      </c>
      <c r="G93" s="620">
        <f t="shared" si="39"/>
        <v>0</v>
      </c>
      <c r="H93" s="620">
        <f t="shared" si="39"/>
        <v>1728504</v>
      </c>
      <c r="I93" s="620">
        <f t="shared" si="2"/>
        <v>-1728504</v>
      </c>
      <c r="J93" s="620">
        <f t="shared" si="3"/>
        <v>-1</v>
      </c>
      <c r="K93" s="623">
        <f t="shared" si="39"/>
        <v>3457008</v>
      </c>
      <c r="L93" s="101"/>
    </row>
    <row r="94" spans="1:12" x14ac:dyDescent="0.25">
      <c r="A94" s="704" t="s">
        <v>1223</v>
      </c>
      <c r="B94" s="420"/>
      <c r="C94" s="743">
        <v>0</v>
      </c>
      <c r="D94" s="743">
        <v>3457008</v>
      </c>
      <c r="E94" s="743">
        <v>3457008</v>
      </c>
      <c r="F94" s="743">
        <v>0</v>
      </c>
      <c r="G94" s="743">
        <v>0</v>
      </c>
      <c r="H94" s="743">
        <f t="shared" ref="H94:H99" si="40">E94/12*6</f>
        <v>1728504</v>
      </c>
      <c r="I94" s="411">
        <f t="shared" si="2"/>
        <v>-1728504</v>
      </c>
      <c r="J94" s="411">
        <f t="shared" si="3"/>
        <v>-1</v>
      </c>
      <c r="K94" s="745">
        <f t="shared" ref="K94:K99" si="41">D94</f>
        <v>3457008</v>
      </c>
      <c r="L94" s="101"/>
    </row>
    <row r="95" spans="1:12" x14ac:dyDescent="0.25">
      <c r="A95" s="704" t="s">
        <v>1224</v>
      </c>
      <c r="B95" s="420"/>
      <c r="C95" s="743">
        <v>0</v>
      </c>
      <c r="D95" s="743">
        <v>0</v>
      </c>
      <c r="E95" s="743">
        <v>0</v>
      </c>
      <c r="F95" s="743">
        <v>0</v>
      </c>
      <c r="G95" s="743">
        <v>0</v>
      </c>
      <c r="H95" s="743">
        <f t="shared" si="40"/>
        <v>0</v>
      </c>
      <c r="I95" s="411">
        <f t="shared" si="2"/>
        <v>0</v>
      </c>
      <c r="J95" s="411" t="str">
        <f t="shared" si="3"/>
        <v/>
      </c>
      <c r="K95" s="745">
        <f t="shared" si="41"/>
        <v>0</v>
      </c>
      <c r="L95" s="101"/>
    </row>
    <row r="96" spans="1:12" x14ac:dyDescent="0.25">
      <c r="A96" s="704" t="s">
        <v>1225</v>
      </c>
      <c r="B96" s="420"/>
      <c r="C96" s="743">
        <v>0</v>
      </c>
      <c r="D96" s="743">
        <v>0</v>
      </c>
      <c r="E96" s="743">
        <v>0</v>
      </c>
      <c r="F96" s="743">
        <v>0</v>
      </c>
      <c r="G96" s="743">
        <v>0</v>
      </c>
      <c r="H96" s="743">
        <f t="shared" si="40"/>
        <v>0</v>
      </c>
      <c r="I96" s="411">
        <f>G96-H96</f>
        <v>0</v>
      </c>
      <c r="J96" s="411" t="str">
        <f>IF(I96=0,"",I96/H96)</f>
        <v/>
      </c>
      <c r="K96" s="745">
        <f t="shared" si="41"/>
        <v>0</v>
      </c>
      <c r="L96" s="101"/>
    </row>
    <row r="97" spans="1:12" x14ac:dyDescent="0.25">
      <c r="A97" s="704" t="s">
        <v>1226</v>
      </c>
      <c r="B97" s="420"/>
      <c r="C97" s="743">
        <v>0.47</v>
      </c>
      <c r="D97" s="743">
        <v>0</v>
      </c>
      <c r="E97" s="743">
        <v>0</v>
      </c>
      <c r="F97" s="743">
        <v>0</v>
      </c>
      <c r="G97" s="743">
        <v>0</v>
      </c>
      <c r="H97" s="743">
        <f t="shared" si="40"/>
        <v>0</v>
      </c>
      <c r="I97" s="411">
        <f>G97-H97</f>
        <v>0</v>
      </c>
      <c r="J97" s="411" t="str">
        <f>IF(I97=0,"",I97/H97)</f>
        <v/>
      </c>
      <c r="K97" s="745">
        <f t="shared" si="41"/>
        <v>0</v>
      </c>
      <c r="L97" s="101"/>
    </row>
    <row r="98" spans="1:12" x14ac:dyDescent="0.25">
      <c r="A98" s="704" t="s">
        <v>176</v>
      </c>
      <c r="B98" s="420"/>
      <c r="C98" s="743"/>
      <c r="D98" s="743"/>
      <c r="E98" s="743">
        <v>0</v>
      </c>
      <c r="F98" s="743"/>
      <c r="G98" s="743"/>
      <c r="H98" s="743">
        <f t="shared" si="40"/>
        <v>0</v>
      </c>
      <c r="I98" s="411">
        <f t="shared" si="2"/>
        <v>0</v>
      </c>
      <c r="J98" s="411" t="str">
        <f t="shared" si="3"/>
        <v/>
      </c>
      <c r="K98" s="745">
        <f t="shared" si="41"/>
        <v>0</v>
      </c>
      <c r="L98" s="101"/>
    </row>
    <row r="99" spans="1:12" x14ac:dyDescent="0.25">
      <c r="A99" s="704" t="s">
        <v>1227</v>
      </c>
      <c r="B99" s="420"/>
      <c r="C99" s="743"/>
      <c r="D99" s="743"/>
      <c r="E99" s="743">
        <v>0</v>
      </c>
      <c r="F99" s="743"/>
      <c r="G99" s="743"/>
      <c r="H99" s="743">
        <f t="shared" si="40"/>
        <v>0</v>
      </c>
      <c r="I99" s="411">
        <f t="shared" si="2"/>
        <v>0</v>
      </c>
      <c r="J99" s="411" t="str">
        <f t="shared" si="3"/>
        <v/>
      </c>
      <c r="K99" s="745">
        <f t="shared" si="41"/>
        <v>0</v>
      </c>
      <c r="L99" s="101"/>
    </row>
    <row r="100" spans="1:12" x14ac:dyDescent="0.25">
      <c r="A100" s="417" t="s">
        <v>121</v>
      </c>
      <c r="B100" s="420"/>
      <c r="C100" s="614">
        <f>C101+C105+C109+C114</f>
        <v>1431156813.77</v>
      </c>
      <c r="D100" s="614">
        <f t="shared" ref="D100:I100" si="42">D101+D105+D109+D114</f>
        <v>1766230956</v>
      </c>
      <c r="E100" s="614">
        <f t="shared" si="42"/>
        <v>1766230956</v>
      </c>
      <c r="F100" s="614">
        <f t="shared" si="42"/>
        <v>183701781.15000001</v>
      </c>
      <c r="G100" s="614">
        <f t="shared" si="42"/>
        <v>867406428.67999995</v>
      </c>
      <c r="H100" s="614">
        <f t="shared" si="42"/>
        <v>883115478</v>
      </c>
      <c r="I100" s="614">
        <f t="shared" si="42"/>
        <v>-15709049.32000003</v>
      </c>
      <c r="J100" s="614">
        <f t="shared" si="3"/>
        <v>-1.7788216503210275E-2</v>
      </c>
      <c r="K100" s="615">
        <f>K101+K105+K109+K114</f>
        <v>1766230956</v>
      </c>
      <c r="L100" s="101"/>
    </row>
    <row r="101" spans="1:12" x14ac:dyDescent="0.25">
      <c r="A101" s="616" t="s">
        <v>1228</v>
      </c>
      <c r="B101" s="420"/>
      <c r="C101" s="620">
        <f>SUM(C102:C104)</f>
        <v>956100536.37</v>
      </c>
      <c r="D101" s="620">
        <f t="shared" ref="D101:K101" si="43">SUM(D102:D104)</f>
        <v>1192843992</v>
      </c>
      <c r="E101" s="620">
        <f t="shared" si="43"/>
        <v>1192843992</v>
      </c>
      <c r="F101" s="620">
        <f t="shared" si="43"/>
        <v>72755288.86999999</v>
      </c>
      <c r="G101" s="620">
        <f t="shared" si="43"/>
        <v>501674378</v>
      </c>
      <c r="H101" s="620">
        <f t="shared" si="43"/>
        <v>596421996</v>
      </c>
      <c r="I101" s="620">
        <f t="shared" si="2"/>
        <v>-94747618</v>
      </c>
      <c r="J101" s="620">
        <f t="shared" si="3"/>
        <v>-0.15886003305619198</v>
      </c>
      <c r="K101" s="623">
        <f t="shared" si="43"/>
        <v>1192843992</v>
      </c>
      <c r="L101" s="101"/>
    </row>
    <row r="102" spans="1:12" x14ac:dyDescent="0.25">
      <c r="A102" s="704" t="s">
        <v>1229</v>
      </c>
      <c r="B102" s="420"/>
      <c r="C102" s="743">
        <v>956100536.37</v>
      </c>
      <c r="D102" s="743">
        <v>1192843992</v>
      </c>
      <c r="E102" s="743">
        <v>1192843992</v>
      </c>
      <c r="F102" s="743">
        <v>72755288.86999999</v>
      </c>
      <c r="G102" s="743">
        <v>501674378</v>
      </c>
      <c r="H102" s="743">
        <f t="shared" ref="H102:H104" si="44">E102/12*6</f>
        <v>596421996</v>
      </c>
      <c r="I102" s="411">
        <f t="shared" si="2"/>
        <v>-94747618</v>
      </c>
      <c r="J102" s="411">
        <f t="shared" si="3"/>
        <v>-0.15886003305619198</v>
      </c>
      <c r="K102" s="745">
        <f>D102</f>
        <v>1192843992</v>
      </c>
      <c r="L102" s="101"/>
    </row>
    <row r="103" spans="1:12" x14ac:dyDescent="0.25">
      <c r="A103" s="704" t="s">
        <v>1230</v>
      </c>
      <c r="B103" s="420"/>
      <c r="C103" s="743"/>
      <c r="D103" s="743"/>
      <c r="E103" s="743">
        <v>0</v>
      </c>
      <c r="F103" s="743"/>
      <c r="G103" s="743"/>
      <c r="H103" s="743">
        <f t="shared" si="44"/>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4"/>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5">SUM(D106:D108)</f>
        <v>310981968</v>
      </c>
      <c r="E105" s="620">
        <f t="shared" si="45"/>
        <v>310981968</v>
      </c>
      <c r="F105" s="620">
        <f t="shared" si="45"/>
        <v>91163712.790000007</v>
      </c>
      <c r="G105" s="620">
        <f t="shared" si="45"/>
        <v>212718565.48999998</v>
      </c>
      <c r="H105" s="620">
        <f t="shared" si="45"/>
        <v>155490984</v>
      </c>
      <c r="I105" s="620">
        <f t="shared" si="2"/>
        <v>57227581.48999998</v>
      </c>
      <c r="J105" s="620">
        <f t="shared" si="3"/>
        <v>0.3680443715630482</v>
      </c>
      <c r="K105" s="623">
        <f t="shared" si="45"/>
        <v>310981968</v>
      </c>
      <c r="L105" s="101"/>
    </row>
    <row r="106" spans="1:12" x14ac:dyDescent="0.25">
      <c r="A106" s="704" t="s">
        <v>1233</v>
      </c>
      <c r="B106" s="420"/>
      <c r="C106" s="743">
        <v>0</v>
      </c>
      <c r="D106" s="743">
        <v>996</v>
      </c>
      <c r="E106" s="743">
        <v>996</v>
      </c>
      <c r="F106" s="743">
        <v>0</v>
      </c>
      <c r="G106" s="743">
        <v>0</v>
      </c>
      <c r="H106" s="743">
        <f t="shared" ref="H106:H108" si="46">E106/12*6</f>
        <v>498</v>
      </c>
      <c r="I106" s="411">
        <f t="shared" si="2"/>
        <v>-498</v>
      </c>
      <c r="J106" s="411">
        <f t="shared" si="3"/>
        <v>-1</v>
      </c>
      <c r="K106" s="745">
        <f>D106</f>
        <v>996</v>
      </c>
      <c r="L106" s="101"/>
    </row>
    <row r="107" spans="1:12" x14ac:dyDescent="0.25">
      <c r="A107" s="704" t="s">
        <v>177</v>
      </c>
      <c r="B107" s="420"/>
      <c r="C107" s="743">
        <v>260621321.38999999</v>
      </c>
      <c r="D107" s="743">
        <v>310980972</v>
      </c>
      <c r="E107" s="743">
        <v>310980972</v>
      </c>
      <c r="F107" s="743">
        <v>91163712.790000007</v>
      </c>
      <c r="G107" s="743">
        <v>212718565.48999998</v>
      </c>
      <c r="H107" s="743">
        <f t="shared" si="46"/>
        <v>155490486</v>
      </c>
      <c r="I107" s="411">
        <f>G107-H107</f>
        <v>57228079.48999998</v>
      </c>
      <c r="J107" s="411">
        <f>IF(I107=0,"",I107/H107)</f>
        <v>0.3680487530921987</v>
      </c>
      <c r="K107" s="745">
        <f>D107</f>
        <v>310980972</v>
      </c>
      <c r="L107" s="101"/>
    </row>
    <row r="108" spans="1:12" x14ac:dyDescent="0.25">
      <c r="A108" s="704" t="s">
        <v>178</v>
      </c>
      <c r="B108" s="420"/>
      <c r="C108" s="743"/>
      <c r="D108" s="743"/>
      <c r="E108" s="743">
        <v>0</v>
      </c>
      <c r="F108" s="743"/>
      <c r="G108" s="743"/>
      <c r="H108" s="743">
        <f t="shared" si="46"/>
        <v>0</v>
      </c>
      <c r="I108" s="411">
        <f t="shared" si="2"/>
        <v>0</v>
      </c>
      <c r="J108" s="411" t="str">
        <f t="shared" si="3"/>
        <v/>
      </c>
      <c r="K108" s="745">
        <f>D108</f>
        <v>0</v>
      </c>
      <c r="L108" s="101"/>
    </row>
    <row r="109" spans="1:12" x14ac:dyDescent="0.25">
      <c r="A109" s="616" t="s">
        <v>122</v>
      </c>
      <c r="B109" s="420"/>
      <c r="C109" s="620">
        <f>SUM(C110:C113)</f>
        <v>107299037.64999999</v>
      </c>
      <c r="D109" s="620">
        <f t="shared" ref="D109:K109" si="47">SUM(D110:D113)</f>
        <v>133774008</v>
      </c>
      <c r="E109" s="620">
        <f t="shared" si="47"/>
        <v>133774008</v>
      </c>
      <c r="F109" s="620">
        <f t="shared" si="47"/>
        <v>11890334.640000001</v>
      </c>
      <c r="G109" s="620">
        <f t="shared" si="47"/>
        <v>97886296.879999995</v>
      </c>
      <c r="H109" s="620">
        <f t="shared" si="47"/>
        <v>66887004</v>
      </c>
      <c r="I109" s="620">
        <f t="shared" si="2"/>
        <v>30999292.879999995</v>
      </c>
      <c r="J109" s="620">
        <f t="shared" si="3"/>
        <v>0.46345763789928451</v>
      </c>
      <c r="K109" s="623">
        <f t="shared" si="47"/>
        <v>133774008</v>
      </c>
      <c r="L109" s="101"/>
    </row>
    <row r="110" spans="1:12" x14ac:dyDescent="0.25">
      <c r="A110" s="704" t="s">
        <v>181</v>
      </c>
      <c r="B110" s="420"/>
      <c r="C110" s="743">
        <v>0</v>
      </c>
      <c r="D110" s="743">
        <v>0</v>
      </c>
      <c r="E110" s="743">
        <v>0</v>
      </c>
      <c r="F110" s="743">
        <v>0</v>
      </c>
      <c r="G110" s="743">
        <v>0</v>
      </c>
      <c r="H110" s="743">
        <f t="shared" ref="H110:H113" si="48">E110/12*6</f>
        <v>0</v>
      </c>
      <c r="I110" s="411">
        <f t="shared" si="2"/>
        <v>0</v>
      </c>
      <c r="J110" s="411" t="str">
        <f t="shared" si="3"/>
        <v/>
      </c>
      <c r="K110" s="745">
        <f>D110</f>
        <v>0</v>
      </c>
      <c r="L110" s="101"/>
    </row>
    <row r="111" spans="1:12" x14ac:dyDescent="0.25">
      <c r="A111" s="704" t="s">
        <v>179</v>
      </c>
      <c r="B111" s="420"/>
      <c r="C111" s="743">
        <v>107299037.64999999</v>
      </c>
      <c r="D111" s="743">
        <v>133774008</v>
      </c>
      <c r="E111" s="743">
        <v>133774008</v>
      </c>
      <c r="F111" s="743">
        <v>5806303.2400000002</v>
      </c>
      <c r="G111" s="743">
        <v>48371426.68</v>
      </c>
      <c r="H111" s="743">
        <f t="shared" si="48"/>
        <v>66887004</v>
      </c>
      <c r="I111" s="411">
        <f t="shared" si="2"/>
        <v>-18515577.32</v>
      </c>
      <c r="J111" s="411">
        <f t="shared" si="3"/>
        <v>-0.2768187571983341</v>
      </c>
      <c r="K111" s="745">
        <f t="shared" ref="K111:K112" si="49">D111</f>
        <v>133774008</v>
      </c>
      <c r="L111" s="101"/>
    </row>
    <row r="112" spans="1:12" x14ac:dyDescent="0.25">
      <c r="A112" s="704" t="s">
        <v>180</v>
      </c>
      <c r="B112" s="420"/>
      <c r="C112" s="743">
        <v>0</v>
      </c>
      <c r="D112" s="743">
        <v>0</v>
      </c>
      <c r="E112" s="743">
        <v>0</v>
      </c>
      <c r="F112" s="743">
        <v>6084031.4000000004</v>
      </c>
      <c r="G112" s="743">
        <v>49514870.200000003</v>
      </c>
      <c r="H112" s="743">
        <f t="shared" si="48"/>
        <v>0</v>
      </c>
      <c r="I112" s="411">
        <f>G112-H112</f>
        <v>49514870.200000003</v>
      </c>
      <c r="J112" s="411" t="e">
        <f>IF(I112=0,"",I112/H112)</f>
        <v>#DIV/0!</v>
      </c>
      <c r="K112" s="745">
        <f t="shared" si="49"/>
        <v>0</v>
      </c>
      <c r="L112" s="101"/>
    </row>
    <row r="113" spans="1:12" x14ac:dyDescent="0.25">
      <c r="A113" s="704" t="s">
        <v>1234</v>
      </c>
      <c r="B113" s="420"/>
      <c r="C113" s="743"/>
      <c r="D113" s="743"/>
      <c r="E113" s="743">
        <v>0</v>
      </c>
      <c r="F113" s="743"/>
      <c r="G113" s="743"/>
      <c r="H113" s="743">
        <f t="shared" si="48"/>
        <v>0</v>
      </c>
      <c r="I113" s="411">
        <f t="shared" si="2"/>
        <v>0</v>
      </c>
      <c r="J113" s="411" t="str">
        <f t="shared" si="3"/>
        <v/>
      </c>
      <c r="K113" s="745">
        <f>D113</f>
        <v>0</v>
      </c>
      <c r="L113" s="101"/>
    </row>
    <row r="114" spans="1:12" x14ac:dyDescent="0.25">
      <c r="A114" s="616" t="s">
        <v>123</v>
      </c>
      <c r="B114" s="420"/>
      <c r="C114" s="620">
        <f t="shared" ref="C114:H114" si="50">SUM(C115:C118)</f>
        <v>107135918.36000001</v>
      </c>
      <c r="D114" s="620">
        <f t="shared" si="50"/>
        <v>128630988</v>
      </c>
      <c r="E114" s="620">
        <f t="shared" si="50"/>
        <v>128630988</v>
      </c>
      <c r="F114" s="620">
        <f t="shared" si="50"/>
        <v>7892444.8499999996</v>
      </c>
      <c r="G114" s="620">
        <f t="shared" si="50"/>
        <v>55127188.309999995</v>
      </c>
      <c r="H114" s="620">
        <f t="shared" si="50"/>
        <v>64315494</v>
      </c>
      <c r="I114" s="620">
        <f t="shared" si="2"/>
        <v>-9188305.6900000051</v>
      </c>
      <c r="J114" s="620">
        <f t="shared" si="3"/>
        <v>-0.14286301975695009</v>
      </c>
      <c r="K114" s="620">
        <f>SUM(K115:K118)</f>
        <v>128630988</v>
      </c>
      <c r="L114" s="101"/>
    </row>
    <row r="115" spans="1:12" x14ac:dyDescent="0.25">
      <c r="A115" s="704" t="s">
        <v>1235</v>
      </c>
      <c r="B115" s="420"/>
      <c r="C115" s="743">
        <v>0</v>
      </c>
      <c r="D115" s="743">
        <v>0</v>
      </c>
      <c r="E115" s="743">
        <v>0</v>
      </c>
      <c r="F115" s="743">
        <v>0</v>
      </c>
      <c r="G115" s="743">
        <v>0</v>
      </c>
      <c r="H115" s="743">
        <f t="shared" ref="H115:H118" si="51">E115/12*6</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1"/>
        <v>0</v>
      </c>
      <c r="I116" s="411">
        <f>G116-H116</f>
        <v>0</v>
      </c>
      <c r="J116" s="411" t="str">
        <f>IF(I116=0,"",I116/H116)</f>
        <v/>
      </c>
      <c r="K116" s="745">
        <f>E116</f>
        <v>0</v>
      </c>
      <c r="L116" s="101"/>
    </row>
    <row r="117" spans="1:12" x14ac:dyDescent="0.25">
      <c r="A117" s="704" t="s">
        <v>1237</v>
      </c>
      <c r="B117" s="420"/>
      <c r="C117" s="743">
        <v>107135918.36000001</v>
      </c>
      <c r="D117" s="743">
        <v>128630988</v>
      </c>
      <c r="E117" s="743">
        <v>128630988</v>
      </c>
      <c r="F117" s="743">
        <v>7892444.8499999996</v>
      </c>
      <c r="G117" s="743">
        <v>55127188.309999995</v>
      </c>
      <c r="H117" s="743">
        <f t="shared" si="51"/>
        <v>64315494</v>
      </c>
      <c r="I117" s="411">
        <f t="shared" si="2"/>
        <v>-9188305.6900000051</v>
      </c>
      <c r="J117" s="411">
        <f t="shared" si="3"/>
        <v>-0.14286301975695009</v>
      </c>
      <c r="K117" s="745">
        <f>D117</f>
        <v>128630988</v>
      </c>
      <c r="L117" s="101"/>
    </row>
    <row r="118" spans="1:12" x14ac:dyDescent="0.25">
      <c r="A118" s="704" t="s">
        <v>1238</v>
      </c>
      <c r="B118" s="420"/>
      <c r="C118" s="743"/>
      <c r="D118" s="743"/>
      <c r="E118" s="743">
        <v>0</v>
      </c>
      <c r="F118" s="743"/>
      <c r="G118" s="743"/>
      <c r="H118" s="743">
        <f t="shared" si="51"/>
        <v>0</v>
      </c>
      <c r="I118" s="411">
        <f>G118-H118</f>
        <v>0</v>
      </c>
      <c r="J118" s="411" t="str">
        <f>IF(I118=0,"",I118/H118)</f>
        <v/>
      </c>
      <c r="K118" s="745">
        <f>D118</f>
        <v>0</v>
      </c>
      <c r="L118" s="101"/>
    </row>
    <row r="119" spans="1:12" x14ac:dyDescent="0.25">
      <c r="A119" s="417" t="s">
        <v>740</v>
      </c>
      <c r="B119" s="420"/>
      <c r="C119" s="620">
        <f>SUM(C120:C125)</f>
        <v>0</v>
      </c>
      <c r="D119" s="620">
        <f t="shared" ref="D119:K119" si="52">SUM(D120:D125)</f>
        <v>0</v>
      </c>
      <c r="E119" s="620">
        <f t="shared" si="52"/>
        <v>0</v>
      </c>
      <c r="F119" s="620">
        <f t="shared" si="52"/>
        <v>0</v>
      </c>
      <c r="G119" s="620">
        <f t="shared" si="52"/>
        <v>0</v>
      </c>
      <c r="H119" s="620">
        <f t="shared" si="52"/>
        <v>0</v>
      </c>
      <c r="I119" s="620">
        <f t="shared" si="2"/>
        <v>0</v>
      </c>
      <c r="J119" s="620" t="str">
        <f t="shared" si="3"/>
        <v/>
      </c>
      <c r="K119" s="623">
        <f t="shared" si="52"/>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3">C6+C27+C74+C100+C119</f>
        <v>4045643331.02</v>
      </c>
      <c r="D126" s="625">
        <f t="shared" si="53"/>
        <v>5062923624</v>
      </c>
      <c r="E126" s="625">
        <f t="shared" si="53"/>
        <v>5062923624</v>
      </c>
      <c r="F126" s="625">
        <f t="shared" si="53"/>
        <v>579352691.19400001</v>
      </c>
      <c r="G126" s="625">
        <f t="shared" si="53"/>
        <v>2315498762.1174998</v>
      </c>
      <c r="H126" s="625">
        <f t="shared" si="53"/>
        <v>2531461480</v>
      </c>
      <c r="I126" s="625">
        <f>G126-H126</f>
        <v>-215962717.88250017</v>
      </c>
      <c r="J126" s="625">
        <f>IF(I126=0,"",I126/H126)</f>
        <v>-8.5311477021763796E-2</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4">C130+C133+C148</f>
        <v>1937992927.6399999</v>
      </c>
      <c r="D129" s="614">
        <f t="shared" si="54"/>
        <v>1228897836</v>
      </c>
      <c r="E129" s="614">
        <f t="shared" si="54"/>
        <v>1226735836</v>
      </c>
      <c r="F129" s="614">
        <f t="shared" si="54"/>
        <v>109453056.10000011</v>
      </c>
      <c r="G129" s="614">
        <f t="shared" si="54"/>
        <v>658089126.41999996</v>
      </c>
      <c r="H129" s="614">
        <f>H130+H133+H148</f>
        <v>613367918</v>
      </c>
      <c r="I129" s="614">
        <f t="shared" ref="I129:I246" si="55">G129-H129</f>
        <v>44721208.419999957</v>
      </c>
      <c r="J129" s="614">
        <f t="shared" ref="J129:J246" si="56">IF(I129=0,"",I129/H129)</f>
        <v>7.291090242512481E-2</v>
      </c>
      <c r="K129" s="615">
        <f t="shared" si="54"/>
        <v>1228897836</v>
      </c>
      <c r="L129" s="101"/>
    </row>
    <row r="130" spans="1:12" x14ac:dyDescent="0.25">
      <c r="A130" s="616" t="str">
        <f>A7</f>
        <v>Executive and council</v>
      </c>
      <c r="B130" s="629"/>
      <c r="C130" s="617">
        <f t="shared" ref="C130:K130" si="57">SUM(C131:C132)</f>
        <v>104806196.77000001</v>
      </c>
      <c r="D130" s="617">
        <f t="shared" si="57"/>
        <v>330171120</v>
      </c>
      <c r="E130" s="617">
        <f t="shared" si="57"/>
        <v>330507124</v>
      </c>
      <c r="F130" s="617">
        <f t="shared" si="57"/>
        <v>42489828.790000014</v>
      </c>
      <c r="G130" s="617">
        <f t="shared" si="57"/>
        <v>90139980.13000001</v>
      </c>
      <c r="H130" s="617">
        <f t="shared" si="57"/>
        <v>165253562</v>
      </c>
      <c r="I130" s="617">
        <f t="shared" si="55"/>
        <v>-75113581.86999999</v>
      </c>
      <c r="J130" s="617">
        <f t="shared" si="56"/>
        <v>-0.45453532717194917</v>
      </c>
      <c r="K130" s="619">
        <f t="shared" si="57"/>
        <v>330171120</v>
      </c>
      <c r="L130" s="101"/>
    </row>
    <row r="131" spans="1:12" x14ac:dyDescent="0.25">
      <c r="A131" s="704" t="str">
        <f>A8</f>
        <v>Mayor and Council</v>
      </c>
      <c r="B131" s="629"/>
      <c r="C131" s="743">
        <v>81467240.730000019</v>
      </c>
      <c r="D131" s="743">
        <v>304341192</v>
      </c>
      <c r="E131" s="743">
        <v>307507196</v>
      </c>
      <c r="F131" s="743">
        <v>39363594.70000001</v>
      </c>
      <c r="G131" s="743">
        <v>84529492.420000017</v>
      </c>
      <c r="H131" s="743">
        <f t="shared" ref="H131:H132" si="58">E131/12*6</f>
        <v>153753598</v>
      </c>
      <c r="I131" s="411">
        <f t="shared" si="55"/>
        <v>-69224105.579999983</v>
      </c>
      <c r="J131" s="411">
        <f t="shared" si="56"/>
        <v>-0.45022754901644635</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22999928</v>
      </c>
      <c r="F132" s="743">
        <v>3126234.0900000003</v>
      </c>
      <c r="G132" s="743">
        <v>5610487.71</v>
      </c>
      <c r="H132" s="743">
        <f t="shared" si="58"/>
        <v>11499964</v>
      </c>
      <c r="I132" s="411">
        <f t="shared" si="55"/>
        <v>-5889476.29</v>
      </c>
      <c r="J132" s="411">
        <f t="shared" si="56"/>
        <v>-0.51212997623296908</v>
      </c>
      <c r="K132" s="745">
        <f>D132</f>
        <v>25829928</v>
      </c>
      <c r="L132" s="101"/>
    </row>
    <row r="133" spans="1:12" x14ac:dyDescent="0.25">
      <c r="A133" s="616" t="str">
        <f>A10</f>
        <v>Finance and administration</v>
      </c>
      <c r="B133" s="629"/>
      <c r="C133" s="617">
        <f t="shared" ref="C133:H133" si="59">SUM(C134:C147)</f>
        <v>1825592258.9499998</v>
      </c>
      <c r="D133" s="617">
        <f t="shared" si="59"/>
        <v>885212796</v>
      </c>
      <c r="E133" s="617">
        <f t="shared" si="59"/>
        <v>882714792</v>
      </c>
      <c r="F133" s="617">
        <f t="shared" si="59"/>
        <v>66229968.080000095</v>
      </c>
      <c r="G133" s="617">
        <f t="shared" si="59"/>
        <v>561943183.15999997</v>
      </c>
      <c r="H133" s="617">
        <f t="shared" si="59"/>
        <v>441357396</v>
      </c>
      <c r="I133" s="617">
        <f t="shared" si="55"/>
        <v>120585787.15999997</v>
      </c>
      <c r="J133" s="617">
        <f t="shared" si="56"/>
        <v>0.27321573911044184</v>
      </c>
      <c r="K133" s="617">
        <f>SUM(K134:K147)</f>
        <v>885212796</v>
      </c>
      <c r="L133" s="101"/>
    </row>
    <row r="134" spans="1:12" x14ac:dyDescent="0.25">
      <c r="A134" s="704" t="str">
        <f t="shared" ref="A134:A147" si="60">A11</f>
        <v>Administrative and Corporate Support</v>
      </c>
      <c r="B134" s="418"/>
      <c r="C134" s="743">
        <v>70109750.189999983</v>
      </c>
      <c r="D134" s="743">
        <v>28920228</v>
      </c>
      <c r="E134" s="743">
        <v>26924228</v>
      </c>
      <c r="F134" s="743">
        <v>2163525.5400000005</v>
      </c>
      <c r="G134" s="743">
        <v>14894114.180000005</v>
      </c>
      <c r="H134" s="743">
        <f t="shared" ref="H134:H147" si="61">E134/12*6</f>
        <v>13462114</v>
      </c>
      <c r="I134" s="411">
        <f t="shared" si="55"/>
        <v>1432000.1800000053</v>
      </c>
      <c r="J134" s="411">
        <f t="shared" si="56"/>
        <v>0.10637260834368252</v>
      </c>
      <c r="K134" s="745">
        <f>D134</f>
        <v>28920228</v>
      </c>
      <c r="L134" s="101"/>
    </row>
    <row r="135" spans="1:12" x14ac:dyDescent="0.25">
      <c r="A135" s="704" t="str">
        <f t="shared" si="60"/>
        <v>Asset Management</v>
      </c>
      <c r="B135" s="418"/>
      <c r="C135" s="743">
        <v>26463048.919999998</v>
      </c>
      <c r="D135" s="743">
        <v>55913916</v>
      </c>
      <c r="E135" s="743">
        <v>55913916</v>
      </c>
      <c r="F135" s="743">
        <v>866626.33</v>
      </c>
      <c r="G135" s="743">
        <v>22735155.800000001</v>
      </c>
      <c r="H135" s="743">
        <f t="shared" si="61"/>
        <v>27956958</v>
      </c>
      <c r="I135" s="411">
        <f t="shared" si="55"/>
        <v>-5221802.1999999993</v>
      </c>
      <c r="J135" s="411">
        <f t="shared" si="56"/>
        <v>-0.18678005668570949</v>
      </c>
      <c r="K135" s="745">
        <f t="shared" ref="K135:K146" si="62">D135</f>
        <v>55913916</v>
      </c>
      <c r="L135" s="101"/>
    </row>
    <row r="136" spans="1:12" x14ac:dyDescent="0.25">
      <c r="A136" s="704" t="str">
        <f t="shared" si="60"/>
        <v>Budget and Treasury Office</v>
      </c>
      <c r="B136" s="418"/>
      <c r="C136" s="743">
        <v>1337979285.55</v>
      </c>
      <c r="D136" s="743">
        <v>367345980</v>
      </c>
      <c r="E136" s="743">
        <v>366843476</v>
      </c>
      <c r="F136" s="743">
        <v>24920926.1800001</v>
      </c>
      <c r="G136" s="743">
        <v>349657674.25</v>
      </c>
      <c r="H136" s="743">
        <f t="shared" si="61"/>
        <v>183421738</v>
      </c>
      <c r="I136" s="411">
        <f t="shared" si="55"/>
        <v>166235936.25</v>
      </c>
      <c r="J136" s="411">
        <f t="shared" si="56"/>
        <v>0.90630444386041087</v>
      </c>
      <c r="K136" s="745">
        <f t="shared" si="62"/>
        <v>367345980</v>
      </c>
      <c r="L136" s="101"/>
    </row>
    <row r="137" spans="1:12" x14ac:dyDescent="0.25">
      <c r="A137" s="704" t="str">
        <f t="shared" si="60"/>
        <v>Finance</v>
      </c>
      <c r="B137" s="418"/>
      <c r="C137" s="743">
        <v>98472897.020000011</v>
      </c>
      <c r="D137" s="743">
        <v>76876836</v>
      </c>
      <c r="E137" s="743">
        <v>76726836</v>
      </c>
      <c r="F137" s="743">
        <v>7277646.2600000007</v>
      </c>
      <c r="G137" s="743">
        <v>29811107.270000003</v>
      </c>
      <c r="H137" s="743">
        <f t="shared" si="61"/>
        <v>38363418</v>
      </c>
      <c r="I137" s="411">
        <f t="shared" si="55"/>
        <v>-8552310.7299999967</v>
      </c>
      <c r="J137" s="411">
        <f t="shared" si="56"/>
        <v>-0.22292879977482707</v>
      </c>
      <c r="K137" s="745">
        <f t="shared" si="62"/>
        <v>76876836</v>
      </c>
      <c r="L137" s="101"/>
    </row>
    <row r="138" spans="1:12" x14ac:dyDescent="0.25">
      <c r="A138" s="704" t="str">
        <f t="shared" si="60"/>
        <v>Fleet Management</v>
      </c>
      <c r="B138" s="418"/>
      <c r="C138" s="743">
        <v>58368595.220000029</v>
      </c>
      <c r="D138" s="743">
        <v>51958404</v>
      </c>
      <c r="E138" s="743">
        <v>51958504</v>
      </c>
      <c r="F138" s="743">
        <v>2917012.9099999997</v>
      </c>
      <c r="G138" s="743">
        <v>17768803.690000005</v>
      </c>
      <c r="H138" s="743">
        <f t="shared" si="61"/>
        <v>25979252</v>
      </c>
      <c r="I138" s="411">
        <f t="shared" si="55"/>
        <v>-8210448.3099999949</v>
      </c>
      <c r="J138" s="411">
        <f t="shared" si="56"/>
        <v>-0.31603867232205124</v>
      </c>
      <c r="K138" s="745">
        <f t="shared" si="62"/>
        <v>51958404</v>
      </c>
      <c r="L138" s="101"/>
    </row>
    <row r="139" spans="1:12" x14ac:dyDescent="0.25">
      <c r="A139" s="704" t="str">
        <f t="shared" si="60"/>
        <v>Human Resources</v>
      </c>
      <c r="B139" s="418"/>
      <c r="C139" s="743">
        <v>34011209.130000003</v>
      </c>
      <c r="D139" s="743">
        <v>70403640</v>
      </c>
      <c r="E139" s="743">
        <v>70553640</v>
      </c>
      <c r="F139" s="743">
        <v>7632200.709999999</v>
      </c>
      <c r="G139" s="743">
        <v>29068537.440000005</v>
      </c>
      <c r="H139" s="743">
        <f t="shared" si="61"/>
        <v>35276820</v>
      </c>
      <c r="I139" s="411">
        <f t="shared" si="55"/>
        <v>-6208282.5599999949</v>
      </c>
      <c r="J139" s="411">
        <f t="shared" si="56"/>
        <v>-0.17598759071821085</v>
      </c>
      <c r="K139" s="745">
        <f t="shared" si="62"/>
        <v>70403640</v>
      </c>
      <c r="L139" s="101"/>
    </row>
    <row r="140" spans="1:12" x14ac:dyDescent="0.25">
      <c r="A140" s="704" t="str">
        <f t="shared" si="60"/>
        <v>Information Technology</v>
      </c>
      <c r="B140" s="418"/>
      <c r="C140" s="743">
        <v>22095162.289999999</v>
      </c>
      <c r="D140" s="743">
        <v>31015524</v>
      </c>
      <c r="E140" s="743">
        <v>31015524</v>
      </c>
      <c r="F140" s="743">
        <v>4848316.2200000007</v>
      </c>
      <c r="G140" s="743">
        <v>14949302.050000003</v>
      </c>
      <c r="H140" s="743">
        <f t="shared" si="61"/>
        <v>15507762</v>
      </c>
      <c r="I140" s="411">
        <f t="shared" si="55"/>
        <v>-558459.94999999739</v>
      </c>
      <c r="J140" s="411">
        <f t="shared" si="56"/>
        <v>-3.6011640493321818E-2</v>
      </c>
      <c r="K140" s="745">
        <f t="shared" si="62"/>
        <v>31015524</v>
      </c>
      <c r="L140" s="101"/>
    </row>
    <row r="141" spans="1:12" x14ac:dyDescent="0.25">
      <c r="A141" s="704" t="str">
        <f t="shared" si="60"/>
        <v>Legal Services</v>
      </c>
      <c r="B141" s="418"/>
      <c r="C141" s="743">
        <v>19132471.289999999</v>
      </c>
      <c r="D141" s="743">
        <v>16056912</v>
      </c>
      <c r="E141" s="743">
        <v>16056912</v>
      </c>
      <c r="F141" s="743">
        <v>804276.76000000013</v>
      </c>
      <c r="G141" s="743">
        <v>5265002.08</v>
      </c>
      <c r="H141" s="743">
        <f t="shared" si="61"/>
        <v>8028456</v>
      </c>
      <c r="I141" s="411">
        <f t="shared" si="55"/>
        <v>-2763453.92</v>
      </c>
      <c r="J141" s="411">
        <f t="shared" si="56"/>
        <v>-0.3442073942984803</v>
      </c>
      <c r="K141" s="745">
        <f t="shared" si="62"/>
        <v>16056912</v>
      </c>
      <c r="L141" s="101"/>
    </row>
    <row r="142" spans="1:12" ht="20.399999999999999" x14ac:dyDescent="0.25">
      <c r="A142" s="704" t="str">
        <f t="shared" si="60"/>
        <v>Marketing, Customer Relations, Publicity and Media Co-ordination</v>
      </c>
      <c r="B142" s="418"/>
      <c r="C142" s="743">
        <v>57277156.590000004</v>
      </c>
      <c r="D142" s="743">
        <v>59836908</v>
      </c>
      <c r="E142" s="743">
        <v>59837108</v>
      </c>
      <c r="F142" s="743">
        <v>5585697.9300000016</v>
      </c>
      <c r="G142" s="743">
        <v>27731378.579999998</v>
      </c>
      <c r="H142" s="743">
        <f t="shared" si="61"/>
        <v>29918554</v>
      </c>
      <c r="I142" s="411">
        <f t="shared" si="55"/>
        <v>-2187175.4200000018</v>
      </c>
      <c r="J142" s="411">
        <f t="shared" si="56"/>
        <v>-7.3104315803497785E-2</v>
      </c>
      <c r="K142" s="745">
        <f t="shared" si="62"/>
        <v>59836908</v>
      </c>
      <c r="L142" s="101"/>
    </row>
    <row r="143" spans="1:12" x14ac:dyDescent="0.25">
      <c r="A143" s="704" t="str">
        <f t="shared" si="60"/>
        <v>Property Services</v>
      </c>
      <c r="B143" s="418"/>
      <c r="C143" s="743">
        <v>1891411.38</v>
      </c>
      <c r="D143" s="743">
        <v>5631816</v>
      </c>
      <c r="E143" s="743">
        <v>5631816</v>
      </c>
      <c r="F143" s="743">
        <v>152203.52000000002</v>
      </c>
      <c r="G143" s="743">
        <v>964689.51000000013</v>
      </c>
      <c r="H143" s="743">
        <f t="shared" si="61"/>
        <v>2815908</v>
      </c>
      <c r="I143" s="411">
        <f t="shared" si="55"/>
        <v>-1851218.4899999998</v>
      </c>
      <c r="J143" s="411">
        <f t="shared" si="56"/>
        <v>-0.65741440771502468</v>
      </c>
      <c r="K143" s="745">
        <f t="shared" si="62"/>
        <v>5631816</v>
      </c>
      <c r="L143" s="101"/>
    </row>
    <row r="144" spans="1:12" x14ac:dyDescent="0.25">
      <c r="A144" s="704" t="str">
        <f t="shared" si="60"/>
        <v>Risk Management</v>
      </c>
      <c r="B144" s="418"/>
      <c r="C144" s="743">
        <v>83501651.26000002</v>
      </c>
      <c r="D144" s="743">
        <v>99995628</v>
      </c>
      <c r="E144" s="743">
        <v>99995828</v>
      </c>
      <c r="F144" s="743">
        <v>7435578.4399999995</v>
      </c>
      <c r="G144" s="743">
        <v>43018039.389999993</v>
      </c>
      <c r="H144" s="743">
        <f t="shared" si="61"/>
        <v>49997914</v>
      </c>
      <c r="I144" s="411">
        <f t="shared" si="55"/>
        <v>-6979874.6100000069</v>
      </c>
      <c r="J144" s="411">
        <f t="shared" si="56"/>
        <v>-0.13960331645036245</v>
      </c>
      <c r="K144" s="745">
        <f t="shared" si="62"/>
        <v>99995628</v>
      </c>
      <c r="L144" s="101"/>
    </row>
    <row r="145" spans="1:12" x14ac:dyDescent="0.25">
      <c r="A145" s="704" t="str">
        <f t="shared" si="60"/>
        <v>Security Services</v>
      </c>
      <c r="B145" s="418"/>
      <c r="C145" s="743">
        <v>16289620.110000001</v>
      </c>
      <c r="D145" s="743">
        <v>21257004</v>
      </c>
      <c r="E145" s="743">
        <v>21257004</v>
      </c>
      <c r="F145" s="743">
        <v>1625957.28</v>
      </c>
      <c r="G145" s="743">
        <v>6079378.9200000027</v>
      </c>
      <c r="H145" s="743">
        <f t="shared" si="61"/>
        <v>10628502</v>
      </c>
      <c r="I145" s="411">
        <f t="shared" si="55"/>
        <v>-4549123.0799999973</v>
      </c>
      <c r="J145" s="411">
        <f t="shared" si="56"/>
        <v>-0.42801168781828308</v>
      </c>
      <c r="K145" s="745">
        <f t="shared" si="62"/>
        <v>21257004</v>
      </c>
      <c r="L145" s="101"/>
    </row>
    <row r="146" spans="1:12" x14ac:dyDescent="0.25">
      <c r="A146" s="704" t="str">
        <f t="shared" si="60"/>
        <v xml:space="preserve">Supply Chain Management </v>
      </c>
      <c r="B146" s="418"/>
      <c r="C146" s="743">
        <v>0</v>
      </c>
      <c r="D146" s="743">
        <v>0</v>
      </c>
      <c r="E146" s="743">
        <v>0</v>
      </c>
      <c r="F146" s="743">
        <v>0</v>
      </c>
      <c r="G146" s="743">
        <v>0</v>
      </c>
      <c r="H146" s="743">
        <f t="shared" si="61"/>
        <v>0</v>
      </c>
      <c r="I146" s="411">
        <f t="shared" si="55"/>
        <v>0</v>
      </c>
      <c r="J146" s="411" t="str">
        <f t="shared" si="56"/>
        <v/>
      </c>
      <c r="K146" s="745">
        <f t="shared" si="62"/>
        <v>0</v>
      </c>
      <c r="L146" s="101"/>
    </row>
    <row r="147" spans="1:12" x14ac:dyDescent="0.25">
      <c r="A147" s="704" t="str">
        <f t="shared" si="60"/>
        <v>Valuation Service</v>
      </c>
      <c r="B147" s="418"/>
      <c r="C147" s="743"/>
      <c r="D147" s="743"/>
      <c r="E147" s="743">
        <v>0</v>
      </c>
      <c r="F147" s="743"/>
      <c r="G147" s="743"/>
      <c r="H147" s="743">
        <f t="shared" si="61"/>
        <v>0</v>
      </c>
      <c r="I147" s="411">
        <f t="shared" si="55"/>
        <v>0</v>
      </c>
      <c r="J147" s="411" t="str">
        <f t="shared" si="56"/>
        <v/>
      </c>
      <c r="K147" s="745">
        <f t="shared" ref="K147" si="63">D147</f>
        <v>0</v>
      </c>
      <c r="L147" s="101"/>
    </row>
    <row r="148" spans="1:12" x14ac:dyDescent="0.25">
      <c r="A148" s="616" t="str">
        <f>A25</f>
        <v>Internal audit</v>
      </c>
      <c r="B148" s="629"/>
      <c r="C148" s="617">
        <f t="shared" ref="C148:H148" si="64">SUM(C149:C149)</f>
        <v>7594471.9199999999</v>
      </c>
      <c r="D148" s="617">
        <f t="shared" si="64"/>
        <v>13513920</v>
      </c>
      <c r="E148" s="617">
        <f t="shared" si="64"/>
        <v>13513920</v>
      </c>
      <c r="F148" s="617">
        <f t="shared" si="64"/>
        <v>733259.23</v>
      </c>
      <c r="G148" s="617">
        <f t="shared" si="64"/>
        <v>6005963.1299999999</v>
      </c>
      <c r="H148" s="617">
        <f t="shared" si="64"/>
        <v>6756960</v>
      </c>
      <c r="I148" s="617">
        <f t="shared" si="55"/>
        <v>-750996.87000000011</v>
      </c>
      <c r="J148" s="617">
        <f t="shared" si="56"/>
        <v>-0.11114419354265825</v>
      </c>
      <c r="K148" s="619">
        <f>SUM(K149:K149)</f>
        <v>13513920</v>
      </c>
      <c r="L148" s="101"/>
    </row>
    <row r="149" spans="1:12" x14ac:dyDescent="0.25">
      <c r="A149" s="704" t="str">
        <f>A26</f>
        <v>Governance Function</v>
      </c>
      <c r="B149" s="629"/>
      <c r="C149" s="743">
        <v>7594471.9199999999</v>
      </c>
      <c r="D149" s="743">
        <v>13513920</v>
      </c>
      <c r="E149" s="743">
        <v>13513920</v>
      </c>
      <c r="F149" s="743">
        <v>733259.23</v>
      </c>
      <c r="G149" s="743">
        <v>6005963.1299999999</v>
      </c>
      <c r="H149" s="743">
        <f>E149/12*6</f>
        <v>6756960</v>
      </c>
      <c r="I149" s="411">
        <f t="shared" si="55"/>
        <v>-750996.87000000011</v>
      </c>
      <c r="J149" s="411">
        <f t="shared" si="56"/>
        <v>-0.11114419354265825</v>
      </c>
      <c r="K149" s="745">
        <f>D149</f>
        <v>13513920</v>
      </c>
      <c r="L149" s="101"/>
    </row>
    <row r="150" spans="1:12" x14ac:dyDescent="0.25">
      <c r="A150" s="417" t="str">
        <f>A27</f>
        <v>Community and public safety</v>
      </c>
      <c r="B150" s="629"/>
      <c r="C150" s="614">
        <f t="shared" ref="C150:H150" si="65">C151+C173+C179+C186+C189</f>
        <v>212715115.09999999</v>
      </c>
      <c r="D150" s="614">
        <f t="shared" si="65"/>
        <v>272800224</v>
      </c>
      <c r="E150" s="614">
        <f t="shared" si="65"/>
        <v>274424024</v>
      </c>
      <c r="F150" s="614">
        <f t="shared" si="65"/>
        <v>15094434.620000001</v>
      </c>
      <c r="G150" s="614">
        <f t="shared" si="65"/>
        <v>93559834.399999976</v>
      </c>
      <c r="H150" s="614">
        <f t="shared" si="65"/>
        <v>114391882</v>
      </c>
      <c r="I150" s="614">
        <f t="shared" si="55"/>
        <v>-20832047.600000024</v>
      </c>
      <c r="J150" s="614">
        <f t="shared" si="56"/>
        <v>-0.18211124107565627</v>
      </c>
      <c r="K150" s="615">
        <f>K151+K173+K179+K186+K189</f>
        <v>272800224</v>
      </c>
      <c r="L150" s="101"/>
    </row>
    <row r="151" spans="1:12" x14ac:dyDescent="0.25">
      <c r="A151" s="616" t="str">
        <f>A28</f>
        <v>Community and social services</v>
      </c>
      <c r="B151" s="629"/>
      <c r="C151" s="620">
        <f t="shared" ref="C151:H151" si="66">SUM(C152:C172)</f>
        <v>66389373.119999997</v>
      </c>
      <c r="D151" s="620">
        <f t="shared" si="66"/>
        <v>65851692</v>
      </c>
      <c r="E151" s="620">
        <f t="shared" si="66"/>
        <v>67347108</v>
      </c>
      <c r="F151" s="620">
        <f t="shared" si="66"/>
        <v>4237877.26</v>
      </c>
      <c r="G151" s="620">
        <f t="shared" si="66"/>
        <v>29081174.380000003</v>
      </c>
      <c r="H151" s="620">
        <f t="shared" si="66"/>
        <v>33673554</v>
      </c>
      <c r="I151" s="620">
        <f t="shared" si="55"/>
        <v>-4592379.6199999973</v>
      </c>
      <c r="J151" s="620">
        <f t="shared" si="56"/>
        <v>-0.13637941572784379</v>
      </c>
      <c r="K151" s="623">
        <f>SUM(K152:K172)</f>
        <v>65851692</v>
      </c>
      <c r="L151" s="101"/>
    </row>
    <row r="152" spans="1:12" x14ac:dyDescent="0.25">
      <c r="A152" s="704" t="str">
        <f t="shared" ref="A152:A172" si="67">A29</f>
        <v>Aged Care</v>
      </c>
      <c r="B152" s="629"/>
      <c r="C152" s="743">
        <v>0</v>
      </c>
      <c r="D152" s="743">
        <v>0</v>
      </c>
      <c r="E152" s="743">
        <v>0</v>
      </c>
      <c r="F152" s="743">
        <v>0</v>
      </c>
      <c r="G152" s="743">
        <v>0</v>
      </c>
      <c r="H152" s="743">
        <f t="shared" ref="H152:H172" si="68">E152/12*6</f>
        <v>0</v>
      </c>
      <c r="I152" s="411">
        <f t="shared" si="55"/>
        <v>0</v>
      </c>
      <c r="J152" s="411" t="str">
        <f t="shared" si="56"/>
        <v/>
      </c>
      <c r="K152" s="745">
        <f>D152</f>
        <v>0</v>
      </c>
      <c r="L152" s="101"/>
    </row>
    <row r="153" spans="1:12" x14ac:dyDescent="0.25">
      <c r="A153" s="704" t="str">
        <f t="shared" si="67"/>
        <v>Agricultural</v>
      </c>
      <c r="B153" s="629"/>
      <c r="C153" s="743">
        <v>0</v>
      </c>
      <c r="D153" s="743">
        <v>0</v>
      </c>
      <c r="E153" s="743">
        <v>0</v>
      </c>
      <c r="F153" s="743">
        <v>0</v>
      </c>
      <c r="G153" s="743">
        <v>0</v>
      </c>
      <c r="H153" s="743">
        <f t="shared" si="68"/>
        <v>0</v>
      </c>
      <c r="I153" s="411">
        <f t="shared" si="55"/>
        <v>0</v>
      </c>
      <c r="J153" s="411" t="str">
        <f t="shared" si="56"/>
        <v/>
      </c>
      <c r="K153" s="745">
        <f t="shared" ref="K153:K172" si="69">D153</f>
        <v>0</v>
      </c>
      <c r="L153" s="101"/>
    </row>
    <row r="154" spans="1:12" x14ac:dyDescent="0.25">
      <c r="A154" s="704" t="str">
        <f t="shared" si="67"/>
        <v>Animal Care and Diseases</v>
      </c>
      <c r="B154" s="629"/>
      <c r="C154" s="743">
        <v>0</v>
      </c>
      <c r="D154" s="743">
        <v>0</v>
      </c>
      <c r="E154" s="743">
        <v>0</v>
      </c>
      <c r="F154" s="743">
        <v>0</v>
      </c>
      <c r="G154" s="743">
        <v>0</v>
      </c>
      <c r="H154" s="743">
        <f t="shared" si="68"/>
        <v>0</v>
      </c>
      <c r="I154" s="411">
        <f t="shared" si="55"/>
        <v>0</v>
      </c>
      <c r="J154" s="411" t="str">
        <f t="shared" si="56"/>
        <v/>
      </c>
      <c r="K154" s="745">
        <f t="shared" si="69"/>
        <v>0</v>
      </c>
      <c r="L154" s="101"/>
    </row>
    <row r="155" spans="1:12" x14ac:dyDescent="0.25">
      <c r="A155" s="704" t="str">
        <f t="shared" si="67"/>
        <v>Cemeteries, Funeral Parlours and Crematoriums</v>
      </c>
      <c r="B155" s="629"/>
      <c r="C155" s="743">
        <v>14303708.589999998</v>
      </c>
      <c r="D155" s="743">
        <v>7052016</v>
      </c>
      <c r="E155" s="743">
        <v>7052116</v>
      </c>
      <c r="F155" s="743">
        <v>914210.55</v>
      </c>
      <c r="G155" s="743">
        <v>7429096.8500000006</v>
      </c>
      <c r="H155" s="743">
        <f t="shared" si="68"/>
        <v>3526058</v>
      </c>
      <c r="I155" s="411">
        <f t="shared" si="55"/>
        <v>3903038.8500000006</v>
      </c>
      <c r="J155" s="411">
        <f t="shared" si="56"/>
        <v>1.1069128329709836</v>
      </c>
      <c r="K155" s="745">
        <f t="shared" si="69"/>
        <v>7052016</v>
      </c>
      <c r="L155" s="101"/>
    </row>
    <row r="156" spans="1:12" x14ac:dyDescent="0.25">
      <c r="A156" s="704" t="str">
        <f t="shared" si="67"/>
        <v>Child Care Facilities</v>
      </c>
      <c r="B156" s="629"/>
      <c r="C156" s="743">
        <v>0</v>
      </c>
      <c r="D156" s="743">
        <v>0</v>
      </c>
      <c r="E156" s="743">
        <v>0</v>
      </c>
      <c r="F156" s="743">
        <v>0</v>
      </c>
      <c r="G156" s="743">
        <v>0</v>
      </c>
      <c r="H156" s="743">
        <f t="shared" si="68"/>
        <v>0</v>
      </c>
      <c r="I156" s="411">
        <f t="shared" si="55"/>
        <v>0</v>
      </c>
      <c r="J156" s="411" t="str">
        <f t="shared" si="56"/>
        <v/>
      </c>
      <c r="K156" s="745">
        <f t="shared" si="69"/>
        <v>0</v>
      </c>
      <c r="L156" s="101"/>
    </row>
    <row r="157" spans="1:12" x14ac:dyDescent="0.25">
      <c r="A157" s="704" t="str">
        <f t="shared" si="67"/>
        <v>Community Halls and Facilities</v>
      </c>
      <c r="B157" s="629"/>
      <c r="C157" s="743">
        <v>23514169.120000001</v>
      </c>
      <c r="D157" s="743">
        <v>12372984</v>
      </c>
      <c r="E157" s="743">
        <v>12372984</v>
      </c>
      <c r="F157" s="743">
        <v>809729.8899999999</v>
      </c>
      <c r="G157" s="743">
        <v>5467904.1399999997</v>
      </c>
      <c r="H157" s="743">
        <f t="shared" si="68"/>
        <v>6186492</v>
      </c>
      <c r="I157" s="411">
        <f t="shared" si="55"/>
        <v>-718587.86000000034</v>
      </c>
      <c r="J157" s="411">
        <f t="shared" si="56"/>
        <v>-0.11615433431418004</v>
      </c>
      <c r="K157" s="745">
        <f t="shared" si="69"/>
        <v>12372984</v>
      </c>
      <c r="L157" s="101"/>
    </row>
    <row r="158" spans="1:12" x14ac:dyDescent="0.25">
      <c r="A158" s="704" t="str">
        <f t="shared" si="67"/>
        <v>Consumer Protection</v>
      </c>
      <c r="B158" s="629"/>
      <c r="C158" s="743">
        <v>0</v>
      </c>
      <c r="D158" s="743">
        <v>0</v>
      </c>
      <c r="E158" s="743">
        <v>0</v>
      </c>
      <c r="F158" s="743">
        <v>0</v>
      </c>
      <c r="G158" s="743">
        <v>0</v>
      </c>
      <c r="H158" s="743">
        <f t="shared" si="68"/>
        <v>0</v>
      </c>
      <c r="I158" s="411">
        <f t="shared" si="55"/>
        <v>0</v>
      </c>
      <c r="J158" s="411" t="str">
        <f t="shared" si="56"/>
        <v/>
      </c>
      <c r="K158" s="745">
        <f t="shared" si="69"/>
        <v>0</v>
      </c>
      <c r="L158" s="101"/>
    </row>
    <row r="159" spans="1:12" x14ac:dyDescent="0.25">
      <c r="A159" s="704" t="str">
        <f t="shared" si="67"/>
        <v>Cultural Matters</v>
      </c>
      <c r="B159" s="629"/>
      <c r="C159" s="743">
        <v>3582035.4499999988</v>
      </c>
      <c r="D159" s="743">
        <v>5061900</v>
      </c>
      <c r="E159" s="743">
        <v>5061900</v>
      </c>
      <c r="F159" s="743">
        <v>264506.23</v>
      </c>
      <c r="G159" s="743">
        <v>2683855.69</v>
      </c>
      <c r="H159" s="743">
        <f t="shared" si="68"/>
        <v>2530950</v>
      </c>
      <c r="I159" s="411">
        <f>G159-H159</f>
        <v>152905.68999999994</v>
      </c>
      <c r="J159" s="411">
        <f>IF(I159=0,"",I159/H159)</f>
        <v>6.0414346391671092E-2</v>
      </c>
      <c r="K159" s="745">
        <f t="shared" si="69"/>
        <v>5061900</v>
      </c>
      <c r="L159" s="101"/>
    </row>
    <row r="160" spans="1:12" x14ac:dyDescent="0.25">
      <c r="A160" s="704" t="str">
        <f t="shared" si="67"/>
        <v>Disaster Management</v>
      </c>
      <c r="B160" s="629"/>
      <c r="C160" s="743">
        <v>136965.64000000001</v>
      </c>
      <c r="D160" s="743">
        <v>8503992</v>
      </c>
      <c r="E160" s="743">
        <v>9026992</v>
      </c>
      <c r="F160" s="743">
        <v>0</v>
      </c>
      <c r="G160" s="743">
        <v>163831.5</v>
      </c>
      <c r="H160" s="743">
        <f t="shared" si="68"/>
        <v>4513496</v>
      </c>
      <c r="I160" s="411">
        <f>G160-H160</f>
        <v>-4349664.5</v>
      </c>
      <c r="J160" s="411">
        <f>IF(I160=0,"",I160/H160)</f>
        <v>-0.96370186214854292</v>
      </c>
      <c r="K160" s="745">
        <f t="shared" si="69"/>
        <v>8503992</v>
      </c>
      <c r="L160" s="101"/>
    </row>
    <row r="161" spans="1:12" x14ac:dyDescent="0.25">
      <c r="A161" s="704" t="str">
        <f t="shared" si="67"/>
        <v>Education</v>
      </c>
      <c r="B161" s="629"/>
      <c r="C161" s="743">
        <v>0</v>
      </c>
      <c r="D161" s="743">
        <v>0</v>
      </c>
      <c r="E161" s="743">
        <v>0</v>
      </c>
      <c r="F161" s="743">
        <v>0</v>
      </c>
      <c r="G161" s="743">
        <v>0</v>
      </c>
      <c r="H161" s="743">
        <f t="shared" si="68"/>
        <v>0</v>
      </c>
      <c r="I161" s="411">
        <f t="shared" ref="I161:I166" si="70">G161-H161</f>
        <v>0</v>
      </c>
      <c r="J161" s="411" t="str">
        <f t="shared" ref="J161:J166" si="71">IF(I161=0,"",I161/H161)</f>
        <v/>
      </c>
      <c r="K161" s="745">
        <f t="shared" si="69"/>
        <v>0</v>
      </c>
      <c r="L161" s="101"/>
    </row>
    <row r="162" spans="1:12" x14ac:dyDescent="0.25">
      <c r="A162" s="704" t="str">
        <f t="shared" si="67"/>
        <v>Indigenous and Customary Law</v>
      </c>
      <c r="B162" s="629"/>
      <c r="C162" s="743">
        <v>0</v>
      </c>
      <c r="D162" s="743">
        <v>0</v>
      </c>
      <c r="E162" s="743">
        <v>0</v>
      </c>
      <c r="F162" s="743">
        <v>0</v>
      </c>
      <c r="G162" s="743">
        <v>0</v>
      </c>
      <c r="H162" s="743">
        <f t="shared" si="68"/>
        <v>0</v>
      </c>
      <c r="I162" s="411">
        <f t="shared" si="70"/>
        <v>0</v>
      </c>
      <c r="J162" s="411" t="str">
        <f t="shared" si="71"/>
        <v/>
      </c>
      <c r="K162" s="745">
        <f t="shared" si="69"/>
        <v>0</v>
      </c>
      <c r="L162" s="101"/>
    </row>
    <row r="163" spans="1:12" x14ac:dyDescent="0.25">
      <c r="A163" s="704" t="str">
        <f t="shared" si="67"/>
        <v>Industrial Promotion</v>
      </c>
      <c r="B163" s="629"/>
      <c r="C163" s="743">
        <v>0</v>
      </c>
      <c r="D163" s="743">
        <v>0</v>
      </c>
      <c r="E163" s="743">
        <v>0</v>
      </c>
      <c r="F163" s="743">
        <v>0</v>
      </c>
      <c r="G163" s="743">
        <v>0</v>
      </c>
      <c r="H163" s="743">
        <f t="shared" si="68"/>
        <v>0</v>
      </c>
      <c r="I163" s="411">
        <f t="shared" si="70"/>
        <v>0</v>
      </c>
      <c r="J163" s="411" t="str">
        <f t="shared" si="71"/>
        <v/>
      </c>
      <c r="K163" s="745">
        <f t="shared" si="69"/>
        <v>0</v>
      </c>
      <c r="L163" s="101"/>
    </row>
    <row r="164" spans="1:12" x14ac:dyDescent="0.25">
      <c r="A164" s="704" t="str">
        <f t="shared" si="67"/>
        <v>Language Policy</v>
      </c>
      <c r="B164" s="629"/>
      <c r="C164" s="743">
        <v>0</v>
      </c>
      <c r="D164" s="743">
        <v>0</v>
      </c>
      <c r="E164" s="743">
        <v>0</v>
      </c>
      <c r="F164" s="743">
        <v>0</v>
      </c>
      <c r="G164" s="743">
        <v>0</v>
      </c>
      <c r="H164" s="743">
        <f t="shared" si="68"/>
        <v>0</v>
      </c>
      <c r="I164" s="411">
        <f t="shared" si="70"/>
        <v>0</v>
      </c>
      <c r="J164" s="411" t="str">
        <f t="shared" si="71"/>
        <v/>
      </c>
      <c r="K164" s="745">
        <f t="shared" si="69"/>
        <v>0</v>
      </c>
      <c r="L164" s="101"/>
    </row>
    <row r="165" spans="1:12" x14ac:dyDescent="0.25">
      <c r="A165" s="704" t="str">
        <f t="shared" si="67"/>
        <v>Libraries and Archives</v>
      </c>
      <c r="B165" s="629"/>
      <c r="C165" s="743">
        <v>16911705.619999997</v>
      </c>
      <c r="D165" s="743">
        <v>21293292</v>
      </c>
      <c r="E165" s="743">
        <v>22393292</v>
      </c>
      <c r="F165" s="743">
        <v>1584096.1399999997</v>
      </c>
      <c r="G165" s="743">
        <v>9288662.0999999996</v>
      </c>
      <c r="H165" s="743">
        <f t="shared" si="68"/>
        <v>11196646</v>
      </c>
      <c r="I165" s="411">
        <f t="shared" si="70"/>
        <v>-1907983.9000000004</v>
      </c>
      <c r="J165" s="411">
        <f t="shared" si="71"/>
        <v>-0.17040673608864659</v>
      </c>
      <c r="K165" s="745">
        <f t="shared" si="69"/>
        <v>21293292</v>
      </c>
      <c r="L165" s="101"/>
    </row>
    <row r="166" spans="1:12" x14ac:dyDescent="0.25">
      <c r="A166" s="704" t="str">
        <f t="shared" si="67"/>
        <v>Literacy Programmes</v>
      </c>
      <c r="B166" s="629"/>
      <c r="C166" s="743">
        <v>0</v>
      </c>
      <c r="D166" s="743">
        <v>0</v>
      </c>
      <c r="E166" s="743">
        <v>0</v>
      </c>
      <c r="F166" s="743">
        <v>0</v>
      </c>
      <c r="G166" s="743">
        <v>0</v>
      </c>
      <c r="H166" s="743">
        <f t="shared" si="68"/>
        <v>0</v>
      </c>
      <c r="I166" s="411">
        <f t="shared" si="70"/>
        <v>0</v>
      </c>
      <c r="J166" s="411" t="str">
        <f t="shared" si="71"/>
        <v/>
      </c>
      <c r="K166" s="745">
        <f t="shared" si="69"/>
        <v>0</v>
      </c>
      <c r="L166" s="101"/>
    </row>
    <row r="167" spans="1:12" x14ac:dyDescent="0.25">
      <c r="A167" s="704" t="str">
        <f t="shared" si="67"/>
        <v>Media Services</v>
      </c>
      <c r="B167" s="629"/>
      <c r="C167" s="743">
        <v>0</v>
      </c>
      <c r="D167" s="743">
        <v>0</v>
      </c>
      <c r="E167" s="743">
        <v>0</v>
      </c>
      <c r="F167" s="743">
        <v>0</v>
      </c>
      <c r="G167" s="743">
        <v>0</v>
      </c>
      <c r="H167" s="743">
        <f t="shared" si="68"/>
        <v>0</v>
      </c>
      <c r="I167" s="411">
        <f t="shared" si="55"/>
        <v>0</v>
      </c>
      <c r="J167" s="411" t="str">
        <f t="shared" si="56"/>
        <v/>
      </c>
      <c r="K167" s="745">
        <f t="shared" si="69"/>
        <v>0</v>
      </c>
      <c r="L167" s="101"/>
    </row>
    <row r="168" spans="1:12" x14ac:dyDescent="0.25">
      <c r="A168" s="704" t="str">
        <f t="shared" si="67"/>
        <v>Museums and Art Galleries</v>
      </c>
      <c r="B168" s="629"/>
      <c r="C168" s="743">
        <v>7940788.7000000011</v>
      </c>
      <c r="D168" s="743">
        <v>11567508</v>
      </c>
      <c r="E168" s="743">
        <v>11439824</v>
      </c>
      <c r="F168" s="743">
        <v>665334.45000000007</v>
      </c>
      <c r="G168" s="743">
        <v>4047824.0999999996</v>
      </c>
      <c r="H168" s="743">
        <f t="shared" si="68"/>
        <v>5719912</v>
      </c>
      <c r="I168" s="411">
        <f t="shared" si="55"/>
        <v>-1672087.9000000004</v>
      </c>
      <c r="J168" s="411">
        <f t="shared" si="56"/>
        <v>-0.29232755678758698</v>
      </c>
      <c r="K168" s="745">
        <f t="shared" si="69"/>
        <v>11567508</v>
      </c>
      <c r="L168" s="101"/>
    </row>
    <row r="169" spans="1:12" x14ac:dyDescent="0.25">
      <c r="A169" s="704" t="str">
        <f t="shared" si="67"/>
        <v>Population Development</v>
      </c>
      <c r="B169" s="629"/>
      <c r="C169" s="743">
        <v>0</v>
      </c>
      <c r="D169" s="743">
        <v>0</v>
      </c>
      <c r="E169" s="743">
        <v>0</v>
      </c>
      <c r="F169" s="743">
        <v>0</v>
      </c>
      <c r="G169" s="743">
        <v>0</v>
      </c>
      <c r="H169" s="743">
        <f t="shared" si="68"/>
        <v>0</v>
      </c>
      <c r="I169" s="411">
        <f t="shared" si="55"/>
        <v>0</v>
      </c>
      <c r="J169" s="411" t="str">
        <f t="shared" si="56"/>
        <v/>
      </c>
      <c r="K169" s="745">
        <f t="shared" si="69"/>
        <v>0</v>
      </c>
      <c r="L169" s="101"/>
    </row>
    <row r="170" spans="1:12" x14ac:dyDescent="0.25">
      <c r="A170" s="704" t="str">
        <f t="shared" si="67"/>
        <v>Provincial Cultural Matters</v>
      </c>
      <c r="B170" s="629"/>
      <c r="C170" s="743">
        <v>0</v>
      </c>
      <c r="D170" s="743">
        <v>0</v>
      </c>
      <c r="E170" s="743">
        <v>0</v>
      </c>
      <c r="F170" s="743">
        <v>0</v>
      </c>
      <c r="G170" s="743">
        <v>0</v>
      </c>
      <c r="H170" s="743">
        <f t="shared" si="68"/>
        <v>0</v>
      </c>
      <c r="I170" s="411">
        <f t="shared" si="55"/>
        <v>0</v>
      </c>
      <c r="J170" s="411" t="str">
        <f t="shared" si="56"/>
        <v/>
      </c>
      <c r="K170" s="745">
        <f t="shared" si="69"/>
        <v>0</v>
      </c>
      <c r="L170" s="101"/>
    </row>
    <row r="171" spans="1:12" x14ac:dyDescent="0.25">
      <c r="A171" s="704" t="str">
        <f t="shared" si="67"/>
        <v>Theatres</v>
      </c>
      <c r="B171" s="629"/>
      <c r="C171" s="743">
        <v>0</v>
      </c>
      <c r="D171" s="743">
        <v>0</v>
      </c>
      <c r="E171" s="743">
        <v>0</v>
      </c>
      <c r="F171" s="743">
        <v>0</v>
      </c>
      <c r="G171" s="743">
        <v>0</v>
      </c>
      <c r="H171" s="743">
        <f t="shared" si="68"/>
        <v>0</v>
      </c>
      <c r="I171" s="411">
        <f t="shared" si="55"/>
        <v>0</v>
      </c>
      <c r="J171" s="411" t="str">
        <f t="shared" si="56"/>
        <v/>
      </c>
      <c r="K171" s="745">
        <f t="shared" si="69"/>
        <v>0</v>
      </c>
      <c r="L171" s="101"/>
    </row>
    <row r="172" spans="1:12" x14ac:dyDescent="0.25">
      <c r="A172" s="704" t="str">
        <f t="shared" si="67"/>
        <v>Zoo's</v>
      </c>
      <c r="B172" s="629"/>
      <c r="C172" s="743">
        <v>0</v>
      </c>
      <c r="D172" s="743">
        <v>0</v>
      </c>
      <c r="E172" s="743">
        <v>0</v>
      </c>
      <c r="F172" s="743">
        <v>0</v>
      </c>
      <c r="G172" s="743">
        <v>0</v>
      </c>
      <c r="H172" s="743">
        <f t="shared" si="68"/>
        <v>0</v>
      </c>
      <c r="I172" s="411">
        <f t="shared" si="55"/>
        <v>0</v>
      </c>
      <c r="J172" s="411" t="str">
        <f t="shared" si="56"/>
        <v/>
      </c>
      <c r="K172" s="745">
        <f t="shared" si="69"/>
        <v>0</v>
      </c>
      <c r="L172" s="101"/>
    </row>
    <row r="173" spans="1:12" x14ac:dyDescent="0.25">
      <c r="A173" s="616" t="str">
        <f t="shared" ref="A173:A181" si="72">A50</f>
        <v>Sport and recreation</v>
      </c>
      <c r="B173" s="629"/>
      <c r="C173" s="620">
        <f t="shared" ref="C173:K173" si="73">SUM(C174:C178)</f>
        <v>85674383.310000002</v>
      </c>
      <c r="D173" s="620">
        <f t="shared" si="73"/>
        <v>136536828</v>
      </c>
      <c r="E173" s="620">
        <f t="shared" si="73"/>
        <v>136664812</v>
      </c>
      <c r="F173" s="620">
        <f t="shared" si="73"/>
        <v>6191093.9700000007</v>
      </c>
      <c r="G173" s="620">
        <f t="shared" si="73"/>
        <v>35054279.389999986</v>
      </c>
      <c r="H173" s="620">
        <f>D173/12*4</f>
        <v>45512276</v>
      </c>
      <c r="I173" s="620">
        <f t="shared" ref="I173:I178" si="74">G173-H173</f>
        <v>-10457996.610000014</v>
      </c>
      <c r="J173" s="620">
        <f t="shared" ref="J173:J178" si="75">IF(I173=0,"",I173/H173)</f>
        <v>-0.22978408309002202</v>
      </c>
      <c r="K173" s="623">
        <f t="shared" si="73"/>
        <v>136536828</v>
      </c>
      <c r="L173" s="101"/>
    </row>
    <row r="174" spans="1:12" x14ac:dyDescent="0.25">
      <c r="A174" s="704" t="str">
        <f t="shared" si="72"/>
        <v xml:space="preserve">Beaches and Jetties </v>
      </c>
      <c r="B174" s="629"/>
      <c r="C174" s="743">
        <v>0</v>
      </c>
      <c r="D174" s="743">
        <v>0</v>
      </c>
      <c r="E174" s="743">
        <v>0</v>
      </c>
      <c r="F174" s="743">
        <v>0</v>
      </c>
      <c r="G174" s="743">
        <v>0</v>
      </c>
      <c r="H174" s="743">
        <f t="shared" ref="H174:H178" si="76">E174/12*6</f>
        <v>0</v>
      </c>
      <c r="I174" s="411">
        <f t="shared" si="74"/>
        <v>0</v>
      </c>
      <c r="J174" s="411" t="str">
        <f t="shared" si="75"/>
        <v/>
      </c>
      <c r="K174" s="745">
        <f>D174</f>
        <v>0</v>
      </c>
      <c r="L174" s="101"/>
    </row>
    <row r="175" spans="1:12" x14ac:dyDescent="0.25">
      <c r="A175" s="704" t="str">
        <f t="shared" si="72"/>
        <v>Casinos, Racing, Gambling, Wagering</v>
      </c>
      <c r="B175" s="629"/>
      <c r="C175" s="743">
        <v>0</v>
      </c>
      <c r="D175" s="743">
        <v>0</v>
      </c>
      <c r="E175" s="743">
        <v>0</v>
      </c>
      <c r="F175" s="743">
        <v>0</v>
      </c>
      <c r="G175" s="743">
        <v>0</v>
      </c>
      <c r="H175" s="743">
        <f t="shared" si="76"/>
        <v>0</v>
      </c>
      <c r="I175" s="411">
        <f t="shared" si="74"/>
        <v>0</v>
      </c>
      <c r="J175" s="411" t="str">
        <f t="shared" si="75"/>
        <v/>
      </c>
      <c r="K175" s="745">
        <f>D175</f>
        <v>0</v>
      </c>
      <c r="L175" s="101"/>
    </row>
    <row r="176" spans="1:12" x14ac:dyDescent="0.25">
      <c r="A176" s="704" t="str">
        <f t="shared" si="72"/>
        <v>Community Parks (including Nurseries)</v>
      </c>
      <c r="B176" s="629"/>
      <c r="C176" s="743">
        <v>41495442.839999996</v>
      </c>
      <c r="D176" s="743">
        <v>39189996</v>
      </c>
      <c r="E176" s="743">
        <v>39190096</v>
      </c>
      <c r="F176" s="743">
        <v>3012261.4400000004</v>
      </c>
      <c r="G176" s="743">
        <v>17237174</v>
      </c>
      <c r="H176" s="743">
        <f t="shared" si="76"/>
        <v>19595048</v>
      </c>
      <c r="I176" s="411">
        <f t="shared" si="74"/>
        <v>-2357874</v>
      </c>
      <c r="J176" s="411">
        <f t="shared" si="75"/>
        <v>-0.12033009564457306</v>
      </c>
      <c r="K176" s="745">
        <f>D176</f>
        <v>39189996</v>
      </c>
      <c r="L176" s="101"/>
    </row>
    <row r="177" spans="1:12" x14ac:dyDescent="0.25">
      <c r="A177" s="704" t="str">
        <f t="shared" si="72"/>
        <v>Recreational Facilities</v>
      </c>
      <c r="B177" s="629"/>
      <c r="C177" s="743">
        <v>43080663.31000001</v>
      </c>
      <c r="D177" s="743">
        <v>97346832</v>
      </c>
      <c r="E177" s="743">
        <v>97474716</v>
      </c>
      <c r="F177" s="743">
        <v>3178832.5300000003</v>
      </c>
      <c r="G177" s="743">
        <v>17817105.389999989</v>
      </c>
      <c r="H177" s="743">
        <f t="shared" si="76"/>
        <v>48737358</v>
      </c>
      <c r="I177" s="411">
        <f t="shared" si="74"/>
        <v>-30920252.610000011</v>
      </c>
      <c r="J177" s="411">
        <f t="shared" si="75"/>
        <v>-0.63442611333178978</v>
      </c>
      <c r="K177" s="745">
        <f>D177</f>
        <v>97346832</v>
      </c>
      <c r="L177" s="101"/>
    </row>
    <row r="178" spans="1:12" x14ac:dyDescent="0.25">
      <c r="A178" s="704" t="str">
        <f t="shared" si="72"/>
        <v>Sports Grounds and Stadiums</v>
      </c>
      <c r="B178" s="629"/>
      <c r="C178" s="743">
        <v>1098277.1599999999</v>
      </c>
      <c r="D178" s="743">
        <v>0</v>
      </c>
      <c r="E178" s="743">
        <v>0</v>
      </c>
      <c r="F178" s="743">
        <v>0</v>
      </c>
      <c r="G178" s="743">
        <v>0</v>
      </c>
      <c r="H178" s="743">
        <f t="shared" si="76"/>
        <v>0</v>
      </c>
      <c r="I178" s="411">
        <f t="shared" si="74"/>
        <v>0</v>
      </c>
      <c r="J178" s="411" t="str">
        <f t="shared" si="75"/>
        <v/>
      </c>
      <c r="K178" s="745">
        <f>D178</f>
        <v>0</v>
      </c>
      <c r="L178" s="101"/>
    </row>
    <row r="179" spans="1:12" x14ac:dyDescent="0.25">
      <c r="A179" s="616" t="str">
        <f t="shared" si="72"/>
        <v>Public safety</v>
      </c>
      <c r="B179" s="629"/>
      <c r="C179" s="620">
        <f t="shared" ref="C179:K179" si="77">SUM(C180:C185)</f>
        <v>56503947.349999994</v>
      </c>
      <c r="D179" s="620">
        <f t="shared" si="77"/>
        <v>51197808</v>
      </c>
      <c r="E179" s="620">
        <f t="shared" si="77"/>
        <v>51197808</v>
      </c>
      <c r="F179" s="620">
        <f t="shared" si="77"/>
        <v>3627912.68</v>
      </c>
      <c r="G179" s="620">
        <f t="shared" si="77"/>
        <v>22236957.349999994</v>
      </c>
      <c r="H179" s="620">
        <f t="shared" si="77"/>
        <v>25598904</v>
      </c>
      <c r="I179" s="620">
        <f t="shared" si="55"/>
        <v>-3361946.650000006</v>
      </c>
      <c r="J179" s="620">
        <f t="shared" si="56"/>
        <v>-0.13133166365247537</v>
      </c>
      <c r="K179" s="623">
        <f t="shared" si="77"/>
        <v>51197808</v>
      </c>
      <c r="L179" s="101"/>
    </row>
    <row r="180" spans="1:12" x14ac:dyDescent="0.25">
      <c r="A180" s="704" t="str">
        <f t="shared" si="72"/>
        <v>Civil Defence</v>
      </c>
      <c r="B180" s="629"/>
      <c r="C180" s="743">
        <v>6473255.2599999998</v>
      </c>
      <c r="D180" s="743">
        <v>0</v>
      </c>
      <c r="E180" s="743">
        <v>0</v>
      </c>
      <c r="F180" s="743">
        <v>0</v>
      </c>
      <c r="G180" s="743">
        <v>0</v>
      </c>
      <c r="H180" s="743">
        <f t="shared" ref="H180:H185" si="78">E180/12*6</f>
        <v>0</v>
      </c>
      <c r="I180" s="411">
        <f t="shared" si="55"/>
        <v>0</v>
      </c>
      <c r="J180" s="411" t="str">
        <f t="shared" si="56"/>
        <v/>
      </c>
      <c r="K180" s="745">
        <f t="shared" ref="K180:K185" si="79">D180</f>
        <v>0</v>
      </c>
      <c r="L180" s="101"/>
    </row>
    <row r="181" spans="1:12" x14ac:dyDescent="0.25">
      <c r="A181" s="704" t="str">
        <f t="shared" si="72"/>
        <v>Cleansing</v>
      </c>
      <c r="B181" s="629"/>
      <c r="C181" s="743">
        <v>4021155.87</v>
      </c>
      <c r="D181" s="743">
        <v>0</v>
      </c>
      <c r="E181" s="743">
        <v>0</v>
      </c>
      <c r="F181" s="743">
        <v>0</v>
      </c>
      <c r="G181" s="743">
        <v>0</v>
      </c>
      <c r="H181" s="743">
        <f t="shared" si="78"/>
        <v>0</v>
      </c>
      <c r="I181" s="411">
        <f t="shared" si="55"/>
        <v>0</v>
      </c>
      <c r="J181" s="411" t="str">
        <f t="shared" si="56"/>
        <v/>
      </c>
      <c r="K181" s="745">
        <f t="shared" si="79"/>
        <v>0</v>
      </c>
      <c r="L181" s="101"/>
    </row>
    <row r="182" spans="1:12" x14ac:dyDescent="0.25">
      <c r="A182" s="704" t="str">
        <f t="shared" ref="A182:A189" si="80">A59</f>
        <v>Control of Public Nuisances</v>
      </c>
      <c r="B182" s="629"/>
      <c r="C182" s="743">
        <v>27563368.489999998</v>
      </c>
      <c r="D182" s="743"/>
      <c r="E182" s="743">
        <v>0</v>
      </c>
      <c r="F182" s="743"/>
      <c r="G182" s="743"/>
      <c r="H182" s="743">
        <f t="shared" si="78"/>
        <v>0</v>
      </c>
      <c r="I182" s="411">
        <f>G182-H182</f>
        <v>0</v>
      </c>
      <c r="J182" s="411" t="str">
        <f>IF(I182=0,"",I182/H182)</f>
        <v/>
      </c>
      <c r="K182" s="745">
        <f t="shared" si="79"/>
        <v>0</v>
      </c>
      <c r="L182" s="101"/>
    </row>
    <row r="183" spans="1:12" x14ac:dyDescent="0.25">
      <c r="A183" s="704" t="str">
        <f t="shared" si="80"/>
        <v xml:space="preserve">Fencing and Fences </v>
      </c>
      <c r="B183" s="629"/>
      <c r="C183" s="743"/>
      <c r="D183" s="743"/>
      <c r="E183" s="743">
        <v>0</v>
      </c>
      <c r="F183" s="743"/>
      <c r="G183" s="743"/>
      <c r="H183" s="743">
        <f t="shared" si="78"/>
        <v>0</v>
      </c>
      <c r="I183" s="411">
        <f t="shared" si="55"/>
        <v>0</v>
      </c>
      <c r="J183" s="411" t="str">
        <f t="shared" si="56"/>
        <v/>
      </c>
      <c r="K183" s="745">
        <f t="shared" si="79"/>
        <v>0</v>
      </c>
      <c r="L183" s="101"/>
    </row>
    <row r="184" spans="1:12" x14ac:dyDescent="0.25">
      <c r="A184" s="704" t="str">
        <f t="shared" si="80"/>
        <v>Fire Fighting and Protection</v>
      </c>
      <c r="B184" s="629"/>
      <c r="C184" s="743">
        <v>18446167.73</v>
      </c>
      <c r="D184" s="743">
        <v>51197808</v>
      </c>
      <c r="E184" s="743">
        <v>51197808</v>
      </c>
      <c r="F184" s="743">
        <v>3627912.68</v>
      </c>
      <c r="G184" s="743">
        <v>22236957.349999994</v>
      </c>
      <c r="H184" s="743">
        <f t="shared" si="78"/>
        <v>25598904</v>
      </c>
      <c r="I184" s="411">
        <f t="shared" si="55"/>
        <v>-3361946.650000006</v>
      </c>
      <c r="J184" s="411">
        <f t="shared" si="56"/>
        <v>-0.13133166365247537</v>
      </c>
      <c r="K184" s="745">
        <f t="shared" si="79"/>
        <v>51197808</v>
      </c>
      <c r="L184" s="101"/>
    </row>
    <row r="185" spans="1:12" x14ac:dyDescent="0.25">
      <c r="A185" s="704" t="str">
        <f t="shared" si="80"/>
        <v>Licensing and Control of Animals</v>
      </c>
      <c r="B185" s="629"/>
      <c r="C185" s="743"/>
      <c r="D185" s="743"/>
      <c r="E185" s="743">
        <v>0</v>
      </c>
      <c r="F185" s="743"/>
      <c r="G185" s="743"/>
      <c r="H185" s="743">
        <f t="shared" si="78"/>
        <v>0</v>
      </c>
      <c r="I185" s="411">
        <f t="shared" si="55"/>
        <v>0</v>
      </c>
      <c r="J185" s="411" t="str">
        <f t="shared" si="56"/>
        <v/>
      </c>
      <c r="K185" s="745">
        <f t="shared" si="79"/>
        <v>0</v>
      </c>
      <c r="L185" s="101"/>
    </row>
    <row r="186" spans="1:12" x14ac:dyDescent="0.25">
      <c r="A186" s="616" t="str">
        <f t="shared" si="80"/>
        <v>Housing</v>
      </c>
      <c r="B186" s="629"/>
      <c r="C186" s="620">
        <f t="shared" ref="C186:H186" si="81">SUM(C187:C188)</f>
        <v>589033.43000000005</v>
      </c>
      <c r="D186" s="620">
        <f t="shared" si="81"/>
        <v>12573336</v>
      </c>
      <c r="E186" s="620">
        <f t="shared" si="81"/>
        <v>12573736</v>
      </c>
      <c r="F186" s="620">
        <f t="shared" si="81"/>
        <v>730442.81999999983</v>
      </c>
      <c r="G186" s="620">
        <f t="shared" si="81"/>
        <v>5121563.6900000004</v>
      </c>
      <c r="H186" s="620">
        <f t="shared" si="81"/>
        <v>6286868</v>
      </c>
      <c r="I186" s="620">
        <f>G186-H186</f>
        <v>-1165304.3099999996</v>
      </c>
      <c r="J186" s="620">
        <f>IF(I186=0,"",I186/H186)</f>
        <v>-0.18535530092249425</v>
      </c>
      <c r="K186" s="620">
        <f>SUM(K187:K188)</f>
        <v>12573336</v>
      </c>
      <c r="L186" s="101"/>
    </row>
    <row r="187" spans="1:12" x14ac:dyDescent="0.25">
      <c r="A187" s="704" t="str">
        <f t="shared" si="80"/>
        <v>Housing</v>
      </c>
      <c r="B187" s="629"/>
      <c r="C187" s="743">
        <v>589033.43000000005</v>
      </c>
      <c r="D187" s="743">
        <v>12573336</v>
      </c>
      <c r="E187" s="743">
        <v>12573736</v>
      </c>
      <c r="F187" s="743">
        <v>730442.81999999983</v>
      </c>
      <c r="G187" s="743">
        <v>5121563.6900000004</v>
      </c>
      <c r="H187" s="743">
        <f t="shared" ref="H187:H188" si="82">E187/12*6</f>
        <v>6286868</v>
      </c>
      <c r="I187" s="411">
        <f>G187-H187</f>
        <v>-1165304.3099999996</v>
      </c>
      <c r="J187" s="411">
        <f>IF(I187=0,"",I187/H187)</f>
        <v>-0.18535530092249425</v>
      </c>
      <c r="K187" s="745">
        <f>D187</f>
        <v>12573336</v>
      </c>
      <c r="L187" s="101"/>
    </row>
    <row r="188" spans="1:12" x14ac:dyDescent="0.25">
      <c r="A188" s="704" t="str">
        <f t="shared" si="80"/>
        <v>Informal Settlements</v>
      </c>
      <c r="B188" s="629"/>
      <c r="C188" s="743"/>
      <c r="D188" s="743"/>
      <c r="E188" s="743"/>
      <c r="F188" s="743"/>
      <c r="G188" s="743"/>
      <c r="H188" s="743">
        <f t="shared" si="82"/>
        <v>0</v>
      </c>
      <c r="I188" s="411">
        <f>G188-H188</f>
        <v>0</v>
      </c>
      <c r="J188" s="411" t="str">
        <f>IF(I188=0,"",I188/H188)</f>
        <v/>
      </c>
      <c r="K188" s="745">
        <f>D188</f>
        <v>0</v>
      </c>
      <c r="L188" s="101"/>
    </row>
    <row r="189" spans="1:12" x14ac:dyDescent="0.25">
      <c r="A189" s="616" t="str">
        <f t="shared" si="80"/>
        <v>Health</v>
      </c>
      <c r="B189" s="629"/>
      <c r="C189" s="620">
        <f t="shared" ref="C189:K189" si="83">SUM(C190:C196)</f>
        <v>3558377.8899999997</v>
      </c>
      <c r="D189" s="620">
        <f t="shared" si="83"/>
        <v>6640560</v>
      </c>
      <c r="E189" s="620">
        <f t="shared" si="83"/>
        <v>6640560</v>
      </c>
      <c r="F189" s="620">
        <f t="shared" si="83"/>
        <v>307107.89</v>
      </c>
      <c r="G189" s="620">
        <f t="shared" si="83"/>
        <v>2065859.5900000008</v>
      </c>
      <c r="H189" s="620">
        <f t="shared" si="83"/>
        <v>3320280</v>
      </c>
      <c r="I189" s="620">
        <f t="shared" si="55"/>
        <v>-1254420.4099999992</v>
      </c>
      <c r="J189" s="620">
        <f t="shared" si="56"/>
        <v>-0.37780560976785066</v>
      </c>
      <c r="K189" s="623">
        <f t="shared" si="83"/>
        <v>6640560</v>
      </c>
      <c r="L189" s="101"/>
    </row>
    <row r="190" spans="1:12" x14ac:dyDescent="0.25">
      <c r="A190" s="704" t="str">
        <f t="shared" ref="A190:A208" si="84">A67</f>
        <v>Ambulance</v>
      </c>
      <c r="B190" s="629"/>
      <c r="C190" s="743"/>
      <c r="D190" s="743"/>
      <c r="E190" s="743">
        <v>0</v>
      </c>
      <c r="F190" s="743"/>
      <c r="G190" s="743"/>
      <c r="H190" s="743">
        <f t="shared" ref="H190:H196" si="85">E190/12*6</f>
        <v>0</v>
      </c>
      <c r="I190" s="411">
        <f t="shared" si="55"/>
        <v>0</v>
      </c>
      <c r="J190" s="411" t="str">
        <f t="shared" si="56"/>
        <v/>
      </c>
      <c r="K190" s="745">
        <f>D190</f>
        <v>0</v>
      </c>
      <c r="L190" s="101"/>
    </row>
    <row r="191" spans="1:12" x14ac:dyDescent="0.25">
      <c r="A191" s="704" t="str">
        <f t="shared" si="84"/>
        <v>Health Services</v>
      </c>
      <c r="B191" s="629"/>
      <c r="C191" s="743">
        <v>3558377.8899999997</v>
      </c>
      <c r="D191" s="743">
        <v>6640560</v>
      </c>
      <c r="E191" s="743">
        <v>6640560</v>
      </c>
      <c r="F191" s="743">
        <v>307107.89</v>
      </c>
      <c r="G191" s="743">
        <v>2065859.5900000008</v>
      </c>
      <c r="H191" s="743">
        <f t="shared" si="85"/>
        <v>3320280</v>
      </c>
      <c r="I191" s="411">
        <f t="shared" si="55"/>
        <v>-1254420.4099999992</v>
      </c>
      <c r="J191" s="411">
        <f t="shared" si="56"/>
        <v>-0.37780560976785066</v>
      </c>
      <c r="K191" s="745">
        <f>D191</f>
        <v>6640560</v>
      </c>
      <c r="L191" s="101"/>
    </row>
    <row r="192" spans="1:12" x14ac:dyDescent="0.25">
      <c r="A192" s="704" t="str">
        <f t="shared" si="84"/>
        <v>Laboratory Services</v>
      </c>
      <c r="B192" s="629"/>
      <c r="C192" s="743"/>
      <c r="D192" s="743"/>
      <c r="E192" s="743">
        <v>0</v>
      </c>
      <c r="F192" s="743"/>
      <c r="G192" s="743"/>
      <c r="H192" s="743">
        <f t="shared" si="85"/>
        <v>0</v>
      </c>
      <c r="I192" s="411">
        <f t="shared" si="55"/>
        <v>0</v>
      </c>
      <c r="J192" s="411" t="str">
        <f t="shared" si="56"/>
        <v/>
      </c>
      <c r="K192" s="745">
        <f t="shared" ref="K192:K196" si="86">D192</f>
        <v>0</v>
      </c>
      <c r="L192" s="101"/>
    </row>
    <row r="193" spans="1:12" x14ac:dyDescent="0.25">
      <c r="A193" s="704" t="str">
        <f t="shared" si="84"/>
        <v>Food Control</v>
      </c>
      <c r="B193" s="629"/>
      <c r="C193" s="743"/>
      <c r="D193" s="743"/>
      <c r="E193" s="743">
        <v>0</v>
      </c>
      <c r="F193" s="743"/>
      <c r="G193" s="743"/>
      <c r="H193" s="743">
        <f t="shared" si="85"/>
        <v>0</v>
      </c>
      <c r="I193" s="411">
        <f>G193-H193</f>
        <v>0</v>
      </c>
      <c r="J193" s="411" t="str">
        <f>IF(I193=0,"",I193/H193)</f>
        <v/>
      </c>
      <c r="K193" s="745">
        <f t="shared" si="86"/>
        <v>0</v>
      </c>
      <c r="L193" s="101"/>
    </row>
    <row r="194" spans="1:12" ht="24" customHeight="1" x14ac:dyDescent="0.25">
      <c r="A194" s="704" t="str">
        <f t="shared" si="84"/>
        <v>Health Surveillance and Prevention of Communicable Diseases including immunizations</v>
      </c>
      <c r="B194" s="629"/>
      <c r="C194" s="743"/>
      <c r="D194" s="743"/>
      <c r="E194" s="743">
        <v>0</v>
      </c>
      <c r="F194" s="743"/>
      <c r="G194" s="743"/>
      <c r="H194" s="743">
        <f t="shared" si="85"/>
        <v>0</v>
      </c>
      <c r="I194" s="411">
        <f>G194-H194</f>
        <v>0</v>
      </c>
      <c r="J194" s="411" t="str">
        <f>IF(I194=0,"",I194/H194)</f>
        <v/>
      </c>
      <c r="K194" s="745">
        <f t="shared" si="86"/>
        <v>0</v>
      </c>
      <c r="L194" s="101"/>
    </row>
    <row r="195" spans="1:12" x14ac:dyDescent="0.25">
      <c r="A195" s="704" t="str">
        <f t="shared" si="84"/>
        <v>Vector Control</v>
      </c>
      <c r="B195" s="629"/>
      <c r="C195" s="743"/>
      <c r="D195" s="743"/>
      <c r="E195" s="743">
        <v>0</v>
      </c>
      <c r="F195" s="743"/>
      <c r="G195" s="743"/>
      <c r="H195" s="743">
        <f t="shared" si="85"/>
        <v>0</v>
      </c>
      <c r="I195" s="411">
        <f t="shared" si="55"/>
        <v>0</v>
      </c>
      <c r="J195" s="411" t="str">
        <f t="shared" si="56"/>
        <v/>
      </c>
      <c r="K195" s="745">
        <f t="shared" si="86"/>
        <v>0</v>
      </c>
      <c r="L195" s="101"/>
    </row>
    <row r="196" spans="1:12" x14ac:dyDescent="0.25">
      <c r="A196" s="704" t="str">
        <f t="shared" si="84"/>
        <v>Chemical Safety</v>
      </c>
      <c r="B196" s="629"/>
      <c r="C196" s="743"/>
      <c r="D196" s="743"/>
      <c r="E196" s="743">
        <v>0</v>
      </c>
      <c r="F196" s="743"/>
      <c r="G196" s="743"/>
      <c r="H196" s="743">
        <f t="shared" si="85"/>
        <v>0</v>
      </c>
      <c r="I196" s="411">
        <f t="shared" si="55"/>
        <v>0</v>
      </c>
      <c r="J196" s="411" t="str">
        <f t="shared" si="56"/>
        <v/>
      </c>
      <c r="K196" s="745">
        <f t="shared" si="86"/>
        <v>0</v>
      </c>
      <c r="L196" s="101"/>
    </row>
    <row r="197" spans="1:12" x14ac:dyDescent="0.25">
      <c r="A197" s="417" t="str">
        <f t="shared" si="84"/>
        <v>Economic and environmental services</v>
      </c>
      <c r="B197" s="629"/>
      <c r="C197" s="614">
        <f t="shared" ref="C197:K197" si="87">C198+C209+C216</f>
        <v>339575607.47000003</v>
      </c>
      <c r="D197" s="614">
        <f t="shared" si="87"/>
        <v>481477748</v>
      </c>
      <c r="E197" s="614">
        <f t="shared" si="87"/>
        <v>479788944</v>
      </c>
      <c r="F197" s="614">
        <f t="shared" si="87"/>
        <v>35606618.800000004</v>
      </c>
      <c r="G197" s="614">
        <f t="shared" si="87"/>
        <v>161335348.51999998</v>
      </c>
      <c r="H197" s="614">
        <f t="shared" si="87"/>
        <v>239894472</v>
      </c>
      <c r="I197" s="614">
        <f t="shared" si="55"/>
        <v>-78559123.480000019</v>
      </c>
      <c r="J197" s="614">
        <f t="shared" si="56"/>
        <v>-0.32747367133995492</v>
      </c>
      <c r="K197" s="615">
        <f t="shared" si="87"/>
        <v>481477748</v>
      </c>
      <c r="L197" s="101"/>
    </row>
    <row r="198" spans="1:12" x14ac:dyDescent="0.25">
      <c r="A198" s="616" t="str">
        <f t="shared" si="84"/>
        <v>Planning and development</v>
      </c>
      <c r="B198" s="629"/>
      <c r="C198" s="620">
        <f t="shared" ref="C198:K198" si="88">SUM(C199:C208)</f>
        <v>109149443.87</v>
      </c>
      <c r="D198" s="620">
        <f t="shared" si="88"/>
        <v>130112276</v>
      </c>
      <c r="E198" s="620">
        <f t="shared" si="88"/>
        <v>128173272</v>
      </c>
      <c r="F198" s="620">
        <f t="shared" si="88"/>
        <v>8050519.5299999993</v>
      </c>
      <c r="G198" s="620">
        <f t="shared" si="88"/>
        <v>48275444.159999996</v>
      </c>
      <c r="H198" s="620">
        <f t="shared" si="88"/>
        <v>64086636</v>
      </c>
      <c r="I198" s="620">
        <f t="shared" si="55"/>
        <v>-15811191.840000004</v>
      </c>
      <c r="J198" s="620">
        <f t="shared" si="56"/>
        <v>-0.24671589627516108</v>
      </c>
      <c r="K198" s="623">
        <f t="shared" si="88"/>
        <v>130112276</v>
      </c>
      <c r="L198" s="101"/>
    </row>
    <row r="199" spans="1:12" x14ac:dyDescent="0.25">
      <c r="A199" s="704" t="str">
        <f t="shared" si="84"/>
        <v>Billboards</v>
      </c>
      <c r="B199" s="629"/>
      <c r="C199" s="743">
        <v>0</v>
      </c>
      <c r="D199" s="743">
        <v>0</v>
      </c>
      <c r="E199" s="743">
        <v>0</v>
      </c>
      <c r="F199" s="743">
        <v>0</v>
      </c>
      <c r="G199" s="743">
        <v>0</v>
      </c>
      <c r="H199" s="743">
        <f t="shared" ref="H199:H208" si="89">E199/12*6</f>
        <v>0</v>
      </c>
      <c r="I199" s="411">
        <f t="shared" si="55"/>
        <v>0</v>
      </c>
      <c r="J199" s="411" t="str">
        <f t="shared" si="56"/>
        <v/>
      </c>
      <c r="K199" s="745">
        <f>D199</f>
        <v>0</v>
      </c>
      <c r="L199" s="101"/>
    </row>
    <row r="200" spans="1:12" x14ac:dyDescent="0.25">
      <c r="A200" s="704" t="str">
        <f t="shared" si="84"/>
        <v>Corporate Wide Strategic Planning (IDPs, LEDs)</v>
      </c>
      <c r="B200" s="629"/>
      <c r="C200" s="743">
        <v>13105988.980000002</v>
      </c>
      <c r="D200" s="743">
        <v>21528708</v>
      </c>
      <c r="E200" s="743">
        <v>17089704</v>
      </c>
      <c r="F200" s="743">
        <v>474981.29999999993</v>
      </c>
      <c r="G200" s="743">
        <v>2893283.1400000006</v>
      </c>
      <c r="H200" s="743">
        <f t="shared" si="89"/>
        <v>8544852</v>
      </c>
      <c r="I200" s="411">
        <f t="shared" si="55"/>
        <v>-5651568.8599999994</v>
      </c>
      <c r="J200" s="411">
        <f t="shared" si="56"/>
        <v>-0.66140043853304886</v>
      </c>
      <c r="K200" s="745">
        <f t="shared" ref="K200:K208" si="90">D200</f>
        <v>21528708</v>
      </c>
      <c r="L200" s="101"/>
    </row>
    <row r="201" spans="1:12" x14ac:dyDescent="0.25">
      <c r="A201" s="704" t="str">
        <f t="shared" si="84"/>
        <v>Central City Improvement District</v>
      </c>
      <c r="B201" s="629"/>
      <c r="C201" s="743">
        <v>0</v>
      </c>
      <c r="D201" s="743">
        <v>0</v>
      </c>
      <c r="E201" s="743">
        <v>0</v>
      </c>
      <c r="F201" s="743">
        <v>0</v>
      </c>
      <c r="G201" s="743">
        <v>0</v>
      </c>
      <c r="H201" s="743">
        <f t="shared" si="89"/>
        <v>0</v>
      </c>
      <c r="I201" s="411">
        <f t="shared" si="55"/>
        <v>0</v>
      </c>
      <c r="J201" s="411" t="str">
        <f t="shared" si="56"/>
        <v/>
      </c>
      <c r="K201" s="745">
        <f t="shared" si="90"/>
        <v>0</v>
      </c>
      <c r="L201" s="101"/>
    </row>
    <row r="202" spans="1:12" x14ac:dyDescent="0.25">
      <c r="A202" s="704" t="str">
        <f t="shared" si="84"/>
        <v>Development Facilitation</v>
      </c>
      <c r="B202" s="629"/>
      <c r="C202" s="743">
        <v>0</v>
      </c>
      <c r="D202" s="743">
        <v>0</v>
      </c>
      <c r="E202" s="743">
        <v>0</v>
      </c>
      <c r="F202" s="743">
        <v>0</v>
      </c>
      <c r="G202" s="743">
        <v>0</v>
      </c>
      <c r="H202" s="743">
        <f t="shared" si="89"/>
        <v>0</v>
      </c>
      <c r="I202" s="411">
        <f>G202-H202</f>
        <v>0</v>
      </c>
      <c r="J202" s="411" t="str">
        <f>IF(I202=0,"",I202/H202)</f>
        <v/>
      </c>
      <c r="K202" s="745">
        <f t="shared" si="90"/>
        <v>0</v>
      </c>
      <c r="L202" s="101"/>
    </row>
    <row r="203" spans="1:12" x14ac:dyDescent="0.25">
      <c r="A203" s="704" t="str">
        <f t="shared" si="84"/>
        <v>Economic Development/Planning</v>
      </c>
      <c r="B203" s="629"/>
      <c r="C203" s="743">
        <v>19868321.709999993</v>
      </c>
      <c r="D203" s="743">
        <v>22262532</v>
      </c>
      <c r="E203" s="743">
        <v>24762532</v>
      </c>
      <c r="F203" s="743">
        <v>1830265.24</v>
      </c>
      <c r="G203" s="743">
        <v>11322180.399999999</v>
      </c>
      <c r="H203" s="743">
        <f t="shared" si="89"/>
        <v>12381266</v>
      </c>
      <c r="I203" s="411">
        <f>G203-H203</f>
        <v>-1059085.6000000015</v>
      </c>
      <c r="J203" s="411">
        <f>IF(I203=0,"",I203/H203)</f>
        <v>-8.5539362452918905E-2</v>
      </c>
      <c r="K203" s="745">
        <f t="shared" si="90"/>
        <v>22262532</v>
      </c>
      <c r="L203" s="101"/>
    </row>
    <row r="204" spans="1:12" x14ac:dyDescent="0.25">
      <c r="A204" s="704" t="str">
        <f t="shared" si="84"/>
        <v>Regional Planning and Development</v>
      </c>
      <c r="B204" s="629"/>
      <c r="C204" s="743">
        <v>4519685.91</v>
      </c>
      <c r="D204" s="743">
        <v>0</v>
      </c>
      <c r="E204" s="743">
        <v>0</v>
      </c>
      <c r="F204" s="743">
        <v>0</v>
      </c>
      <c r="G204" s="743">
        <v>0</v>
      </c>
      <c r="H204" s="743">
        <f t="shared" si="89"/>
        <v>0</v>
      </c>
      <c r="I204" s="411">
        <f>G204-H204</f>
        <v>0</v>
      </c>
      <c r="J204" s="411" t="str">
        <f>IF(I204=0,"",I204/H204)</f>
        <v/>
      </c>
      <c r="K204" s="745">
        <f t="shared" si="90"/>
        <v>0</v>
      </c>
      <c r="L204" s="101"/>
    </row>
    <row r="205" spans="1:12" ht="20.399999999999999" x14ac:dyDescent="0.25">
      <c r="A205" s="704" t="str">
        <f t="shared" si="84"/>
        <v>Town Planning, Building Regulations and Enforcement, and City Engineer</v>
      </c>
      <c r="B205" s="629"/>
      <c r="C205" s="743">
        <v>29074852.710000005</v>
      </c>
      <c r="D205" s="743">
        <v>37434840</v>
      </c>
      <c r="E205" s="743">
        <v>37434840</v>
      </c>
      <c r="F205" s="743">
        <v>2222898.87</v>
      </c>
      <c r="G205" s="743">
        <v>13226904.059999999</v>
      </c>
      <c r="H205" s="743">
        <f t="shared" si="89"/>
        <v>18717420</v>
      </c>
      <c r="I205" s="411">
        <f>G205-H205</f>
        <v>-5490515.9400000013</v>
      </c>
      <c r="J205" s="411">
        <f>IF(I205=0,"",I205/H205)</f>
        <v>-0.29333721955269482</v>
      </c>
      <c r="K205" s="745">
        <f t="shared" si="90"/>
        <v>37434840</v>
      </c>
      <c r="L205" s="101"/>
    </row>
    <row r="206" spans="1:12" x14ac:dyDescent="0.25">
      <c r="A206" s="704" t="str">
        <f t="shared" si="84"/>
        <v>Project Management Unit</v>
      </c>
      <c r="B206" s="629"/>
      <c r="C206" s="743">
        <v>42580594.560000002</v>
      </c>
      <c r="D206" s="743">
        <v>48886196</v>
      </c>
      <c r="E206" s="743">
        <v>48886196</v>
      </c>
      <c r="F206" s="743">
        <v>3522374.1199999996</v>
      </c>
      <c r="G206" s="743">
        <v>20833076.559999999</v>
      </c>
      <c r="H206" s="743">
        <f t="shared" si="89"/>
        <v>24443098</v>
      </c>
      <c r="I206" s="411">
        <f>G206-H206</f>
        <v>-3610021.4400000013</v>
      </c>
      <c r="J206" s="411">
        <f>IF(I206=0,"",I206/H206)</f>
        <v>-0.14769083035219191</v>
      </c>
      <c r="K206" s="745">
        <f t="shared" si="90"/>
        <v>48886196</v>
      </c>
      <c r="L206" s="101"/>
    </row>
    <row r="207" spans="1:12" x14ac:dyDescent="0.25">
      <c r="A207" s="704" t="str">
        <f t="shared" si="84"/>
        <v>Provincial Planning</v>
      </c>
      <c r="B207" s="629"/>
      <c r="C207" s="743">
        <v>0</v>
      </c>
      <c r="D207" s="743"/>
      <c r="E207" s="743">
        <v>0</v>
      </c>
      <c r="F207" s="743"/>
      <c r="G207" s="743"/>
      <c r="H207" s="743">
        <f t="shared" si="89"/>
        <v>0</v>
      </c>
      <c r="I207" s="411">
        <f t="shared" si="55"/>
        <v>0</v>
      </c>
      <c r="J207" s="411" t="str">
        <f t="shared" si="56"/>
        <v/>
      </c>
      <c r="K207" s="745">
        <f t="shared" si="90"/>
        <v>0</v>
      </c>
      <c r="L207" s="101"/>
    </row>
    <row r="208" spans="1:12" x14ac:dyDescent="0.25">
      <c r="A208" s="704" t="str">
        <f t="shared" si="84"/>
        <v>Support to Local Municipalities</v>
      </c>
      <c r="B208" s="629"/>
      <c r="C208" s="743">
        <v>0</v>
      </c>
      <c r="D208" s="743">
        <v>0</v>
      </c>
      <c r="E208" s="743">
        <v>0</v>
      </c>
      <c r="F208" s="743"/>
      <c r="G208" s="743"/>
      <c r="H208" s="743">
        <f t="shared" si="89"/>
        <v>0</v>
      </c>
      <c r="I208" s="411">
        <f t="shared" si="55"/>
        <v>0</v>
      </c>
      <c r="J208" s="411" t="str">
        <f t="shared" si="56"/>
        <v/>
      </c>
      <c r="K208" s="745">
        <f t="shared" si="90"/>
        <v>0</v>
      </c>
      <c r="L208" s="101"/>
    </row>
    <row r="209" spans="1:12" x14ac:dyDescent="0.25">
      <c r="A209" s="616" t="str">
        <f t="shared" ref="A209:A248" si="91">A86</f>
        <v>Road transport</v>
      </c>
      <c r="B209" s="629"/>
      <c r="C209" s="620">
        <f t="shared" ref="C209:K209" si="92">SUM(C210:C215)</f>
        <v>230055195.11000001</v>
      </c>
      <c r="D209" s="620">
        <f t="shared" si="92"/>
        <v>331561800</v>
      </c>
      <c r="E209" s="620">
        <f t="shared" si="92"/>
        <v>331562000</v>
      </c>
      <c r="F209" s="620">
        <f t="shared" si="92"/>
        <v>26324836.910000004</v>
      </c>
      <c r="G209" s="620">
        <f t="shared" si="92"/>
        <v>109229560.48</v>
      </c>
      <c r="H209" s="620">
        <f>SUM(H210:H215)</f>
        <v>165781000</v>
      </c>
      <c r="I209" s="620">
        <f t="shared" si="55"/>
        <v>-56551439.519999996</v>
      </c>
      <c r="J209" s="620">
        <f t="shared" si="56"/>
        <v>-0.34112135600581489</v>
      </c>
      <c r="K209" s="623">
        <f t="shared" si="92"/>
        <v>331561800</v>
      </c>
      <c r="L209" s="101"/>
    </row>
    <row r="210" spans="1:12" x14ac:dyDescent="0.25">
      <c r="A210" s="704" t="str">
        <f t="shared" si="91"/>
        <v>Police Forces, Traffic and Street Parking Control</v>
      </c>
      <c r="B210" s="629"/>
      <c r="C210" s="743"/>
      <c r="D210" s="743"/>
      <c r="E210" s="743"/>
      <c r="F210" s="743"/>
      <c r="G210" s="743"/>
      <c r="H210" s="743">
        <f t="shared" ref="H210:H215" si="93">E210/12*6</f>
        <v>0</v>
      </c>
      <c r="I210" s="411">
        <f t="shared" si="55"/>
        <v>0</v>
      </c>
      <c r="J210" s="411" t="str">
        <f t="shared" si="56"/>
        <v/>
      </c>
      <c r="K210" s="745">
        <f t="shared" ref="K210:K215" si="94">D210</f>
        <v>0</v>
      </c>
      <c r="L210" s="101"/>
    </row>
    <row r="211" spans="1:12" x14ac:dyDescent="0.25">
      <c r="A211" s="704" t="str">
        <f t="shared" si="91"/>
        <v>Pounds</v>
      </c>
      <c r="B211" s="629"/>
      <c r="C211" s="743"/>
      <c r="D211" s="743"/>
      <c r="E211" s="743">
        <v>0</v>
      </c>
      <c r="F211" s="743"/>
      <c r="G211" s="743"/>
      <c r="H211" s="743">
        <f t="shared" si="93"/>
        <v>0</v>
      </c>
      <c r="I211" s="411">
        <f t="shared" si="55"/>
        <v>0</v>
      </c>
      <c r="J211" s="411" t="str">
        <f t="shared" si="56"/>
        <v/>
      </c>
      <c r="K211" s="745">
        <f t="shared" si="94"/>
        <v>0</v>
      </c>
      <c r="L211" s="101"/>
    </row>
    <row r="212" spans="1:12" x14ac:dyDescent="0.25">
      <c r="A212" s="704" t="str">
        <f t="shared" si="91"/>
        <v>Public Transport</v>
      </c>
      <c r="B212" s="629"/>
      <c r="C212" s="743">
        <v>59236205.359999999</v>
      </c>
      <c r="D212" s="743">
        <v>30868920</v>
      </c>
      <c r="E212" s="743">
        <v>30868920</v>
      </c>
      <c r="F212" s="743">
        <v>5360338.459999999</v>
      </c>
      <c r="G212" s="743">
        <v>19092227.149999999</v>
      </c>
      <c r="H212" s="743">
        <f t="shared" si="93"/>
        <v>15434460</v>
      </c>
      <c r="I212" s="411">
        <f t="shared" si="55"/>
        <v>3657767.1499999985</v>
      </c>
      <c r="J212" s="411">
        <f t="shared" si="56"/>
        <v>0.23698705040539148</v>
      </c>
      <c r="K212" s="745">
        <f>D212</f>
        <v>30868920</v>
      </c>
      <c r="L212" s="101"/>
    </row>
    <row r="213" spans="1:12" x14ac:dyDescent="0.25">
      <c r="A213" s="704" t="str">
        <f t="shared" si="91"/>
        <v>Road and Traffic Regulation</v>
      </c>
      <c r="B213" s="629"/>
      <c r="C213" s="743">
        <v>75539076.37999998</v>
      </c>
      <c r="D213" s="743">
        <v>195980796</v>
      </c>
      <c r="E213" s="743">
        <v>195980896</v>
      </c>
      <c r="F213" s="743">
        <v>11712477.920000002</v>
      </c>
      <c r="G213" s="743">
        <v>38070643.760000005</v>
      </c>
      <c r="H213" s="743">
        <f t="shared" si="93"/>
        <v>97990448</v>
      </c>
      <c r="I213" s="411">
        <f>G213-H213</f>
        <v>-59919804.239999995</v>
      </c>
      <c r="J213" s="411">
        <f>IF(I213=0,"",I213/H213)</f>
        <v>-0.61148617506065484</v>
      </c>
      <c r="K213" s="745">
        <f t="shared" si="94"/>
        <v>195980796</v>
      </c>
      <c r="L213" s="101"/>
    </row>
    <row r="214" spans="1:12" x14ac:dyDescent="0.25">
      <c r="A214" s="704" t="str">
        <f t="shared" si="91"/>
        <v>Roads</v>
      </c>
      <c r="B214" s="629"/>
      <c r="C214" s="743">
        <v>0</v>
      </c>
      <c r="D214" s="743">
        <v>0</v>
      </c>
      <c r="E214" s="743">
        <v>0</v>
      </c>
      <c r="F214" s="743">
        <v>0</v>
      </c>
      <c r="G214" s="743">
        <v>0</v>
      </c>
      <c r="H214" s="743">
        <f t="shared" si="93"/>
        <v>0</v>
      </c>
      <c r="I214" s="411">
        <f t="shared" si="55"/>
        <v>0</v>
      </c>
      <c r="J214" s="411" t="str">
        <f t="shared" si="56"/>
        <v/>
      </c>
      <c r="K214" s="745">
        <f>E214</f>
        <v>0</v>
      </c>
      <c r="L214" s="101"/>
    </row>
    <row r="215" spans="1:12" x14ac:dyDescent="0.25">
      <c r="A215" s="704" t="str">
        <f t="shared" si="91"/>
        <v>Taxi Ranks</v>
      </c>
      <c r="B215" s="629"/>
      <c r="C215" s="743">
        <v>95279913.37000002</v>
      </c>
      <c r="D215" s="743">
        <v>104712084</v>
      </c>
      <c r="E215" s="743">
        <v>104712184</v>
      </c>
      <c r="F215" s="743">
        <v>9252020.5299999993</v>
      </c>
      <c r="G215" s="743">
        <v>52066689.57</v>
      </c>
      <c r="H215" s="743">
        <f t="shared" si="93"/>
        <v>52356092</v>
      </c>
      <c r="I215" s="411">
        <f t="shared" si="55"/>
        <v>-289402.4299999997</v>
      </c>
      <c r="J215" s="411">
        <f t="shared" si="56"/>
        <v>-5.5275789109698967E-3</v>
      </c>
      <c r="K215" s="745">
        <f t="shared" si="94"/>
        <v>104712084</v>
      </c>
      <c r="L215" s="101"/>
    </row>
    <row r="216" spans="1:12" x14ac:dyDescent="0.25">
      <c r="A216" s="616" t="str">
        <f t="shared" si="91"/>
        <v>Environmental protection</v>
      </c>
      <c r="B216" s="629"/>
      <c r="C216" s="620">
        <f t="shared" ref="C216:K216" si="95">SUM(C217:C222)</f>
        <v>370968.49</v>
      </c>
      <c r="D216" s="620">
        <f t="shared" si="95"/>
        <v>19803672</v>
      </c>
      <c r="E216" s="620">
        <f t="shared" si="95"/>
        <v>20053672</v>
      </c>
      <c r="F216" s="620">
        <f t="shared" si="95"/>
        <v>1231262.3599999996</v>
      </c>
      <c r="G216" s="620">
        <f t="shared" si="95"/>
        <v>3830343.8800000004</v>
      </c>
      <c r="H216" s="620">
        <f t="shared" si="95"/>
        <v>10026836</v>
      </c>
      <c r="I216" s="620">
        <f t="shared" si="55"/>
        <v>-6196492.1199999992</v>
      </c>
      <c r="J216" s="620">
        <f t="shared" si="56"/>
        <v>-0.61799077196435637</v>
      </c>
      <c r="K216" s="623">
        <f t="shared" si="95"/>
        <v>19803672</v>
      </c>
      <c r="L216" s="101"/>
    </row>
    <row r="217" spans="1:12" x14ac:dyDescent="0.25">
      <c r="A217" s="704" t="str">
        <f t="shared" si="91"/>
        <v>Biodiversity and Landscape</v>
      </c>
      <c r="B217" s="629"/>
      <c r="C217" s="743">
        <v>370968.49</v>
      </c>
      <c r="D217" s="743">
        <v>19803672</v>
      </c>
      <c r="E217" s="743">
        <v>20053672</v>
      </c>
      <c r="F217" s="743">
        <v>1231262.3599999996</v>
      </c>
      <c r="G217" s="743">
        <v>3830343.8800000004</v>
      </c>
      <c r="H217" s="743">
        <f t="shared" ref="H217:H222" si="96">E217/12*6</f>
        <v>10026836</v>
      </c>
      <c r="I217" s="411">
        <f t="shared" si="55"/>
        <v>-6196492.1199999992</v>
      </c>
      <c r="J217" s="411">
        <f t="shared" si="56"/>
        <v>-0.61799077196435637</v>
      </c>
      <c r="K217" s="745">
        <f t="shared" ref="K217:K222" si="97">D217</f>
        <v>19803672</v>
      </c>
      <c r="L217" s="101"/>
    </row>
    <row r="218" spans="1:12" x14ac:dyDescent="0.25">
      <c r="A218" s="704" t="str">
        <f t="shared" si="91"/>
        <v>Coastal Protection</v>
      </c>
      <c r="B218" s="629"/>
      <c r="C218" s="743"/>
      <c r="D218" s="743"/>
      <c r="E218" s="743">
        <v>0</v>
      </c>
      <c r="F218" s="743"/>
      <c r="G218" s="743"/>
      <c r="H218" s="743">
        <f t="shared" si="96"/>
        <v>0</v>
      </c>
      <c r="I218" s="411">
        <f t="shared" si="55"/>
        <v>0</v>
      </c>
      <c r="J218" s="411" t="str">
        <f t="shared" si="56"/>
        <v/>
      </c>
      <c r="K218" s="745">
        <f t="shared" si="97"/>
        <v>0</v>
      </c>
      <c r="L218" s="101"/>
    </row>
    <row r="219" spans="1:12" x14ac:dyDescent="0.25">
      <c r="A219" s="704" t="str">
        <f t="shared" si="91"/>
        <v>Indigenous Forests</v>
      </c>
      <c r="B219" s="629"/>
      <c r="C219" s="743"/>
      <c r="D219" s="743"/>
      <c r="E219" s="743">
        <v>0</v>
      </c>
      <c r="F219" s="743"/>
      <c r="G219" s="743"/>
      <c r="H219" s="743">
        <f t="shared" si="96"/>
        <v>0</v>
      </c>
      <c r="I219" s="411">
        <f t="shared" si="55"/>
        <v>0</v>
      </c>
      <c r="J219" s="411" t="str">
        <f t="shared" si="56"/>
        <v/>
      </c>
      <c r="K219" s="745">
        <f t="shared" si="97"/>
        <v>0</v>
      </c>
      <c r="L219" s="101"/>
    </row>
    <row r="220" spans="1:12" x14ac:dyDescent="0.25">
      <c r="A220" s="704" t="str">
        <f t="shared" si="91"/>
        <v>Nature Conservation</v>
      </c>
      <c r="B220" s="629"/>
      <c r="C220" s="743"/>
      <c r="D220" s="743"/>
      <c r="E220" s="743">
        <v>0</v>
      </c>
      <c r="F220" s="743"/>
      <c r="G220" s="743"/>
      <c r="H220" s="743">
        <f t="shared" si="96"/>
        <v>0</v>
      </c>
      <c r="I220" s="411">
        <f>G220-H220</f>
        <v>0</v>
      </c>
      <c r="J220" s="411" t="str">
        <f>IF(I220=0,"",I220/H220)</f>
        <v/>
      </c>
      <c r="K220" s="745">
        <f t="shared" si="97"/>
        <v>0</v>
      </c>
      <c r="L220" s="101"/>
    </row>
    <row r="221" spans="1:12" x14ac:dyDescent="0.25">
      <c r="A221" s="704" t="str">
        <f t="shared" si="91"/>
        <v>Pollution Control</v>
      </c>
      <c r="B221" s="629"/>
      <c r="C221" s="743"/>
      <c r="D221" s="743"/>
      <c r="E221" s="743">
        <v>0</v>
      </c>
      <c r="F221" s="743"/>
      <c r="G221" s="743"/>
      <c r="H221" s="743">
        <f t="shared" si="96"/>
        <v>0</v>
      </c>
      <c r="I221" s="411">
        <f>G221-H221</f>
        <v>0</v>
      </c>
      <c r="J221" s="411" t="str">
        <f>IF(I221=0,"",I221/H221)</f>
        <v/>
      </c>
      <c r="K221" s="745">
        <f>E221</f>
        <v>0</v>
      </c>
      <c r="L221" s="101"/>
    </row>
    <row r="222" spans="1:12" x14ac:dyDescent="0.25">
      <c r="A222" s="704" t="str">
        <f t="shared" si="91"/>
        <v>Soil Conservation</v>
      </c>
      <c r="B222" s="629"/>
      <c r="C222" s="743"/>
      <c r="D222" s="743"/>
      <c r="E222" s="743">
        <v>0</v>
      </c>
      <c r="F222" s="743"/>
      <c r="G222" s="743"/>
      <c r="H222" s="743">
        <f t="shared" si="96"/>
        <v>0</v>
      </c>
      <c r="I222" s="411">
        <f t="shared" si="55"/>
        <v>0</v>
      </c>
      <c r="J222" s="411" t="str">
        <f t="shared" si="56"/>
        <v/>
      </c>
      <c r="K222" s="745">
        <f t="shared" si="97"/>
        <v>0</v>
      </c>
      <c r="L222" s="101"/>
    </row>
    <row r="223" spans="1:12" x14ac:dyDescent="0.25">
      <c r="A223" s="417" t="str">
        <f t="shared" si="91"/>
        <v>Trading services</v>
      </c>
      <c r="B223" s="629"/>
      <c r="C223" s="614">
        <f>C224+C228+C232+C237</f>
        <v>1299005411.0699995</v>
      </c>
      <c r="D223" s="614">
        <f t="shared" ref="D223:I223" si="98">D224+D228+D232+D237</f>
        <v>1566754708</v>
      </c>
      <c r="E223" s="614">
        <f t="shared" si="98"/>
        <v>1566755708</v>
      </c>
      <c r="F223" s="614">
        <f t="shared" si="98"/>
        <v>109740578.69999999</v>
      </c>
      <c r="G223" s="614">
        <f t="shared" si="98"/>
        <v>734509176.34000027</v>
      </c>
      <c r="H223" s="614">
        <f>H224+H228+H232+H237</f>
        <v>783377854</v>
      </c>
      <c r="I223" s="614">
        <f t="shared" si="98"/>
        <v>-48868677.659999646</v>
      </c>
      <c r="J223" s="614">
        <f t="shared" si="56"/>
        <v>-6.2382000474575129E-2</v>
      </c>
      <c r="K223" s="615">
        <f>K224+K228+K232+K237</f>
        <v>1566754708</v>
      </c>
      <c r="L223" s="101"/>
    </row>
    <row r="224" spans="1:12" x14ac:dyDescent="0.25">
      <c r="A224" s="616" t="str">
        <f t="shared" si="91"/>
        <v>Energy sources</v>
      </c>
      <c r="B224" s="629"/>
      <c r="C224" s="620">
        <f t="shared" ref="C224:K224" si="99">SUM(C225:C227)</f>
        <v>798519515.72999966</v>
      </c>
      <c r="D224" s="620">
        <f t="shared" si="99"/>
        <v>961329108</v>
      </c>
      <c r="E224" s="620">
        <f t="shared" si="99"/>
        <v>961329708</v>
      </c>
      <c r="F224" s="620">
        <f t="shared" si="99"/>
        <v>61413861.780000001</v>
      </c>
      <c r="G224" s="620">
        <f t="shared" si="99"/>
        <v>473695365.33000028</v>
      </c>
      <c r="H224" s="620">
        <f t="shared" si="99"/>
        <v>480664854</v>
      </c>
      <c r="I224" s="620">
        <f t="shared" si="55"/>
        <v>-6969488.6699997187</v>
      </c>
      <c r="J224" s="620">
        <f t="shared" si="56"/>
        <v>-1.4499684368434641E-2</v>
      </c>
      <c r="K224" s="623">
        <f t="shared" si="99"/>
        <v>961329108</v>
      </c>
      <c r="L224" s="101"/>
    </row>
    <row r="225" spans="1:12" x14ac:dyDescent="0.25">
      <c r="A225" s="704" t="str">
        <f t="shared" si="91"/>
        <v xml:space="preserve">Electricity </v>
      </c>
      <c r="B225" s="629"/>
      <c r="C225" s="743">
        <v>797672125.25999963</v>
      </c>
      <c r="D225" s="743">
        <v>961329108</v>
      </c>
      <c r="E225" s="743">
        <v>961329708</v>
      </c>
      <c r="F225" s="743">
        <v>61413861.780000001</v>
      </c>
      <c r="G225" s="743">
        <v>473695365.33000028</v>
      </c>
      <c r="H225" s="743">
        <f t="shared" ref="H225:H227" si="100">E225/12*6</f>
        <v>480664854</v>
      </c>
      <c r="I225" s="411">
        <f t="shared" si="55"/>
        <v>-6969488.6699997187</v>
      </c>
      <c r="J225" s="411">
        <f t="shared" si="56"/>
        <v>-1.4499684368434641E-2</v>
      </c>
      <c r="K225" s="745">
        <f>D225</f>
        <v>961329108</v>
      </c>
      <c r="L225" s="101"/>
    </row>
    <row r="226" spans="1:12" x14ac:dyDescent="0.25">
      <c r="A226" s="704" t="str">
        <f t="shared" si="91"/>
        <v>Street Lighting and Signal Systems</v>
      </c>
      <c r="B226" s="629"/>
      <c r="C226" s="743">
        <v>847390.47</v>
      </c>
      <c r="D226" s="743">
        <v>0</v>
      </c>
      <c r="E226" s="743">
        <v>0</v>
      </c>
      <c r="F226" s="743">
        <v>0</v>
      </c>
      <c r="G226" s="743">
        <v>0</v>
      </c>
      <c r="H226" s="743">
        <f t="shared" si="100"/>
        <v>0</v>
      </c>
      <c r="I226" s="411">
        <f>G226-H226</f>
        <v>0</v>
      </c>
      <c r="J226" s="411" t="str">
        <f>IF(I226=0,"",I226/H226)</f>
        <v/>
      </c>
      <c r="K226" s="745">
        <f>E226</f>
        <v>0</v>
      </c>
      <c r="L226" s="101"/>
    </row>
    <row r="227" spans="1:12" x14ac:dyDescent="0.25">
      <c r="A227" s="704" t="str">
        <f t="shared" si="91"/>
        <v>Nonelectric Energy</v>
      </c>
      <c r="B227" s="629"/>
      <c r="C227" s="743"/>
      <c r="D227" s="743"/>
      <c r="E227" s="743">
        <v>0</v>
      </c>
      <c r="F227" s="743"/>
      <c r="G227" s="743"/>
      <c r="H227" s="743">
        <f t="shared" si="100"/>
        <v>0</v>
      </c>
      <c r="I227" s="411">
        <f t="shared" si="55"/>
        <v>0</v>
      </c>
      <c r="J227" s="411" t="str">
        <f t="shared" si="56"/>
        <v/>
      </c>
      <c r="K227" s="745">
        <f>D227</f>
        <v>0</v>
      </c>
      <c r="L227" s="101"/>
    </row>
    <row r="228" spans="1:12" x14ac:dyDescent="0.25">
      <c r="A228" s="616" t="str">
        <f t="shared" si="91"/>
        <v>Water management</v>
      </c>
      <c r="B228" s="629"/>
      <c r="C228" s="620">
        <f t="shared" ref="C228:K228" si="101">SUM(C229:C231)</f>
        <v>269795799.24000001</v>
      </c>
      <c r="D228" s="620">
        <f t="shared" si="101"/>
        <v>398912628</v>
      </c>
      <c r="E228" s="620">
        <f t="shared" si="101"/>
        <v>398912728</v>
      </c>
      <c r="F228" s="620">
        <f t="shared" si="101"/>
        <v>33949830.57</v>
      </c>
      <c r="G228" s="620">
        <f t="shared" si="101"/>
        <v>177463492.94000006</v>
      </c>
      <c r="H228" s="620">
        <f t="shared" si="101"/>
        <v>199456364</v>
      </c>
      <c r="I228" s="620">
        <f t="shared" si="55"/>
        <v>-21992871.059999943</v>
      </c>
      <c r="J228" s="620">
        <f t="shared" si="56"/>
        <v>-0.11026407289766869</v>
      </c>
      <c r="K228" s="623">
        <f t="shared" si="101"/>
        <v>398912628</v>
      </c>
      <c r="L228" s="101"/>
    </row>
    <row r="229" spans="1:12" x14ac:dyDescent="0.25">
      <c r="A229" s="704" t="str">
        <f t="shared" si="91"/>
        <v>Water Treatment</v>
      </c>
      <c r="B229" s="629"/>
      <c r="C229" s="743">
        <v>35154092.359999999</v>
      </c>
      <c r="D229" s="743">
        <v>13669896</v>
      </c>
      <c r="E229" s="743">
        <v>13669996</v>
      </c>
      <c r="F229" s="743">
        <v>2349409.7799999998</v>
      </c>
      <c r="G229" s="743">
        <v>13968154.029999999</v>
      </c>
      <c r="H229" s="743">
        <f t="shared" ref="H229:H231" si="102">E229/12*6</f>
        <v>6834998</v>
      </c>
      <c r="I229" s="411">
        <f t="shared" si="55"/>
        <v>7133156.0299999993</v>
      </c>
      <c r="J229" s="411">
        <f t="shared" si="56"/>
        <v>1.0436222556319694</v>
      </c>
      <c r="K229" s="745">
        <f>D229</f>
        <v>13669896</v>
      </c>
      <c r="L229" s="101"/>
    </row>
    <row r="230" spans="1:12" x14ac:dyDescent="0.25">
      <c r="A230" s="704" t="str">
        <f t="shared" si="91"/>
        <v>Water Distribution</v>
      </c>
      <c r="B230" s="629"/>
      <c r="C230" s="743">
        <v>221685214.59</v>
      </c>
      <c r="D230" s="743">
        <v>385242732</v>
      </c>
      <c r="E230" s="743">
        <v>385242732</v>
      </c>
      <c r="F230" s="743">
        <v>31600420.790000003</v>
      </c>
      <c r="G230" s="743">
        <v>163495338.91000006</v>
      </c>
      <c r="H230" s="743">
        <f t="shared" si="102"/>
        <v>192621366</v>
      </c>
      <c r="I230" s="411">
        <f>G230-H230</f>
        <v>-29126027.089999944</v>
      </c>
      <c r="J230" s="411">
        <f>IF(I230=0,"",I230/H230)</f>
        <v>-0.15120870386725399</v>
      </c>
      <c r="K230" s="745">
        <f>D230</f>
        <v>385242732</v>
      </c>
      <c r="L230" s="101"/>
    </row>
    <row r="231" spans="1:12" x14ac:dyDescent="0.25">
      <c r="A231" s="704" t="str">
        <f t="shared" si="91"/>
        <v>Water Storage</v>
      </c>
      <c r="B231" s="629"/>
      <c r="C231" s="743">
        <v>12956492.290000001</v>
      </c>
      <c r="D231" s="743">
        <v>0</v>
      </c>
      <c r="E231" s="743">
        <v>0</v>
      </c>
      <c r="F231" s="743">
        <v>0</v>
      </c>
      <c r="G231" s="743">
        <v>0</v>
      </c>
      <c r="H231" s="743">
        <f t="shared" si="102"/>
        <v>0</v>
      </c>
      <c r="I231" s="411">
        <f t="shared" si="55"/>
        <v>0</v>
      </c>
      <c r="J231" s="411" t="str">
        <f t="shared" si="56"/>
        <v/>
      </c>
      <c r="K231" s="745">
        <f>E231</f>
        <v>0</v>
      </c>
      <c r="L231" s="101"/>
    </row>
    <row r="232" spans="1:12" x14ac:dyDescent="0.25">
      <c r="A232" s="616" t="str">
        <f t="shared" si="91"/>
        <v>Waste water management</v>
      </c>
      <c r="B232" s="629"/>
      <c r="C232" s="620">
        <f t="shared" ref="C232:K232" si="103">SUM(C233:C236)</f>
        <v>94000072.979999989</v>
      </c>
      <c r="D232" s="620">
        <f t="shared" si="103"/>
        <v>77149276</v>
      </c>
      <c r="E232" s="620">
        <f t="shared" si="103"/>
        <v>77149276</v>
      </c>
      <c r="F232" s="620">
        <f t="shared" si="103"/>
        <v>4873506.0999999987</v>
      </c>
      <c r="G232" s="620">
        <f t="shared" si="103"/>
        <v>29339652.910000004</v>
      </c>
      <c r="H232" s="620">
        <f t="shared" si="103"/>
        <v>38574638</v>
      </c>
      <c r="I232" s="620">
        <f t="shared" si="55"/>
        <v>-9234985.0899999961</v>
      </c>
      <c r="J232" s="620">
        <f t="shared" si="56"/>
        <v>-0.2394056190494904</v>
      </c>
      <c r="K232" s="623">
        <f t="shared" si="103"/>
        <v>77149276</v>
      </c>
      <c r="L232" s="101"/>
    </row>
    <row r="233" spans="1:12" x14ac:dyDescent="0.25">
      <c r="A233" s="704" t="str">
        <f t="shared" si="91"/>
        <v>Public Toilets</v>
      </c>
      <c r="B233" s="629"/>
      <c r="C233" s="743">
        <v>0</v>
      </c>
      <c r="D233" s="743">
        <v>0</v>
      </c>
      <c r="E233" s="743">
        <v>0</v>
      </c>
      <c r="F233" s="743">
        <v>0</v>
      </c>
      <c r="G233" s="743">
        <v>0</v>
      </c>
      <c r="H233" s="743">
        <f t="shared" ref="H233:H236" si="104">E233/12*6</f>
        <v>0</v>
      </c>
      <c r="I233" s="411">
        <f t="shared" si="55"/>
        <v>0</v>
      </c>
      <c r="J233" s="411" t="str">
        <f t="shared" si="56"/>
        <v/>
      </c>
      <c r="K233" s="745">
        <f t="shared" ref="K233:K236" si="105">D233</f>
        <v>0</v>
      </c>
      <c r="L233" s="101"/>
    </row>
    <row r="234" spans="1:12" x14ac:dyDescent="0.25">
      <c r="A234" s="704" t="str">
        <f t="shared" si="91"/>
        <v>Sewerage</v>
      </c>
      <c r="B234" s="629"/>
      <c r="C234" s="743">
        <v>94000072.979999989</v>
      </c>
      <c r="D234" s="743">
        <v>77149276</v>
      </c>
      <c r="E234" s="743">
        <v>77149276</v>
      </c>
      <c r="F234" s="743">
        <v>4873506.0999999987</v>
      </c>
      <c r="G234" s="743">
        <v>29339652.910000004</v>
      </c>
      <c r="H234" s="743">
        <f t="shared" si="104"/>
        <v>38574638</v>
      </c>
      <c r="I234" s="411">
        <f t="shared" si="55"/>
        <v>-9234985.0899999961</v>
      </c>
      <c r="J234" s="411">
        <f t="shared" si="56"/>
        <v>-0.2394056190494904</v>
      </c>
      <c r="K234" s="745">
        <f t="shared" si="105"/>
        <v>77149276</v>
      </c>
      <c r="L234" s="101"/>
    </row>
    <row r="235" spans="1:12" x14ac:dyDescent="0.25">
      <c r="A235" s="704" t="str">
        <f t="shared" si="91"/>
        <v>Storm Water Management</v>
      </c>
      <c r="B235" s="629"/>
      <c r="C235" s="743">
        <v>0</v>
      </c>
      <c r="D235" s="743">
        <v>0</v>
      </c>
      <c r="E235" s="743">
        <v>0</v>
      </c>
      <c r="F235" s="743">
        <v>0</v>
      </c>
      <c r="G235" s="743">
        <v>0</v>
      </c>
      <c r="H235" s="743">
        <f t="shared" si="104"/>
        <v>0</v>
      </c>
      <c r="I235" s="411">
        <f>G235-H235</f>
        <v>0</v>
      </c>
      <c r="J235" s="411" t="str">
        <f>IF(I235=0,"",I235/H235)</f>
        <v/>
      </c>
      <c r="K235" s="745">
        <f t="shared" si="105"/>
        <v>0</v>
      </c>
      <c r="L235" s="101"/>
    </row>
    <row r="236" spans="1:12" x14ac:dyDescent="0.25">
      <c r="A236" s="704" t="str">
        <f t="shared" si="91"/>
        <v>Waste Water Treatment</v>
      </c>
      <c r="B236" s="629"/>
      <c r="C236" s="743"/>
      <c r="D236" s="743"/>
      <c r="E236" s="743">
        <v>0</v>
      </c>
      <c r="F236" s="743"/>
      <c r="G236" s="743"/>
      <c r="H236" s="743">
        <f t="shared" si="104"/>
        <v>0</v>
      </c>
      <c r="I236" s="411">
        <f t="shared" si="55"/>
        <v>0</v>
      </c>
      <c r="J236" s="411" t="str">
        <f t="shared" si="56"/>
        <v/>
      </c>
      <c r="K236" s="745">
        <f t="shared" si="105"/>
        <v>0</v>
      </c>
      <c r="L236" s="101"/>
    </row>
    <row r="237" spans="1:12" x14ac:dyDescent="0.25">
      <c r="A237" s="616" t="str">
        <f t="shared" si="91"/>
        <v>Waste management</v>
      </c>
      <c r="B237" s="629"/>
      <c r="C237" s="620">
        <f t="shared" ref="C237:H237" si="106">SUM(C238:C241)</f>
        <v>136690023.11999997</v>
      </c>
      <c r="D237" s="620">
        <f t="shared" si="106"/>
        <v>129363696</v>
      </c>
      <c r="E237" s="620">
        <f t="shared" si="106"/>
        <v>129363996</v>
      </c>
      <c r="F237" s="620">
        <f t="shared" si="106"/>
        <v>9503380.2499999981</v>
      </c>
      <c r="G237" s="620">
        <f t="shared" si="106"/>
        <v>54010665.160000011</v>
      </c>
      <c r="H237" s="620">
        <f t="shared" si="106"/>
        <v>64681998</v>
      </c>
      <c r="I237" s="620">
        <f t="shared" si="55"/>
        <v>-10671332.839999989</v>
      </c>
      <c r="J237" s="620">
        <f t="shared" si="56"/>
        <v>-0.16498149670639409</v>
      </c>
      <c r="K237" s="620">
        <f>SUM(K238:K241)</f>
        <v>129363696</v>
      </c>
      <c r="L237" s="101"/>
    </row>
    <row r="238" spans="1:12" x14ac:dyDescent="0.25">
      <c r="A238" s="704" t="str">
        <f t="shared" si="91"/>
        <v>Recycling</v>
      </c>
      <c r="B238" s="629"/>
      <c r="C238" s="743">
        <v>0</v>
      </c>
      <c r="D238" s="743">
        <v>0</v>
      </c>
      <c r="E238" s="743">
        <v>0</v>
      </c>
      <c r="F238" s="743">
        <v>0</v>
      </c>
      <c r="G238" s="743">
        <v>0</v>
      </c>
      <c r="H238" s="743">
        <f t="shared" ref="H238:H241" si="107">E238/12*6</f>
        <v>0</v>
      </c>
      <c r="I238" s="411">
        <f>G238-H238</f>
        <v>0</v>
      </c>
      <c r="J238" s="411" t="str">
        <f>IF(I238=0,"",I238/H238)</f>
        <v/>
      </c>
      <c r="K238" s="745">
        <f t="shared" ref="K238:K241" si="108">D238</f>
        <v>0</v>
      </c>
      <c r="L238" s="101"/>
    </row>
    <row r="239" spans="1:12" x14ac:dyDescent="0.25">
      <c r="A239" s="704" t="str">
        <f t="shared" si="91"/>
        <v>Solid Waste Disposal (Landfill Sites)</v>
      </c>
      <c r="B239" s="629"/>
      <c r="C239" s="743">
        <v>0</v>
      </c>
      <c r="D239" s="743">
        <v>0</v>
      </c>
      <c r="E239" s="743">
        <v>0</v>
      </c>
      <c r="F239" s="743">
        <v>0</v>
      </c>
      <c r="G239" s="743">
        <v>0</v>
      </c>
      <c r="H239" s="743">
        <f t="shared" si="107"/>
        <v>0</v>
      </c>
      <c r="I239" s="411">
        <f>G239-H239</f>
        <v>0</v>
      </c>
      <c r="J239" s="411" t="str">
        <f>IF(I239=0,"",I239/H239)</f>
        <v/>
      </c>
      <c r="K239" s="745">
        <f t="shared" si="108"/>
        <v>0</v>
      </c>
      <c r="L239" s="101"/>
    </row>
    <row r="240" spans="1:12" x14ac:dyDescent="0.25">
      <c r="A240" s="704" t="str">
        <f t="shared" si="91"/>
        <v>Solid Waste Removal</v>
      </c>
      <c r="B240" s="629"/>
      <c r="C240" s="743">
        <v>121541830.21999998</v>
      </c>
      <c r="D240" s="743">
        <v>129363696</v>
      </c>
      <c r="E240" s="743">
        <v>129363996</v>
      </c>
      <c r="F240" s="743">
        <v>9503380.2499999981</v>
      </c>
      <c r="G240" s="743">
        <v>54010665.160000011</v>
      </c>
      <c r="H240" s="743">
        <f t="shared" si="107"/>
        <v>64681998</v>
      </c>
      <c r="I240" s="411">
        <f>G240-H240</f>
        <v>-10671332.839999989</v>
      </c>
      <c r="J240" s="411">
        <f>IF(I240=0,"",I240/H240)</f>
        <v>-0.16498149670639409</v>
      </c>
      <c r="K240" s="745">
        <f t="shared" si="108"/>
        <v>129363696</v>
      </c>
      <c r="L240" s="101"/>
    </row>
    <row r="241" spans="1:12" x14ac:dyDescent="0.25">
      <c r="A241" s="704" t="str">
        <f t="shared" si="91"/>
        <v>Street Cleaning</v>
      </c>
      <c r="B241" s="418"/>
      <c r="C241" s="743">
        <v>15148192.899999999</v>
      </c>
      <c r="D241" s="743">
        <v>0</v>
      </c>
      <c r="E241" s="743">
        <v>0</v>
      </c>
      <c r="F241" s="743">
        <v>0</v>
      </c>
      <c r="G241" s="743">
        <v>0</v>
      </c>
      <c r="H241" s="743">
        <f t="shared" si="107"/>
        <v>0</v>
      </c>
      <c r="I241" s="411">
        <f t="shared" si="55"/>
        <v>0</v>
      </c>
      <c r="J241" s="411" t="str">
        <f t="shared" si="56"/>
        <v/>
      </c>
      <c r="K241" s="745">
        <f t="shared" si="108"/>
        <v>0</v>
      </c>
      <c r="L241" s="101"/>
    </row>
    <row r="242" spans="1:12" x14ac:dyDescent="0.25">
      <c r="A242" s="417" t="str">
        <f t="shared" si="91"/>
        <v>Other</v>
      </c>
      <c r="B242" s="418"/>
      <c r="C242" s="620">
        <f t="shared" ref="C242:K242" si="109">SUM(C243:C248)</f>
        <v>0</v>
      </c>
      <c r="D242" s="620">
        <f t="shared" si="109"/>
        <v>0</v>
      </c>
      <c r="E242" s="620">
        <f t="shared" si="109"/>
        <v>0</v>
      </c>
      <c r="F242" s="620">
        <f t="shared" si="109"/>
        <v>0</v>
      </c>
      <c r="G242" s="620">
        <f t="shared" si="109"/>
        <v>0</v>
      </c>
      <c r="H242" s="620">
        <f t="shared" si="109"/>
        <v>0</v>
      </c>
      <c r="I242" s="620">
        <f t="shared" si="55"/>
        <v>0</v>
      </c>
      <c r="J242" s="620" t="str">
        <f t="shared" si="56"/>
        <v/>
      </c>
      <c r="K242" s="623">
        <f t="shared" si="109"/>
        <v>0</v>
      </c>
      <c r="L242" s="101"/>
    </row>
    <row r="243" spans="1:12" x14ac:dyDescent="0.25">
      <c r="A243" s="616" t="str">
        <f t="shared" si="91"/>
        <v>Abattoirs</v>
      </c>
      <c r="B243" s="418"/>
      <c r="C243" s="743"/>
      <c r="D243" s="743"/>
      <c r="E243" s="743"/>
      <c r="F243" s="743"/>
      <c r="G243" s="743"/>
      <c r="H243" s="743">
        <f t="shared" ref="H243:H248" si="110">D243/12*7</f>
        <v>0</v>
      </c>
      <c r="I243" s="411">
        <f t="shared" si="55"/>
        <v>0</v>
      </c>
      <c r="J243" s="411" t="str">
        <f t="shared" si="56"/>
        <v/>
      </c>
      <c r="K243" s="745"/>
      <c r="L243" s="101"/>
    </row>
    <row r="244" spans="1:12" x14ac:dyDescent="0.25">
      <c r="A244" s="616" t="str">
        <f t="shared" si="91"/>
        <v>Air Transport</v>
      </c>
      <c r="B244" s="418"/>
      <c r="C244" s="743"/>
      <c r="D244" s="743"/>
      <c r="E244" s="743"/>
      <c r="F244" s="743"/>
      <c r="G244" s="743"/>
      <c r="H244" s="743">
        <f t="shared" si="110"/>
        <v>0</v>
      </c>
      <c r="I244" s="411">
        <f t="shared" si="55"/>
        <v>0</v>
      </c>
      <c r="J244" s="411" t="str">
        <f t="shared" si="56"/>
        <v/>
      </c>
      <c r="K244" s="745"/>
      <c r="L244" s="101"/>
    </row>
    <row r="245" spans="1:12" x14ac:dyDescent="0.25">
      <c r="A245" s="616" t="str">
        <f t="shared" si="91"/>
        <v xml:space="preserve">Forestry </v>
      </c>
      <c r="B245" s="418"/>
      <c r="C245" s="743"/>
      <c r="D245" s="743"/>
      <c r="E245" s="743"/>
      <c r="F245" s="743"/>
      <c r="G245" s="743"/>
      <c r="H245" s="743">
        <f t="shared" si="110"/>
        <v>0</v>
      </c>
      <c r="I245" s="411">
        <f>G245-H245</f>
        <v>0</v>
      </c>
      <c r="J245" s="411" t="str">
        <f>IF(I245=0,"",I245/H245)</f>
        <v/>
      </c>
      <c r="K245" s="745"/>
      <c r="L245" s="101"/>
    </row>
    <row r="246" spans="1:12" x14ac:dyDescent="0.25">
      <c r="A246" s="616" t="str">
        <f t="shared" si="91"/>
        <v>Licensing and Regulation</v>
      </c>
      <c r="B246" s="418"/>
      <c r="C246" s="743"/>
      <c r="D246" s="743"/>
      <c r="E246" s="743"/>
      <c r="F246" s="743"/>
      <c r="G246" s="743"/>
      <c r="H246" s="743">
        <f t="shared" si="110"/>
        <v>0</v>
      </c>
      <c r="I246" s="411">
        <f t="shared" si="55"/>
        <v>0</v>
      </c>
      <c r="J246" s="411" t="str">
        <f t="shared" si="56"/>
        <v/>
      </c>
      <c r="K246" s="745"/>
      <c r="L246" s="101"/>
    </row>
    <row r="247" spans="1:12" x14ac:dyDescent="0.25">
      <c r="A247" s="616" t="str">
        <f t="shared" si="91"/>
        <v>Markets</v>
      </c>
      <c r="B247" s="418"/>
      <c r="C247" s="743"/>
      <c r="D247" s="743"/>
      <c r="E247" s="743"/>
      <c r="F247" s="743"/>
      <c r="G247" s="743"/>
      <c r="H247" s="743">
        <f t="shared" si="110"/>
        <v>0</v>
      </c>
      <c r="I247" s="411">
        <f>G247-H247</f>
        <v>0</v>
      </c>
      <c r="J247" s="411" t="str">
        <f>IF(I247=0,"",I247/H247)</f>
        <v/>
      </c>
      <c r="K247" s="745"/>
      <c r="L247" s="101"/>
    </row>
    <row r="248" spans="1:12" x14ac:dyDescent="0.25">
      <c r="A248" s="616" t="str">
        <f t="shared" si="91"/>
        <v>Tourism</v>
      </c>
      <c r="B248" s="418"/>
      <c r="C248" s="743">
        <v>0</v>
      </c>
      <c r="D248" s="743"/>
      <c r="E248" s="743"/>
      <c r="F248" s="743"/>
      <c r="G248" s="743"/>
      <c r="H248" s="743">
        <f t="shared" si="110"/>
        <v>0</v>
      </c>
      <c r="I248" s="411">
        <f>G248-H248</f>
        <v>0</v>
      </c>
      <c r="J248" s="411" t="str">
        <f>IF(I248=0,"",I248/H248)</f>
        <v/>
      </c>
      <c r="K248" s="745"/>
      <c r="L248" s="101"/>
    </row>
    <row r="249" spans="1:12" x14ac:dyDescent="0.25">
      <c r="A249" s="624" t="str">
        <f>"Total "&amp;A128</f>
        <v>Total Expenditure - Functional</v>
      </c>
      <c r="B249" s="418">
        <v>3</v>
      </c>
      <c r="C249" s="549">
        <f t="shared" ref="C249:I249" si="111">C129+C150+C197+C223+C242</f>
        <v>3789289061.2799997</v>
      </c>
      <c r="D249" s="549">
        <f t="shared" si="111"/>
        <v>3549930516</v>
      </c>
      <c r="E249" s="549">
        <f t="shared" si="111"/>
        <v>3547704512</v>
      </c>
      <c r="F249" s="549">
        <f t="shared" si="111"/>
        <v>269894688.22000015</v>
      </c>
      <c r="G249" s="549">
        <f t="shared" si="111"/>
        <v>1647493485.6800003</v>
      </c>
      <c r="H249" s="549">
        <f>H129+H150+H197+H223+H242</f>
        <v>1751032126</v>
      </c>
      <c r="I249" s="549">
        <f t="shared" si="111"/>
        <v>-103538640.31999972</v>
      </c>
      <c r="J249" s="549">
        <f>IF(I249=0,"",I249/H249)</f>
        <v>-5.9130063225350395E-2</v>
      </c>
      <c r="K249" s="606">
        <f>K129+K150+K197+K223+K242</f>
        <v>3549930516</v>
      </c>
      <c r="L249" s="101"/>
    </row>
    <row r="250" spans="1:12" x14ac:dyDescent="0.25">
      <c r="A250" s="630" t="str">
        <f>result</f>
        <v>Surplus/ (Deficit) for the year</v>
      </c>
      <c r="B250" s="631"/>
      <c r="C250" s="77">
        <f t="shared" ref="C250:H250" si="112">C126-C249</f>
        <v>256354269.74000025</v>
      </c>
      <c r="D250" s="77">
        <f t="shared" si="112"/>
        <v>1512993108</v>
      </c>
      <c r="E250" s="77">
        <f t="shared" si="112"/>
        <v>1515219112</v>
      </c>
      <c r="F250" s="77">
        <f t="shared" si="112"/>
        <v>309458002.97399986</v>
      </c>
      <c r="G250" s="77">
        <f t="shared" si="112"/>
        <v>668005276.43749952</v>
      </c>
      <c r="H250" s="77">
        <f t="shared" si="112"/>
        <v>780429354</v>
      </c>
      <c r="I250" s="643">
        <f>G250-H250</f>
        <v>-112424077.56250048</v>
      </c>
      <c r="J250" s="643">
        <f>IF(I250=0,"",I250/H250)</f>
        <v>-0.14405413761833014</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34" t="s">
        <v>1244</v>
      </c>
      <c r="B255" s="1034"/>
      <c r="C255" s="1034"/>
      <c r="D255" s="1034"/>
      <c r="E255" s="1034"/>
      <c r="F255" s="1034"/>
      <c r="G255" s="1034"/>
      <c r="H255" s="1034"/>
      <c r="I255" s="1034"/>
      <c r="J255" s="1034"/>
      <c r="K255" s="1034"/>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637">
        <f>H126-'C4-FinPerf RE'!H53</f>
        <v>-332</v>
      </c>
      <c r="I258" s="637">
        <f>I126-'C4-FinPerf RE'!I53</f>
        <v>-215962717.88250017</v>
      </c>
      <c r="J258" s="638"/>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-22820130</v>
      </c>
      <c r="I259" s="637">
        <f>I249-'C4-FinPerf RE'!I36</f>
        <v>22820130.000000447</v>
      </c>
      <c r="J259" s="638"/>
      <c r="K259" s="637">
        <f>K249-'C4-FinPerf RE'!K36</f>
        <v>2226004</v>
      </c>
    </row>
    <row r="263" spans="1:11" x14ac:dyDescent="0.25">
      <c r="E263" s="639"/>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2.xml><?xml version="1.0" encoding="utf-8"?>
<ds:datastoreItem xmlns:ds="http://schemas.openxmlformats.org/officeDocument/2006/customXml" ds:itemID="{7AFB5407-905C-4A55-86D9-F8F24F173B67}">
  <ds:schemaRefs>
    <ds:schemaRef ds:uri="http://schemas.microsoft.com/sharepoint/v3"/>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2020-01-15T14:19:45Z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