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esktop\"/>
    </mc:Choice>
  </mc:AlternateContent>
  <workbookProtection workbookPassword="FB84" lockStructure="1"/>
  <bookViews>
    <workbookView xWindow="0" yWindow="0" windowWidth="23040" windowHeight="6888" firstSheet="10" activeTab="18"/>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C15" i="177" l="1"/>
  <c r="H42" i="269" l="1"/>
  <c r="H41" i="269"/>
  <c r="H40" i="269"/>
  <c r="H39" i="269"/>
  <c r="H38" i="269"/>
  <c r="H37" i="269"/>
  <c r="H36" i="269"/>
  <c r="H19" i="269"/>
  <c r="H18" i="269"/>
  <c r="H17" i="269"/>
  <c r="H16" i="269"/>
  <c r="H15" i="269"/>
  <c r="H14" i="269"/>
  <c r="H13" i="269"/>
  <c r="H12" i="269"/>
  <c r="H11" i="269"/>
  <c r="H10" i="269"/>
  <c r="H9" i="269"/>
  <c r="H7" i="318" l="1"/>
  <c r="K19" i="270" l="1"/>
  <c r="K18" i="270"/>
  <c r="K17" i="270"/>
  <c r="K16" i="270"/>
  <c r="K15" i="270"/>
  <c r="K14" i="270"/>
  <c r="K13" i="270"/>
  <c r="K12" i="270"/>
  <c r="K11" i="270"/>
  <c r="K10" i="270"/>
  <c r="K9" i="270"/>
  <c r="C19" i="175"/>
  <c r="H45" i="318" l="1"/>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K45" i="318"/>
  <c r="K44" i="318"/>
  <c r="K43" i="318"/>
  <c r="K42" i="318"/>
  <c r="K41" i="318"/>
  <c r="K40" i="318"/>
  <c r="K39" i="318"/>
  <c r="K38" i="318"/>
  <c r="K37" i="318"/>
  <c r="K36" i="318"/>
  <c r="K35" i="318"/>
  <c r="K34" i="318"/>
  <c r="K29" i="318"/>
  <c r="K28" i="318"/>
  <c r="K27" i="318"/>
  <c r="K26" i="318"/>
  <c r="K25" i="318"/>
  <c r="K24" i="318"/>
  <c r="K23" i="318"/>
  <c r="K22" i="318"/>
  <c r="K21" i="318"/>
  <c r="K20" i="318"/>
  <c r="K19" i="318"/>
  <c r="K18" i="318"/>
  <c r="K13" i="318"/>
  <c r="K12" i="318"/>
  <c r="K11" i="318"/>
  <c r="K10" i="318"/>
  <c r="K9" i="318"/>
  <c r="K8" i="318"/>
  <c r="K7" i="318"/>
  <c r="C12" i="173" l="1"/>
  <c r="D19" i="269"/>
  <c r="C19" i="269"/>
  <c r="D18" i="269"/>
  <c r="C18" i="269"/>
  <c r="D17" i="269"/>
  <c r="C17" i="269"/>
  <c r="D16" i="269"/>
  <c r="C16" i="269"/>
  <c r="D15" i="269"/>
  <c r="C15" i="269"/>
  <c r="D14" i="269"/>
  <c r="C14" i="269"/>
  <c r="D13" i="269"/>
  <c r="C13" i="269"/>
  <c r="D12" i="269"/>
  <c r="C12" i="269"/>
  <c r="D11" i="269"/>
  <c r="C11" i="269"/>
  <c r="D10" i="269"/>
  <c r="C10" i="269"/>
  <c r="D9" i="269"/>
  <c r="C9" i="269"/>
  <c r="H288" i="323" l="1"/>
  <c r="H287" i="323"/>
  <c r="H286" i="323"/>
  <c r="H285"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3" i="323"/>
  <c r="H182" i="323"/>
  <c r="H181" i="323"/>
  <c r="H180" i="323"/>
  <c r="H179" i="323"/>
  <c r="H178" i="323"/>
  <c r="H177" i="323"/>
  <c r="H176" i="323"/>
  <c r="H175" i="323"/>
  <c r="H123" i="323"/>
  <c r="H122" i="323"/>
  <c r="H121" i="323"/>
  <c r="H120" i="323"/>
  <c r="H119" i="323"/>
  <c r="H118" i="323"/>
  <c r="H117" i="323"/>
  <c r="H112" i="323"/>
  <c r="H111" i="323"/>
  <c r="H110" i="323"/>
  <c r="H109" i="323"/>
  <c r="H108" i="323"/>
  <c r="H107" i="323"/>
  <c r="H106" i="323"/>
  <c r="H103" i="323"/>
  <c r="H102" i="323"/>
  <c r="H101" i="323"/>
  <c r="H100" i="323"/>
  <c r="H99" i="323"/>
  <c r="H98" i="323"/>
  <c r="H97" i="323"/>
  <c r="H96" i="323"/>
  <c r="H95"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4" i="323"/>
  <c r="H43" i="323"/>
  <c r="H42" i="323"/>
  <c r="H41" i="323"/>
  <c r="H40" i="323"/>
  <c r="H34" i="323"/>
  <c r="H33" i="323"/>
  <c r="H32" i="323"/>
  <c r="H31" i="323"/>
  <c r="H30" i="323"/>
  <c r="H29" i="323"/>
  <c r="H22" i="323"/>
  <c r="H21" i="323"/>
  <c r="H20" i="323"/>
  <c r="H19" i="323"/>
  <c r="H18" i="323"/>
  <c r="H16" i="323"/>
  <c r="H15" i="323"/>
  <c r="H14" i="323"/>
  <c r="H13" i="323"/>
  <c r="H12" i="323"/>
  <c r="H11" i="323"/>
  <c r="H10" i="323"/>
  <c r="H9" i="323"/>
  <c r="H8" i="323"/>
  <c r="H7" i="323"/>
  <c r="H94" i="330"/>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7" i="330"/>
  <c r="H116" i="330"/>
  <c r="H115" i="330"/>
  <c r="H113" i="330"/>
  <c r="H112" i="330"/>
  <c r="H111" i="330"/>
  <c r="H110" i="330"/>
  <c r="H108" i="330"/>
  <c r="H107" i="330"/>
  <c r="H106" i="330"/>
  <c r="H104" i="330"/>
  <c r="H103" i="330"/>
  <c r="H102" i="330"/>
  <c r="H92" i="330"/>
  <c r="H91" i="330"/>
  <c r="H90" i="330"/>
  <c r="H89" i="330"/>
  <c r="H88" i="330"/>
  <c r="H87" i="330"/>
  <c r="H85" i="330"/>
  <c r="H84" i="330"/>
  <c r="H83" i="330"/>
  <c r="H82" i="330"/>
  <c r="H81" i="330"/>
  <c r="H80" i="330"/>
  <c r="H79" i="330"/>
  <c r="H78" i="330"/>
  <c r="H77" i="330"/>
  <c r="H76" i="330"/>
  <c r="H64"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6" i="330"/>
  <c r="H24" i="330"/>
  <c r="H23" i="330"/>
  <c r="H22" i="330"/>
  <c r="H21" i="330"/>
  <c r="H20" i="330"/>
  <c r="H19" i="330"/>
  <c r="H18" i="330"/>
  <c r="H17" i="330"/>
  <c r="H16" i="330"/>
  <c r="H15" i="330"/>
  <c r="H14" i="330"/>
  <c r="H13" i="330"/>
  <c r="H12" i="330"/>
  <c r="H11" i="330"/>
  <c r="H9" i="330"/>
  <c r="H8"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F186" i="330"/>
  <c r="G186" i="330"/>
  <c r="H186" i="330"/>
  <c r="H62" i="330"/>
  <c r="C63" i="330"/>
  <c r="D63" i="330"/>
  <c r="E63" i="330"/>
  <c r="F63" i="330"/>
  <c r="G63" i="330"/>
  <c r="H63" i="330"/>
  <c r="K36" i="177"/>
  <c r="K34" i="177"/>
  <c r="K33" i="177"/>
  <c r="K32" i="177"/>
  <c r="K27" i="177"/>
  <c r="K25" i="177"/>
  <c r="K24" i="177"/>
  <c r="K23" i="177"/>
  <c r="K22" i="177"/>
  <c r="K17" i="177"/>
  <c r="K16" i="177"/>
  <c r="K15" i="177"/>
  <c r="K12" i="177"/>
  <c r="K11" i="177"/>
  <c r="K10" i="177"/>
  <c r="K9" i="177"/>
  <c r="K8" i="177"/>
  <c r="K7" i="177"/>
  <c r="H36" i="177"/>
  <c r="G36" i="177"/>
  <c r="H34" i="177"/>
  <c r="G34" i="177"/>
  <c r="H33" i="177"/>
  <c r="G33" i="177"/>
  <c r="H32" i="177"/>
  <c r="G32" i="177"/>
  <c r="H27" i="177"/>
  <c r="G27" i="177"/>
  <c r="H25" i="177"/>
  <c r="G25" i="177"/>
  <c r="H24" i="177"/>
  <c r="G24" i="177"/>
  <c r="H23" i="177"/>
  <c r="G23" i="177"/>
  <c r="H22" i="177"/>
  <c r="G22" i="177"/>
  <c r="H17" i="177"/>
  <c r="H16" i="177"/>
  <c r="H15" i="177"/>
  <c r="G15" i="177"/>
  <c r="H12" i="177"/>
  <c r="H11" i="177"/>
  <c r="H10" i="177"/>
  <c r="H9" i="177"/>
  <c r="G9" i="177"/>
  <c r="H8" i="177"/>
  <c r="H7" i="177"/>
  <c r="K285" i="324"/>
  <c r="K284" i="324"/>
  <c r="K283" i="324"/>
  <c r="K282" i="324"/>
  <c r="K281" i="324"/>
  <c r="K280" i="324"/>
  <c r="K279" i="324"/>
  <c r="K278" i="324"/>
  <c r="K277" i="324"/>
  <c r="K276" i="324"/>
  <c r="K274" i="324"/>
  <c r="K273" i="324"/>
  <c r="K272" i="324"/>
  <c r="K271" i="324"/>
  <c r="K270" i="324"/>
  <c r="K269" i="324"/>
  <c r="K268" i="324"/>
  <c r="K267" i="324"/>
  <c r="K266" i="324"/>
  <c r="K265" i="324"/>
  <c r="K263" i="324"/>
  <c r="K262" i="324"/>
  <c r="K261" i="324"/>
  <c r="K260" i="324"/>
  <c r="K259" i="324"/>
  <c r="K258" i="324"/>
  <c r="K257" i="324"/>
  <c r="K256" i="324"/>
  <c r="K255" i="324"/>
  <c r="K254" i="324"/>
  <c r="K252" i="324"/>
  <c r="K251" i="324"/>
  <c r="K250" i="324"/>
  <c r="K249" i="324"/>
  <c r="K248" i="324"/>
  <c r="K247" i="324"/>
  <c r="K246" i="324"/>
  <c r="K245" i="324"/>
  <c r="K244" i="324"/>
  <c r="K243" i="324"/>
  <c r="K241" i="324"/>
  <c r="K240" i="324"/>
  <c r="K239" i="324"/>
  <c r="K238" i="324"/>
  <c r="K237" i="324"/>
  <c r="K236" i="324"/>
  <c r="K235" i="324"/>
  <c r="K234" i="324"/>
  <c r="K233" i="324"/>
  <c r="K232" i="324"/>
  <c r="K230" i="324"/>
  <c r="K229"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2" i="324"/>
  <c r="K201" i="324"/>
  <c r="K200" i="324"/>
  <c r="K199" i="324"/>
  <c r="K197" i="324"/>
  <c r="K196" i="324"/>
  <c r="K195" i="324"/>
  <c r="K194" i="324"/>
  <c r="K193" i="324"/>
  <c r="K192" i="324"/>
  <c r="K191" i="324"/>
  <c r="K190" i="324"/>
  <c r="K189" i="324"/>
  <c r="K188" i="324"/>
  <c r="K186" i="324"/>
  <c r="K185" i="324"/>
  <c r="K184" i="324"/>
  <c r="K183" i="324"/>
  <c r="K182" i="324"/>
  <c r="K181" i="324"/>
  <c r="K180" i="324"/>
  <c r="K179" i="324"/>
  <c r="K178" i="324"/>
  <c r="K177" i="324"/>
  <c r="K46" i="268"/>
  <c r="K45" i="268"/>
  <c r="K44" i="268"/>
  <c r="K48" i="268"/>
  <c r="K52" i="268"/>
  <c r="K51" i="268"/>
  <c r="K50" i="268"/>
  <c r="K49" i="268"/>
  <c r="K56" i="268"/>
  <c r="K55" i="268"/>
  <c r="K54" i="268"/>
  <c r="K62" i="268"/>
  <c r="K61" i="268"/>
  <c r="K60" i="268"/>
  <c r="K59" i="268"/>
  <c r="K58" i="268"/>
  <c r="K69" i="268"/>
  <c r="K68" i="268"/>
  <c r="K67" i="268"/>
  <c r="K66" i="268"/>
  <c r="K72" i="268"/>
  <c r="K71" i="268"/>
  <c r="K73"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G41" i="181" l="1"/>
  <c r="F41" i="181"/>
  <c r="G40" i="181"/>
  <c r="F40" i="181"/>
  <c r="G39" i="181"/>
  <c r="F39" i="181"/>
  <c r="G35" i="181"/>
  <c r="F35" i="181"/>
  <c r="G34" i="181"/>
  <c r="F34" i="181"/>
  <c r="G33" i="181"/>
  <c r="F33" i="181"/>
  <c r="G32" i="181"/>
  <c r="F32" i="181"/>
  <c r="G31" i="181"/>
  <c r="F31" i="181"/>
  <c r="G30" i="181"/>
  <c r="F30" i="181"/>
  <c r="G29" i="181"/>
  <c r="F29" i="181"/>
  <c r="G28" i="181"/>
  <c r="F28" i="181"/>
  <c r="G27" i="181"/>
  <c r="F27" i="181"/>
  <c r="G26" i="181"/>
  <c r="F26" i="181"/>
  <c r="G25" i="181"/>
  <c r="F25" i="181"/>
  <c r="G21" i="181"/>
  <c r="F21" i="181"/>
  <c r="G20" i="181"/>
  <c r="F20" i="181"/>
  <c r="G19" i="181"/>
  <c r="F19" i="181"/>
  <c r="G18" i="181"/>
  <c r="F18" i="181"/>
  <c r="G17" i="181"/>
  <c r="F17" i="181"/>
  <c r="G16" i="181"/>
  <c r="F16" i="181"/>
  <c r="G15" i="181"/>
  <c r="F15" i="181"/>
  <c r="G14" i="181"/>
  <c r="F14" i="181"/>
  <c r="G13" i="181"/>
  <c r="F13" i="181"/>
  <c r="G12" i="181"/>
  <c r="F12" i="181"/>
  <c r="G11" i="181"/>
  <c r="F11" i="181"/>
  <c r="G10" i="181"/>
  <c r="F10" i="181"/>
  <c r="G9" i="181"/>
  <c r="F9" i="181"/>
  <c r="G8" i="181"/>
  <c r="F8" i="181"/>
  <c r="G7" i="181"/>
  <c r="F7" i="181"/>
  <c r="G6" i="181"/>
  <c r="F6" i="181"/>
  <c r="I6" i="238" l="1"/>
  <c r="F9" i="177" l="1"/>
  <c r="H149" i="335" l="1"/>
  <c r="H119" i="335"/>
  <c r="H101" i="335"/>
  <c r="H77" i="335"/>
  <c r="H50" i="335"/>
  <c r="H35" i="335"/>
  <c r="H18" i="335"/>
  <c r="H9" i="335"/>
  <c r="H158" i="333"/>
  <c r="H155" i="333"/>
  <c r="H152" i="333"/>
  <c r="H149" i="333"/>
  <c r="H133" i="333"/>
  <c r="H132" i="333"/>
  <c r="H131" i="333"/>
  <c r="H129" i="333"/>
  <c r="H128" i="333"/>
  <c r="H127" i="333"/>
  <c r="H126" i="333"/>
  <c r="H125" i="333"/>
  <c r="H124" i="333"/>
  <c r="H123" i="333"/>
  <c r="H122" i="333"/>
  <c r="H121" i="333"/>
  <c r="H120" i="333"/>
  <c r="H119" i="333"/>
  <c r="H102" i="333"/>
  <c r="H101" i="333"/>
  <c r="H100" i="333"/>
  <c r="H98" i="333"/>
  <c r="H97" i="333"/>
  <c r="H96" i="333"/>
  <c r="H95" i="333"/>
  <c r="H94" i="333"/>
  <c r="H93" i="333"/>
  <c r="H92" i="333"/>
  <c r="H91" i="333"/>
  <c r="H90" i="333"/>
  <c r="H89" i="333"/>
  <c r="H88" i="333"/>
  <c r="H87" i="333"/>
  <c r="H86" i="333"/>
  <c r="H85" i="333"/>
  <c r="H84" i="333"/>
  <c r="H83" i="333"/>
  <c r="H82" i="333"/>
  <c r="H81" i="333"/>
  <c r="H80" i="333"/>
  <c r="H79" i="333"/>
  <c r="H78" i="333"/>
  <c r="H77" i="333"/>
  <c r="H73" i="333"/>
  <c r="H72" i="333"/>
  <c r="H71" i="333"/>
  <c r="H70" i="333"/>
  <c r="H52" i="333"/>
  <c r="H51" i="333"/>
  <c r="H50" i="333"/>
  <c r="H49" i="333"/>
  <c r="H48" i="333"/>
  <c r="H47" i="333"/>
  <c r="H46" i="333"/>
  <c r="H44" i="333"/>
  <c r="H43" i="333"/>
  <c r="H42" i="333"/>
  <c r="H41" i="333"/>
  <c r="H40" i="333"/>
  <c r="H39" i="333"/>
  <c r="H37" i="333"/>
  <c r="H36" i="333"/>
  <c r="H35" i="333"/>
  <c r="H34" i="333"/>
  <c r="H33" i="333"/>
  <c r="H32" i="333"/>
  <c r="H31" i="333"/>
  <c r="H30" i="333"/>
  <c r="H29" i="333"/>
  <c r="H28" i="333"/>
  <c r="H26" i="333"/>
  <c r="H25" i="333"/>
  <c r="H24" i="333"/>
  <c r="H23" i="333"/>
  <c r="H22" i="333"/>
  <c r="H21" i="333"/>
  <c r="H20" i="333"/>
  <c r="H19" i="333"/>
  <c r="H18" i="333"/>
  <c r="H16" i="333"/>
  <c r="H15" i="333"/>
  <c r="H14" i="333"/>
  <c r="H12" i="333"/>
  <c r="H11" i="333"/>
  <c r="H10" i="333"/>
  <c r="H9" i="333"/>
  <c r="H158" i="325"/>
  <c r="H155" i="325"/>
  <c r="H152" i="325"/>
  <c r="H144" i="325"/>
  <c r="H129" i="325"/>
  <c r="H119" i="325"/>
  <c r="H104" i="325"/>
  <c r="H100" i="325"/>
  <c r="H98" i="325"/>
  <c r="H97" i="325"/>
  <c r="H96" i="325"/>
  <c r="H95" i="325"/>
  <c r="H94" i="325"/>
  <c r="H93" i="325"/>
  <c r="H92" i="325"/>
  <c r="H91" i="325"/>
  <c r="H90" i="325"/>
  <c r="H89" i="325"/>
  <c r="H88" i="325"/>
  <c r="H87" i="325"/>
  <c r="H86" i="325"/>
  <c r="H85" i="325"/>
  <c r="H84" i="325"/>
  <c r="H83" i="325"/>
  <c r="H82" i="325"/>
  <c r="H81" i="325"/>
  <c r="H80" i="325"/>
  <c r="H79" i="325"/>
  <c r="H78" i="325"/>
  <c r="H77" i="325"/>
  <c r="H52" i="325"/>
  <c r="H51" i="325"/>
  <c r="H50" i="325"/>
  <c r="H49" i="325"/>
  <c r="H48" i="325"/>
  <c r="H47" i="325"/>
  <c r="H46" i="325"/>
  <c r="H44" i="325"/>
  <c r="H43" i="325"/>
  <c r="H42" i="325"/>
  <c r="H41" i="325"/>
  <c r="H40" i="325"/>
  <c r="H39" i="325"/>
  <c r="H37" i="325"/>
  <c r="H36" i="325"/>
  <c r="H35" i="325"/>
  <c r="H34" i="325"/>
  <c r="H33" i="325"/>
  <c r="H32" i="325"/>
  <c r="H31" i="325"/>
  <c r="H30" i="325"/>
  <c r="H29" i="325"/>
  <c r="H28" i="325"/>
  <c r="H26" i="325"/>
  <c r="H14" i="325"/>
  <c r="H12" i="325"/>
  <c r="H11" i="325"/>
  <c r="H10" i="325"/>
  <c r="H9" i="325"/>
  <c r="H119" i="326"/>
  <c r="H102" i="326"/>
  <c r="H79" i="326"/>
  <c r="H73" i="326"/>
  <c r="H41" i="326"/>
  <c r="H34" i="326"/>
  <c r="H21" i="326"/>
  <c r="H9" i="326"/>
  <c r="H158" i="242"/>
  <c r="H155" i="242"/>
  <c r="H152" i="242"/>
  <c r="H149" i="242"/>
  <c r="H119" i="242"/>
  <c r="H108" i="242"/>
  <c r="H101" i="242"/>
  <c r="H86" i="242"/>
  <c r="H85" i="242"/>
  <c r="H84" i="242"/>
  <c r="H83" i="242"/>
  <c r="H82" i="242"/>
  <c r="H51" i="242"/>
  <c r="H41" i="242"/>
  <c r="H35" i="242"/>
  <c r="H18" i="242"/>
  <c r="H9" i="242"/>
  <c r="H6" i="183"/>
  <c r="H7" i="183"/>
  <c r="H8" i="183"/>
  <c r="H9" i="183"/>
  <c r="H12" i="183"/>
  <c r="H13" i="183"/>
  <c r="H14" i="183"/>
  <c r="H15" i="183"/>
  <c r="H19" i="183"/>
  <c r="H20" i="183"/>
  <c r="H21" i="183"/>
  <c r="H22" i="183"/>
  <c r="H23" i="183"/>
  <c r="H24" i="183"/>
  <c r="H25" i="183"/>
  <c r="H26" i="183"/>
  <c r="H27" i="183"/>
  <c r="H28" i="183"/>
  <c r="H41" i="181"/>
  <c r="H40" i="181"/>
  <c r="H39" i="181"/>
  <c r="H35" i="181"/>
  <c r="H34" i="181"/>
  <c r="H33" i="181"/>
  <c r="H32" i="181"/>
  <c r="H31" i="181"/>
  <c r="H30" i="181"/>
  <c r="H29" i="181"/>
  <c r="H28" i="181"/>
  <c r="H27" i="181"/>
  <c r="H26" i="181"/>
  <c r="H25" i="181"/>
  <c r="H20" i="181"/>
  <c r="H19" i="181"/>
  <c r="H18" i="181"/>
  <c r="H17" i="181"/>
  <c r="H16" i="181"/>
  <c r="H15" i="181"/>
  <c r="H14" i="181"/>
  <c r="H13" i="181"/>
  <c r="H12" i="181"/>
  <c r="H11" i="181"/>
  <c r="H10" i="181"/>
  <c r="H9" i="181"/>
  <c r="H8" i="181"/>
  <c r="H7" i="181"/>
  <c r="H6" i="181"/>
  <c r="H98" i="318"/>
  <c r="H97" i="318"/>
  <c r="H96" i="318"/>
  <c r="H95" i="318"/>
  <c r="H94" i="318"/>
  <c r="H93" i="318"/>
  <c r="H92" i="318"/>
  <c r="H91" i="318"/>
  <c r="H90" i="318"/>
  <c r="H89" i="318"/>
  <c r="H88" i="318"/>
  <c r="H87" i="318"/>
  <c r="H66" i="318"/>
  <c r="H65" i="318"/>
  <c r="H64" i="318"/>
  <c r="H63" i="318"/>
  <c r="H62" i="318"/>
  <c r="H61" i="318"/>
  <c r="H60" i="318"/>
  <c r="H59" i="318"/>
  <c r="H58" i="318"/>
  <c r="H57" i="318"/>
  <c r="H56" i="318"/>
  <c r="H54" i="318"/>
  <c r="H71" i="268"/>
  <c r="K119" i="326" l="1"/>
  <c r="K73" i="326"/>
  <c r="K41" i="326"/>
  <c r="K34" i="326"/>
  <c r="K21" i="326"/>
  <c r="K9" i="326"/>
  <c r="K231" i="330" l="1"/>
  <c r="K226" i="330"/>
  <c r="K221" i="330"/>
  <c r="K214" i="330"/>
  <c r="K116" i="330"/>
  <c r="K158" i="325"/>
  <c r="K155" i="325"/>
  <c r="K152" i="325"/>
  <c r="K144" i="325"/>
  <c r="K129" i="325"/>
  <c r="K119" i="325"/>
  <c r="K104" i="325"/>
  <c r="K100" i="325"/>
  <c r="K98" i="325"/>
  <c r="K97" i="325"/>
  <c r="K96" i="325"/>
  <c r="K95" i="325"/>
  <c r="K94" i="325"/>
  <c r="K93" i="325"/>
  <c r="K92" i="325"/>
  <c r="K91" i="325"/>
  <c r="K90" i="325"/>
  <c r="K89" i="325"/>
  <c r="K88" i="325"/>
  <c r="K87" i="325"/>
  <c r="K86" i="325"/>
  <c r="K85" i="325"/>
  <c r="K84" i="325"/>
  <c r="K83" i="325"/>
  <c r="K82" i="325"/>
  <c r="K81" i="325"/>
  <c r="K52" i="325"/>
  <c r="K51" i="325"/>
  <c r="K50" i="325"/>
  <c r="K49" i="325"/>
  <c r="K41" i="325"/>
  <c r="K40" i="325"/>
  <c r="K39" i="325"/>
  <c r="K37" i="325"/>
  <c r="K36" i="325"/>
  <c r="K35" i="325"/>
  <c r="K34" i="325"/>
  <c r="K33" i="325"/>
  <c r="K32" i="325"/>
  <c r="K31" i="325"/>
  <c r="K30" i="325"/>
  <c r="K26" i="325"/>
  <c r="K14" i="325"/>
  <c r="K12" i="325"/>
  <c r="K11" i="325"/>
  <c r="K10" i="325"/>
  <c r="K9" i="325"/>
  <c r="K158" i="242"/>
  <c r="K155" i="242"/>
  <c r="K152" i="242"/>
  <c r="K149" i="242"/>
  <c r="K119" i="242"/>
  <c r="K108" i="242"/>
  <c r="K101" i="242"/>
  <c r="K87" i="242"/>
  <c r="K86" i="242"/>
  <c r="K85" i="242"/>
  <c r="K84" i="242"/>
  <c r="K83" i="242"/>
  <c r="K82" i="242"/>
  <c r="K51" i="242"/>
  <c r="K41" i="242"/>
  <c r="K35" i="242"/>
  <c r="K18" i="242"/>
  <c r="K9" i="242"/>
  <c r="K41" i="181"/>
  <c r="K40" i="181"/>
  <c r="K39" i="181"/>
  <c r="K34" i="181"/>
  <c r="K33" i="181"/>
  <c r="K32" i="181"/>
  <c r="K31" i="181"/>
  <c r="K30" i="181"/>
  <c r="K29" i="181"/>
  <c r="K28" i="181"/>
  <c r="K27" i="181"/>
  <c r="K26" i="181"/>
  <c r="K25" i="181"/>
  <c r="K20" i="181"/>
  <c r="K19" i="181"/>
  <c r="K18" i="181"/>
  <c r="K17" i="181"/>
  <c r="K16" i="181"/>
  <c r="K15" i="181"/>
  <c r="K14" i="181"/>
  <c r="K13" i="181"/>
  <c r="K12" i="181"/>
  <c r="K11" i="181"/>
  <c r="K10" i="181"/>
  <c r="K9" i="181"/>
  <c r="K8" i="181"/>
  <c r="K7" i="181"/>
  <c r="K6" i="181"/>
  <c r="K21" i="269" l="1"/>
  <c r="K28" i="269"/>
  <c r="K27" i="269"/>
  <c r="E20" i="270"/>
  <c r="K28" i="270"/>
  <c r="K26" i="270"/>
  <c r="K25" i="270"/>
  <c r="K24" i="270"/>
  <c r="K23" i="270"/>
  <c r="K22" i="270"/>
  <c r="K21" i="270"/>
  <c r="K8" i="270" l="1"/>
  <c r="H77" i="318" l="1"/>
  <c r="H76" i="318"/>
  <c r="H75" i="318"/>
  <c r="H74" i="318"/>
  <c r="H73" i="318"/>
  <c r="H72" i="318"/>
  <c r="H28" i="270"/>
  <c r="H21" i="270"/>
  <c r="H21" i="181" l="1"/>
  <c r="E209" i="324" l="1"/>
  <c r="E8" i="270" l="1"/>
  <c r="E198" i="324" l="1"/>
  <c r="F198" i="324"/>
  <c r="G198" i="324"/>
  <c r="E275" i="324"/>
  <c r="E35" i="269"/>
  <c r="E8" i="269"/>
  <c r="E41" i="270"/>
  <c r="H128" i="325" l="1"/>
  <c r="H127" i="325"/>
  <c r="H126" i="325"/>
  <c r="H125" i="325"/>
  <c r="H124" i="325"/>
  <c r="H123" i="325"/>
  <c r="H122" i="325"/>
  <c r="H121" i="325"/>
  <c r="H120" i="325"/>
  <c r="H146" i="242"/>
  <c r="H102" i="242"/>
  <c r="H100" i="242"/>
  <c r="H98" i="242"/>
  <c r="H97" i="242"/>
  <c r="H96" i="242"/>
  <c r="H95" i="242"/>
  <c r="H94" i="242"/>
  <c r="H93" i="242"/>
  <c r="H92" i="242"/>
  <c r="H91" i="242"/>
  <c r="H90" i="242"/>
  <c r="H89" i="242"/>
  <c r="H88" i="242"/>
  <c r="H87" i="242"/>
  <c r="H81" i="242"/>
  <c r="H80" i="242"/>
  <c r="H79" i="242"/>
  <c r="H78" i="242"/>
  <c r="H77" i="242"/>
  <c r="H52" i="242"/>
  <c r="H50" i="242"/>
  <c r="H49" i="242"/>
  <c r="H48" i="242"/>
  <c r="H47" i="242"/>
  <c r="H46" i="242"/>
  <c r="H44" i="242"/>
  <c r="H43" i="242"/>
  <c r="H42" i="242"/>
  <c r="H40" i="242"/>
  <c r="H39" i="242"/>
  <c r="H36" i="242"/>
  <c r="H34" i="242"/>
  <c r="H33" i="242"/>
  <c r="H32" i="242"/>
  <c r="H31" i="242"/>
  <c r="H30" i="242"/>
  <c r="H82" i="318"/>
  <c r="H81" i="318"/>
  <c r="H80" i="318"/>
  <c r="H79" i="318"/>
  <c r="H78" i="318"/>
  <c r="G28" i="323"/>
  <c r="H118" i="330"/>
  <c r="H99" i="330"/>
  <c r="H20" i="270" l="1"/>
  <c r="I16" i="269" l="1"/>
  <c r="J16" i="269" s="1"/>
  <c r="I17" i="269"/>
  <c r="J17" i="269" s="1"/>
  <c r="I18" i="269"/>
  <c r="J18" i="269" s="1"/>
  <c r="I19" i="269"/>
  <c r="J19" i="269" s="1"/>
  <c r="I48" i="270"/>
  <c r="J48" i="270" s="1"/>
  <c r="I47" i="270"/>
  <c r="J47" i="270" s="1"/>
  <c r="I45" i="270"/>
  <c r="J45" i="270" s="1"/>
  <c r="I44" i="270"/>
  <c r="J44" i="270" s="1"/>
  <c r="I43" i="270"/>
  <c r="J43" i="270" s="1"/>
  <c r="I42" i="270"/>
  <c r="J42" i="270" s="1"/>
  <c r="I21" i="270"/>
  <c r="J21" i="270" s="1"/>
  <c r="I19" i="270"/>
  <c r="J19" i="270" s="1"/>
  <c r="I18" i="270"/>
  <c r="J18" i="270" s="1"/>
  <c r="I17" i="270"/>
  <c r="J17" i="270" s="1"/>
  <c r="I16" i="270"/>
  <c r="J16" i="270" s="1"/>
  <c r="I15" i="270"/>
  <c r="J15" i="270" s="1"/>
  <c r="I14" i="270"/>
  <c r="J14" i="270" s="1"/>
  <c r="I13" i="270"/>
  <c r="J13" i="270" s="1"/>
  <c r="I12" i="270"/>
  <c r="J12" i="270" s="1"/>
  <c r="I11" i="270"/>
  <c r="J11" i="270" s="1"/>
  <c r="I10" i="270"/>
  <c r="J10" i="270" s="1"/>
  <c r="I46" i="270" l="1"/>
  <c r="J46" i="270" s="1"/>
  <c r="F8" i="269" l="1"/>
  <c r="H44" i="326" l="1"/>
  <c r="H43" i="326"/>
  <c r="H42" i="326"/>
  <c r="H40" i="326"/>
  <c r="H39" i="326"/>
  <c r="H37" i="326"/>
  <c r="H36" i="326"/>
  <c r="H35" i="326"/>
  <c r="H33" i="326"/>
  <c r="H32" i="326"/>
  <c r="H31" i="326"/>
  <c r="H30" i="326"/>
  <c r="H29" i="326"/>
  <c r="H28" i="326"/>
  <c r="H26" i="326"/>
  <c r="H25" i="326"/>
  <c r="H24" i="326"/>
  <c r="H23" i="326"/>
  <c r="H22" i="326"/>
  <c r="H20" i="326"/>
  <c r="H19" i="326"/>
  <c r="H18" i="326"/>
  <c r="H129" i="242"/>
  <c r="H128" i="242"/>
  <c r="H127" i="242"/>
  <c r="H126" i="242"/>
  <c r="H125" i="242"/>
  <c r="H124" i="242"/>
  <c r="H123" i="242"/>
  <c r="H122" i="242"/>
  <c r="H121" i="242"/>
  <c r="H120" i="242"/>
  <c r="H107" i="242"/>
  <c r="H106" i="242"/>
  <c r="H105" i="242"/>
  <c r="H104" i="242"/>
  <c r="H37" i="242"/>
  <c r="H29" i="242"/>
  <c r="H28" i="242"/>
  <c r="H26" i="242"/>
  <c r="H25" i="242"/>
  <c r="H24" i="242"/>
  <c r="H23" i="242"/>
  <c r="H22" i="242"/>
  <c r="H21" i="242"/>
  <c r="H20" i="242"/>
  <c r="H19" i="242"/>
  <c r="H8" i="269" l="1"/>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0" i="333"/>
  <c r="F11" i="333"/>
  <c r="F12" i="333"/>
  <c r="F9"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E13"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J164" i="335"/>
  <c r="I164" i="335"/>
  <c r="K163" i="335"/>
  <c r="H163" i="335"/>
  <c r="I163" i="335" s="1"/>
  <c r="J163" i="335" s="1"/>
  <c r="G163" i="335"/>
  <c r="F163" i="335"/>
  <c r="E163" i="335"/>
  <c r="D163" i="335"/>
  <c r="C163" i="335"/>
  <c r="I161" i="335"/>
  <c r="J161" i="335" s="1"/>
  <c r="K160" i="335"/>
  <c r="H160" i="335"/>
  <c r="I160" i="335" s="1"/>
  <c r="J160" i="335" s="1"/>
  <c r="G160" i="335"/>
  <c r="F160" i="335"/>
  <c r="E160" i="335"/>
  <c r="D160" i="335"/>
  <c r="C160" i="335"/>
  <c r="I158" i="335"/>
  <c r="J158" i="335" s="1"/>
  <c r="K157" i="335"/>
  <c r="H157" i="335"/>
  <c r="G157" i="335"/>
  <c r="I157" i="335" s="1"/>
  <c r="J157" i="335" s="1"/>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J142" i="335"/>
  <c r="I142" i="335"/>
  <c r="K141" i="335"/>
  <c r="I141" i="335"/>
  <c r="J141" i="335" s="1"/>
  <c r="H140" i="335"/>
  <c r="I140" i="335" s="1"/>
  <c r="J140" i="335" s="1"/>
  <c r="G140" i="335"/>
  <c r="F140" i="335"/>
  <c r="F138" i="335" s="1"/>
  <c r="E140" i="335"/>
  <c r="D140" i="335"/>
  <c r="D138" i="335" s="1"/>
  <c r="C140" i="335"/>
  <c r="C138" i="335" s="1"/>
  <c r="I139" i="335"/>
  <c r="J139" i="335" s="1"/>
  <c r="G138" i="335"/>
  <c r="E138" i="335"/>
  <c r="J137" i="335"/>
  <c r="I136" i="335"/>
  <c r="J136" i="335" s="1"/>
  <c r="K135" i="335"/>
  <c r="H135" i="335"/>
  <c r="G135" i="335"/>
  <c r="I135" i="335" s="1"/>
  <c r="J135" i="335" s="1"/>
  <c r="F135" i="335"/>
  <c r="E135" i="335"/>
  <c r="D135" i="335"/>
  <c r="C135" i="335"/>
  <c r="J134" i="335"/>
  <c r="I133" i="335"/>
  <c r="J133" i="335" s="1"/>
  <c r="I132" i="335"/>
  <c r="J132" i="335" s="1"/>
  <c r="I131" i="335"/>
  <c r="J131" i="335" s="1"/>
  <c r="K130" i="335"/>
  <c r="H130" i="335"/>
  <c r="G130" i="335"/>
  <c r="F130" i="335"/>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H121" i="335"/>
  <c r="K120" i="335"/>
  <c r="H120" i="335"/>
  <c r="I120" i="335" s="1"/>
  <c r="J120" i="335" s="1"/>
  <c r="I119" i="335"/>
  <c r="J119" i="335" s="1"/>
  <c r="K118" i="335"/>
  <c r="K117" i="335" s="1"/>
  <c r="G118" i="335"/>
  <c r="F118" i="335"/>
  <c r="E118" i="335"/>
  <c r="D118" i="335"/>
  <c r="D117" i="335" s="1"/>
  <c r="C118" i="335"/>
  <c r="F117" i="335"/>
  <c r="J116" i="335"/>
  <c r="I116" i="335"/>
  <c r="I115" i="335"/>
  <c r="J115" i="335" s="1"/>
  <c r="K114" i="335"/>
  <c r="H114" i="335"/>
  <c r="G114" i="335"/>
  <c r="F114" i="335"/>
  <c r="E114" i="335"/>
  <c r="D114" i="335"/>
  <c r="C114" i="335"/>
  <c r="I113" i="335"/>
  <c r="J113" i="335" s="1"/>
  <c r="I112" i="335"/>
  <c r="J112" i="335" s="1"/>
  <c r="K111" i="335"/>
  <c r="K110" i="335" s="1"/>
  <c r="H111" i="335"/>
  <c r="G111" i="335"/>
  <c r="F111" i="335"/>
  <c r="F110" i="335" s="1"/>
  <c r="E111" i="335"/>
  <c r="E110" i="335" s="1"/>
  <c r="D111" i="335"/>
  <c r="C111" i="335"/>
  <c r="G110" i="335"/>
  <c r="C110" i="335"/>
  <c r="I109" i="335"/>
  <c r="J109" i="335" s="1"/>
  <c r="I108" i="335"/>
  <c r="J108" i="335" s="1"/>
  <c r="H108" i="335"/>
  <c r="H107" i="335"/>
  <c r="I107" i="335" s="1"/>
  <c r="J107" i="335" s="1"/>
  <c r="I106" i="335"/>
  <c r="J106" i="335" s="1"/>
  <c r="H106" i="335"/>
  <c r="H105" i="335"/>
  <c r="I105" i="335" s="1"/>
  <c r="J105" i="335" s="1"/>
  <c r="H104" i="335"/>
  <c r="I104" i="335" s="1"/>
  <c r="J104" i="335" s="1"/>
  <c r="K103" i="335"/>
  <c r="G103" i="335"/>
  <c r="F103" i="335"/>
  <c r="E103" i="335"/>
  <c r="D103" i="335"/>
  <c r="C103" i="335"/>
  <c r="K102" i="335"/>
  <c r="H102" i="335"/>
  <c r="I102" i="335" s="1"/>
  <c r="J102" i="335" s="1"/>
  <c r="I101" i="335"/>
  <c r="J101" i="335" s="1"/>
  <c r="K100" i="335"/>
  <c r="H100" i="335"/>
  <c r="I100" i="335" s="1"/>
  <c r="J100" i="335" s="1"/>
  <c r="K99" i="335"/>
  <c r="H99" i="335"/>
  <c r="I99" i="335" s="1"/>
  <c r="J99" i="335" s="1"/>
  <c r="G99" i="335"/>
  <c r="F99" i="335"/>
  <c r="E99" i="335"/>
  <c r="D99" i="335"/>
  <c r="C99" i="335"/>
  <c r="K98" i="335"/>
  <c r="H98" i="335"/>
  <c r="I98" i="335" s="1"/>
  <c r="J98" i="335" s="1"/>
  <c r="K97" i="335"/>
  <c r="H97" i="335"/>
  <c r="I97" i="335" s="1"/>
  <c r="J97" i="335" s="1"/>
  <c r="K96" i="335"/>
  <c r="H96" i="335"/>
  <c r="I96" i="335" s="1"/>
  <c r="J96" i="335" s="1"/>
  <c r="K95" i="335"/>
  <c r="I95" i="335"/>
  <c r="J95" i="335" s="1"/>
  <c r="H95" i="335"/>
  <c r="K94" i="335"/>
  <c r="I94" i="335"/>
  <c r="J94" i="335" s="1"/>
  <c r="H94" i="335"/>
  <c r="K93" i="335"/>
  <c r="H93" i="335"/>
  <c r="I93" i="335" s="1"/>
  <c r="J93" i="335" s="1"/>
  <c r="K92" i="335"/>
  <c r="H92" i="335"/>
  <c r="I92" i="335" s="1"/>
  <c r="J92" i="335" s="1"/>
  <c r="K91" i="335"/>
  <c r="I91" i="335"/>
  <c r="J91" i="335" s="1"/>
  <c r="H91" i="335"/>
  <c r="K90" i="335"/>
  <c r="H90" i="335"/>
  <c r="I90" i="335" s="1"/>
  <c r="J90" i="335" s="1"/>
  <c r="K89" i="335"/>
  <c r="H89" i="335"/>
  <c r="I89" i="335" s="1"/>
  <c r="J89" i="335" s="1"/>
  <c r="K88" i="335"/>
  <c r="H88" i="335"/>
  <c r="I88" i="335" s="1"/>
  <c r="J88" i="335" s="1"/>
  <c r="K87" i="335"/>
  <c r="I87" i="335"/>
  <c r="J87" i="335" s="1"/>
  <c r="H87" i="335"/>
  <c r="K86" i="335"/>
  <c r="H86" i="335"/>
  <c r="I86" i="335" s="1"/>
  <c r="J86" i="335" s="1"/>
  <c r="K85" i="335"/>
  <c r="H85" i="335"/>
  <c r="I85" i="335" s="1"/>
  <c r="J85" i="335" s="1"/>
  <c r="K84" i="335"/>
  <c r="H84" i="335"/>
  <c r="I84" i="335" s="1"/>
  <c r="J84" i="335" s="1"/>
  <c r="K83" i="335"/>
  <c r="I83" i="335"/>
  <c r="J83" i="335" s="1"/>
  <c r="H83" i="335"/>
  <c r="K82" i="335"/>
  <c r="H82" i="335"/>
  <c r="I82" i="335" s="1"/>
  <c r="J82" i="335" s="1"/>
  <c r="K81" i="335"/>
  <c r="H81" i="335"/>
  <c r="I81" i="335" s="1"/>
  <c r="J81" i="335" s="1"/>
  <c r="K80" i="335"/>
  <c r="H80" i="335"/>
  <c r="I80" i="335" s="1"/>
  <c r="J80" i="335" s="1"/>
  <c r="K79" i="335"/>
  <c r="I79" i="335"/>
  <c r="J79" i="335" s="1"/>
  <c r="H79" i="335"/>
  <c r="K78" i="335"/>
  <c r="H78" i="335"/>
  <c r="I77" i="335"/>
  <c r="J77" i="335" s="1"/>
  <c r="G76" i="335"/>
  <c r="F76" i="335"/>
  <c r="E76" i="335"/>
  <c r="D76" i="335"/>
  <c r="C76" i="335"/>
  <c r="C75" i="335" s="1"/>
  <c r="J74" i="335"/>
  <c r="I73" i="335"/>
  <c r="J73" i="335" s="1"/>
  <c r="I72" i="335"/>
  <c r="J72" i="335" s="1"/>
  <c r="I71" i="335"/>
  <c r="J71" i="335" s="1"/>
  <c r="I70" i="335"/>
  <c r="J70" i="335" s="1"/>
  <c r="K69" i="335"/>
  <c r="H69" i="335"/>
  <c r="G69" i="335"/>
  <c r="F69" i="335"/>
  <c r="E69" i="335"/>
  <c r="D69" i="335"/>
  <c r="C69" i="335"/>
  <c r="J68" i="335"/>
  <c r="I68" i="335"/>
  <c r="I67" i="335"/>
  <c r="J67" i="335" s="1"/>
  <c r="J66" i="335"/>
  <c r="I66" i="335"/>
  <c r="I65" i="335"/>
  <c r="J65" i="335" s="1"/>
  <c r="J64" i="335"/>
  <c r="I64" i="335"/>
  <c r="K63" i="335"/>
  <c r="I63" i="335"/>
  <c r="J63" i="335" s="1"/>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I51" i="335"/>
  <c r="J51" i="335" s="1"/>
  <c r="H51" i="335"/>
  <c r="I50" i="335"/>
  <c r="J50" i="335" s="1"/>
  <c r="H49" i="335"/>
  <c r="I49" i="335" s="1"/>
  <c r="J49" i="335" s="1"/>
  <c r="I48" i="335"/>
  <c r="J48" i="335" s="1"/>
  <c r="H48" i="335"/>
  <c r="H47" i="335"/>
  <c r="I47" i="335" s="1"/>
  <c r="J47" i="335" s="1"/>
  <c r="I46" i="335"/>
  <c r="J46" i="335" s="1"/>
  <c r="H46" i="335"/>
  <c r="K45" i="335"/>
  <c r="G45" i="335"/>
  <c r="F45" i="335"/>
  <c r="E45" i="335"/>
  <c r="D45" i="335"/>
  <c r="C45" i="335"/>
  <c r="I44" i="335"/>
  <c r="J44" i="335" s="1"/>
  <c r="H44" i="335"/>
  <c r="H43" i="335"/>
  <c r="I43" i="335" s="1"/>
  <c r="J43" i="335" s="1"/>
  <c r="H42" i="335"/>
  <c r="I42" i="335" s="1"/>
  <c r="J42" i="335" s="1"/>
  <c r="H41" i="335"/>
  <c r="I41" i="335" s="1"/>
  <c r="J41" i="335" s="1"/>
  <c r="H40" i="335"/>
  <c r="I40" i="335" s="1"/>
  <c r="J40" i="335" s="1"/>
  <c r="H39" i="335"/>
  <c r="I39" i="335" s="1"/>
  <c r="J39" i="335" s="1"/>
  <c r="K38" i="335"/>
  <c r="G38" i="335"/>
  <c r="F38" i="335"/>
  <c r="E38" i="335"/>
  <c r="D38" i="335"/>
  <c r="C38" i="335"/>
  <c r="H37" i="335"/>
  <c r="I37" i="335" s="1"/>
  <c r="J37" i="335" s="1"/>
  <c r="I36" i="335"/>
  <c r="J36" i="335" s="1"/>
  <c r="H36" i="335"/>
  <c r="I35" i="335"/>
  <c r="J35" i="335" s="1"/>
  <c r="H34" i="335"/>
  <c r="I34" i="335" s="1"/>
  <c r="J34" i="335" s="1"/>
  <c r="H33" i="335"/>
  <c r="I33" i="335" s="1"/>
  <c r="J33" i="335" s="1"/>
  <c r="H32" i="335"/>
  <c r="I32" i="335" s="1"/>
  <c r="J32" i="335" s="1"/>
  <c r="H31" i="335"/>
  <c r="I31" i="335" s="1"/>
  <c r="J31" i="335" s="1"/>
  <c r="I30" i="335"/>
  <c r="J30" i="335" s="1"/>
  <c r="H30" i="335"/>
  <c r="H29" i="335"/>
  <c r="I29" i="335" s="1"/>
  <c r="J29" i="335" s="1"/>
  <c r="I28" i="335"/>
  <c r="J28" i="335" s="1"/>
  <c r="H28" i="335"/>
  <c r="K27" i="335"/>
  <c r="G27" i="335"/>
  <c r="F27" i="335"/>
  <c r="E27" i="335"/>
  <c r="D27" i="335"/>
  <c r="C27" i="335"/>
  <c r="H26" i="335"/>
  <c r="I26" i="335" s="1"/>
  <c r="J26" i="335" s="1"/>
  <c r="H25" i="335"/>
  <c r="I25" i="335" s="1"/>
  <c r="J25" i="335" s="1"/>
  <c r="H24" i="335"/>
  <c r="I24" i="335" s="1"/>
  <c r="J24" i="335" s="1"/>
  <c r="I23" i="335"/>
  <c r="J23" i="335" s="1"/>
  <c r="H23" i="335"/>
  <c r="H22" i="335"/>
  <c r="I22" i="335" s="1"/>
  <c r="J22" i="335" s="1"/>
  <c r="I21" i="335"/>
  <c r="J21" i="335" s="1"/>
  <c r="H21" i="335"/>
  <c r="H20" i="335"/>
  <c r="I20" i="335" s="1"/>
  <c r="J20" i="335" s="1"/>
  <c r="H19" i="335"/>
  <c r="I19" i="335" s="1"/>
  <c r="J19" i="335" s="1"/>
  <c r="K18" i="335"/>
  <c r="K17" i="335" s="1"/>
  <c r="I18" i="335"/>
  <c r="J18" i="335" s="1"/>
  <c r="G17" i="335"/>
  <c r="F17" i="335"/>
  <c r="E17" i="335"/>
  <c r="D17" i="335"/>
  <c r="C17" i="335"/>
  <c r="I16" i="335"/>
  <c r="J16" i="335" s="1"/>
  <c r="I15" i="335"/>
  <c r="J15" i="335" s="1"/>
  <c r="I14" i="335"/>
  <c r="J14" i="335" s="1"/>
  <c r="K13" i="335"/>
  <c r="H13" i="335"/>
  <c r="I13" i="335" s="1"/>
  <c r="J13" i="335" s="1"/>
  <c r="G13" i="335"/>
  <c r="F13" i="335"/>
  <c r="E13" i="335"/>
  <c r="D13" i="335"/>
  <c r="C13" i="335"/>
  <c r="H12" i="335"/>
  <c r="I12" i="335" s="1"/>
  <c r="J12" i="335" s="1"/>
  <c r="H11" i="335"/>
  <c r="I11" i="335" s="1"/>
  <c r="J11" i="335" s="1"/>
  <c r="I10" i="335"/>
  <c r="J10" i="335" s="1"/>
  <c r="H10" i="335"/>
  <c r="K8" i="335"/>
  <c r="I9" i="335"/>
  <c r="J9" i="335" s="1"/>
  <c r="G8" i="335"/>
  <c r="F8" i="335"/>
  <c r="E8" i="335"/>
  <c r="D8" i="335"/>
  <c r="C8" i="335"/>
  <c r="C7" i="335" s="1"/>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I160" i="333"/>
  <c r="J160" i="333" s="1"/>
  <c r="H160" i="333"/>
  <c r="G160" i="333"/>
  <c r="F160" i="333"/>
  <c r="E160" i="333"/>
  <c r="D160" i="333"/>
  <c r="C160" i="333"/>
  <c r="K158" i="333"/>
  <c r="K157" i="333" s="1"/>
  <c r="G158" i="333"/>
  <c r="I158" i="333" s="1"/>
  <c r="J158" i="333" s="1"/>
  <c r="H157" i="333"/>
  <c r="F157" i="333"/>
  <c r="E157" i="333"/>
  <c r="D157" i="333"/>
  <c r="C157" i="333"/>
  <c r="K155" i="333"/>
  <c r="K154" i="333" s="1"/>
  <c r="G155" i="333"/>
  <c r="I155" i="333" s="1"/>
  <c r="J155" i="333" s="1"/>
  <c r="H154" i="333"/>
  <c r="F154" i="333"/>
  <c r="E154" i="333"/>
  <c r="D154" i="333"/>
  <c r="C154" i="333"/>
  <c r="J153" i="333"/>
  <c r="K152" i="333"/>
  <c r="K151" i="333" s="1"/>
  <c r="G152" i="333"/>
  <c r="I152" i="333" s="1"/>
  <c r="J152" i="333" s="1"/>
  <c r="H151" i="333"/>
  <c r="F151" i="333"/>
  <c r="E151" i="333"/>
  <c r="D151" i="333"/>
  <c r="C151" i="333"/>
  <c r="K149" i="333"/>
  <c r="K148" i="333" s="1"/>
  <c r="G149" i="333"/>
  <c r="G148" i="333" s="1"/>
  <c r="H148" i="333"/>
  <c r="F148" i="333"/>
  <c r="E148" i="333"/>
  <c r="D148" i="333"/>
  <c r="C148" i="333"/>
  <c r="I146" i="333"/>
  <c r="J146" i="333" s="1"/>
  <c r="J145" i="333"/>
  <c r="I145" i="333"/>
  <c r="I144" i="333"/>
  <c r="J144" i="333" s="1"/>
  <c r="J143" i="333"/>
  <c r="I143" i="333"/>
  <c r="I142" i="333"/>
  <c r="J142" i="333" s="1"/>
  <c r="J141" i="333"/>
  <c r="I141" i="333"/>
  <c r="K140" i="333"/>
  <c r="K138" i="333" s="1"/>
  <c r="H140" i="333"/>
  <c r="H138" i="333" s="1"/>
  <c r="G140" i="333"/>
  <c r="I140" i="333" s="1"/>
  <c r="J140" i="333" s="1"/>
  <c r="F140" i="333"/>
  <c r="E140" i="333"/>
  <c r="E138" i="333" s="1"/>
  <c r="D140" i="333"/>
  <c r="C140" i="333"/>
  <c r="C138" i="333" s="1"/>
  <c r="I139" i="333"/>
  <c r="J139" i="333" s="1"/>
  <c r="F138" i="333"/>
  <c r="D138" i="333"/>
  <c r="J137" i="333"/>
  <c r="I136" i="333"/>
  <c r="J136" i="333" s="1"/>
  <c r="K135" i="333"/>
  <c r="H135" i="333"/>
  <c r="I135" i="333" s="1"/>
  <c r="J135" i="333" s="1"/>
  <c r="G135" i="333"/>
  <c r="F135" i="333"/>
  <c r="E135" i="333"/>
  <c r="D135" i="333"/>
  <c r="C135" i="333"/>
  <c r="J134" i="333"/>
  <c r="K133" i="333"/>
  <c r="G133" i="333"/>
  <c r="I133" i="333" s="1"/>
  <c r="J133" i="333" s="1"/>
  <c r="K132" i="333"/>
  <c r="G132" i="333"/>
  <c r="I132" i="333" s="1"/>
  <c r="J132" i="333" s="1"/>
  <c r="K131" i="333"/>
  <c r="K130" i="333" s="1"/>
  <c r="G131" i="333"/>
  <c r="I131" i="333" s="1"/>
  <c r="J131" i="333" s="1"/>
  <c r="H130" i="333"/>
  <c r="F130" i="333"/>
  <c r="E130" i="333"/>
  <c r="D130" i="333"/>
  <c r="C130" i="333"/>
  <c r="K129" i="333"/>
  <c r="G129" i="333"/>
  <c r="I129" i="333" s="1"/>
  <c r="J129" i="333" s="1"/>
  <c r="K128" i="333"/>
  <c r="G128" i="333"/>
  <c r="I128" i="333" s="1"/>
  <c r="J128" i="333" s="1"/>
  <c r="K127" i="333"/>
  <c r="G127" i="333"/>
  <c r="I127" i="333" s="1"/>
  <c r="J127" i="333" s="1"/>
  <c r="K126" i="333"/>
  <c r="G126" i="333"/>
  <c r="I126" i="333" s="1"/>
  <c r="J126" i="333" s="1"/>
  <c r="K125" i="333"/>
  <c r="G125" i="333"/>
  <c r="I125" i="333" s="1"/>
  <c r="J125" i="333" s="1"/>
  <c r="K124" i="333"/>
  <c r="G124" i="333"/>
  <c r="I124" i="333" s="1"/>
  <c r="J124" i="333" s="1"/>
  <c r="K123" i="333"/>
  <c r="G123" i="333"/>
  <c r="I123" i="333" s="1"/>
  <c r="J123" i="333" s="1"/>
  <c r="K122" i="333"/>
  <c r="G122" i="333"/>
  <c r="I122" i="333" s="1"/>
  <c r="J122" i="333" s="1"/>
  <c r="K121" i="333"/>
  <c r="G121" i="333"/>
  <c r="I121" i="333" s="1"/>
  <c r="J121" i="333" s="1"/>
  <c r="K120" i="333"/>
  <c r="G120" i="333"/>
  <c r="I120" i="333" s="1"/>
  <c r="J120" i="333" s="1"/>
  <c r="K119" i="333"/>
  <c r="G119" i="333"/>
  <c r="I119" i="333" s="1"/>
  <c r="J119" i="333" s="1"/>
  <c r="K118" i="333"/>
  <c r="H118" i="333"/>
  <c r="F118" i="333"/>
  <c r="E118" i="333"/>
  <c r="E117" i="333" s="1"/>
  <c r="D118" i="333"/>
  <c r="D117" i="333" s="1"/>
  <c r="C118" i="333"/>
  <c r="C117" i="333" s="1"/>
  <c r="I116" i="333"/>
  <c r="J116" i="333" s="1"/>
  <c r="I115" i="333"/>
  <c r="J115" i="333" s="1"/>
  <c r="K114" i="333"/>
  <c r="H114" i="333"/>
  <c r="G114" i="333"/>
  <c r="F114" i="333"/>
  <c r="E114" i="333"/>
  <c r="D114" i="333"/>
  <c r="C114" i="333"/>
  <c r="I113" i="333"/>
  <c r="J113" i="333" s="1"/>
  <c r="I112" i="333"/>
  <c r="J112" i="333" s="1"/>
  <c r="K111" i="333"/>
  <c r="K110" i="333" s="1"/>
  <c r="H111" i="333"/>
  <c r="G111" i="333"/>
  <c r="G110" i="333" s="1"/>
  <c r="F111" i="333"/>
  <c r="E111" i="333"/>
  <c r="E110" i="333" s="1"/>
  <c r="D111" i="333"/>
  <c r="C111" i="333"/>
  <c r="C110"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G101" i="333"/>
  <c r="I101" i="333" s="1"/>
  <c r="J101" i="333" s="1"/>
  <c r="K100" i="333"/>
  <c r="G100" i="333"/>
  <c r="I100" i="333" s="1"/>
  <c r="J100" i="333" s="1"/>
  <c r="K99" i="333"/>
  <c r="H99" i="333"/>
  <c r="F99" i="333"/>
  <c r="E99" i="333"/>
  <c r="D99" i="333"/>
  <c r="C99" i="333"/>
  <c r="C75" i="333" s="1"/>
  <c r="K98" i="333"/>
  <c r="G98" i="333"/>
  <c r="I98" i="333" s="1"/>
  <c r="J98" i="333" s="1"/>
  <c r="K97" i="333"/>
  <c r="G97" i="333"/>
  <c r="I97" i="333" s="1"/>
  <c r="J97" i="333" s="1"/>
  <c r="K96" i="333"/>
  <c r="G96" i="333"/>
  <c r="I96" i="333" s="1"/>
  <c r="J96" i="333" s="1"/>
  <c r="K95" i="333"/>
  <c r="G95" i="333"/>
  <c r="I95" i="333" s="1"/>
  <c r="J95" i="333" s="1"/>
  <c r="K94" i="333"/>
  <c r="G94" i="333"/>
  <c r="I94" i="333" s="1"/>
  <c r="J94" i="333" s="1"/>
  <c r="K93" i="333"/>
  <c r="G93" i="333"/>
  <c r="I93" i="333" s="1"/>
  <c r="J93" i="333" s="1"/>
  <c r="K92" i="333"/>
  <c r="G92" i="333"/>
  <c r="I92" i="333" s="1"/>
  <c r="J92" i="333" s="1"/>
  <c r="K91" i="333"/>
  <c r="G91" i="333"/>
  <c r="I91" i="333" s="1"/>
  <c r="J91" i="333" s="1"/>
  <c r="K90" i="333"/>
  <c r="G90" i="333"/>
  <c r="I90" i="333" s="1"/>
  <c r="J90" i="333" s="1"/>
  <c r="K89" i="333"/>
  <c r="G89" i="333"/>
  <c r="I89" i="333" s="1"/>
  <c r="J89" i="333" s="1"/>
  <c r="K88" i="333"/>
  <c r="G88" i="333"/>
  <c r="I88" i="333" s="1"/>
  <c r="J88" i="333" s="1"/>
  <c r="K87" i="333"/>
  <c r="G87" i="333"/>
  <c r="I87" i="333" s="1"/>
  <c r="J87" i="333" s="1"/>
  <c r="K86" i="333"/>
  <c r="G86" i="333"/>
  <c r="I86" i="333" s="1"/>
  <c r="J86" i="333" s="1"/>
  <c r="K85" i="333"/>
  <c r="G85" i="333"/>
  <c r="I85" i="333" s="1"/>
  <c r="J85" i="333" s="1"/>
  <c r="K84" i="333"/>
  <c r="G84" i="333"/>
  <c r="I84" i="333" s="1"/>
  <c r="J84" i="333" s="1"/>
  <c r="K83" i="333"/>
  <c r="G83" i="333"/>
  <c r="I83" i="333" s="1"/>
  <c r="J83" i="333" s="1"/>
  <c r="K82" i="333"/>
  <c r="G82" i="333"/>
  <c r="I82" i="333" s="1"/>
  <c r="J82" i="333" s="1"/>
  <c r="K81" i="333"/>
  <c r="G81" i="333"/>
  <c r="I81" i="333" s="1"/>
  <c r="J81" i="333" s="1"/>
  <c r="K80" i="333"/>
  <c r="G80" i="333"/>
  <c r="I80" i="333" s="1"/>
  <c r="J80" i="333" s="1"/>
  <c r="K79" i="333"/>
  <c r="G79" i="333"/>
  <c r="I79" i="333" s="1"/>
  <c r="J79" i="333" s="1"/>
  <c r="K78" i="333"/>
  <c r="G78" i="333"/>
  <c r="I78" i="333" s="1"/>
  <c r="J78" i="333" s="1"/>
  <c r="K77" i="333"/>
  <c r="K76" i="333" s="1"/>
  <c r="K75" i="333" s="1"/>
  <c r="G77" i="333"/>
  <c r="I77" i="333" s="1"/>
  <c r="J77" i="333" s="1"/>
  <c r="H76" i="333"/>
  <c r="F76" i="333"/>
  <c r="E76" i="333"/>
  <c r="D76" i="333"/>
  <c r="C76" i="333"/>
  <c r="J74" i="333"/>
  <c r="K73" i="333"/>
  <c r="G73" i="333"/>
  <c r="I73" i="333" s="1"/>
  <c r="J73" i="333" s="1"/>
  <c r="K72" i="333"/>
  <c r="G72" i="333"/>
  <c r="I72" i="333" s="1"/>
  <c r="J72" i="333" s="1"/>
  <c r="K71" i="333"/>
  <c r="G71" i="333"/>
  <c r="I71" i="333" s="1"/>
  <c r="J71" i="333" s="1"/>
  <c r="K70" i="333"/>
  <c r="K69" i="333" s="1"/>
  <c r="G70" i="333"/>
  <c r="I70" i="333" s="1"/>
  <c r="J70" i="333" s="1"/>
  <c r="H69" i="333"/>
  <c r="F69" i="333"/>
  <c r="E69" i="333"/>
  <c r="D69" i="333"/>
  <c r="C69" i="333"/>
  <c r="I68" i="333"/>
  <c r="J68" i="333" s="1"/>
  <c r="J67" i="333"/>
  <c r="I67" i="333"/>
  <c r="I66" i="333"/>
  <c r="J66" i="333" s="1"/>
  <c r="J65" i="333"/>
  <c r="I65" i="333"/>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I53" i="333" s="1"/>
  <c r="J53" i="333" s="1"/>
  <c r="G53" i="333"/>
  <c r="F53" i="333"/>
  <c r="E53" i="333"/>
  <c r="D53" i="333"/>
  <c r="C53" i="333"/>
  <c r="K52" i="333"/>
  <c r="G52" i="333"/>
  <c r="I52" i="333" s="1"/>
  <c r="J52" i="333" s="1"/>
  <c r="K51" i="333"/>
  <c r="G51" i="333"/>
  <c r="I51" i="333" s="1"/>
  <c r="J51" i="333" s="1"/>
  <c r="K50" i="333"/>
  <c r="G50" i="333"/>
  <c r="I50" i="333" s="1"/>
  <c r="J50" i="333" s="1"/>
  <c r="K49" i="333"/>
  <c r="I49" i="333"/>
  <c r="J49" i="333" s="1"/>
  <c r="G49" i="333"/>
  <c r="K48" i="333"/>
  <c r="G48" i="333"/>
  <c r="I48" i="333" s="1"/>
  <c r="J48" i="333" s="1"/>
  <c r="K47" i="333"/>
  <c r="G47" i="333"/>
  <c r="I47" i="333" s="1"/>
  <c r="J47" i="333" s="1"/>
  <c r="K46" i="333"/>
  <c r="G46" i="333"/>
  <c r="H45" i="333"/>
  <c r="F45" i="333"/>
  <c r="E45" i="333"/>
  <c r="D45" i="333"/>
  <c r="C45" i="333"/>
  <c r="K44" i="333"/>
  <c r="G44" i="333"/>
  <c r="I44" i="333" s="1"/>
  <c r="J44" i="333" s="1"/>
  <c r="K43" i="333"/>
  <c r="G43" i="333"/>
  <c r="I43" i="333" s="1"/>
  <c r="J43" i="333" s="1"/>
  <c r="K42" i="333"/>
  <c r="G42" i="333"/>
  <c r="I42" i="333" s="1"/>
  <c r="J42" i="333" s="1"/>
  <c r="K41" i="333"/>
  <c r="G41" i="333"/>
  <c r="I41" i="333" s="1"/>
  <c r="J41" i="333" s="1"/>
  <c r="K40" i="333"/>
  <c r="G40" i="333"/>
  <c r="I40" i="333" s="1"/>
  <c r="J40" i="333" s="1"/>
  <c r="K39" i="333"/>
  <c r="K38" i="333" s="1"/>
  <c r="G39" i="333"/>
  <c r="H38" i="333"/>
  <c r="F38" i="333"/>
  <c r="E38" i="333"/>
  <c r="D38" i="333"/>
  <c r="C38" i="333"/>
  <c r="K37" i="333"/>
  <c r="G37" i="333"/>
  <c r="I37" i="333" s="1"/>
  <c r="J37" i="333" s="1"/>
  <c r="K36" i="333"/>
  <c r="G36" i="333"/>
  <c r="I36" i="333" s="1"/>
  <c r="J36" i="333" s="1"/>
  <c r="K35" i="333"/>
  <c r="G35" i="333"/>
  <c r="I35" i="333" s="1"/>
  <c r="J35" i="333" s="1"/>
  <c r="K34" i="333"/>
  <c r="G34" i="333"/>
  <c r="I34" i="333" s="1"/>
  <c r="J34" i="333" s="1"/>
  <c r="K33" i="333"/>
  <c r="G33" i="333"/>
  <c r="I33" i="333" s="1"/>
  <c r="J33" i="333" s="1"/>
  <c r="K32" i="333"/>
  <c r="G32" i="333"/>
  <c r="I32" i="333" s="1"/>
  <c r="J32" i="333" s="1"/>
  <c r="K31" i="333"/>
  <c r="G31" i="333"/>
  <c r="I31" i="333" s="1"/>
  <c r="J31" i="333" s="1"/>
  <c r="K30" i="333"/>
  <c r="G30" i="333"/>
  <c r="I30" i="333" s="1"/>
  <c r="J30" i="333" s="1"/>
  <c r="K29" i="333"/>
  <c r="G29" i="333"/>
  <c r="I29" i="333" s="1"/>
  <c r="J29" i="333" s="1"/>
  <c r="K28" i="333"/>
  <c r="K27" i="333" s="1"/>
  <c r="G28" i="333"/>
  <c r="I28" i="333" s="1"/>
  <c r="J28" i="333" s="1"/>
  <c r="H27" i="333"/>
  <c r="F27" i="333"/>
  <c r="E27" i="333"/>
  <c r="D27" i="333"/>
  <c r="C27" i="333"/>
  <c r="K26" i="333"/>
  <c r="G26" i="333"/>
  <c r="I26" i="333" s="1"/>
  <c r="J26" i="333" s="1"/>
  <c r="K25" i="333"/>
  <c r="G25" i="333"/>
  <c r="I25" i="333" s="1"/>
  <c r="J25" i="333" s="1"/>
  <c r="K24" i="333"/>
  <c r="G24" i="333"/>
  <c r="I24" i="333" s="1"/>
  <c r="J24" i="333" s="1"/>
  <c r="K23" i="333"/>
  <c r="G23" i="333"/>
  <c r="I23" i="333" s="1"/>
  <c r="J23" i="333" s="1"/>
  <c r="K22" i="333"/>
  <c r="G22" i="333"/>
  <c r="I22" i="333" s="1"/>
  <c r="J22" i="333" s="1"/>
  <c r="K21" i="333"/>
  <c r="G21" i="333"/>
  <c r="I21" i="333" s="1"/>
  <c r="J21" i="333" s="1"/>
  <c r="K20" i="333"/>
  <c r="G20" i="333"/>
  <c r="I20" i="333" s="1"/>
  <c r="J20" i="333" s="1"/>
  <c r="K19" i="333"/>
  <c r="G19" i="333"/>
  <c r="I19" i="333" s="1"/>
  <c r="J19" i="333" s="1"/>
  <c r="K18" i="333"/>
  <c r="K17" i="333" s="1"/>
  <c r="G18" i="333"/>
  <c r="H17" i="333"/>
  <c r="F17" i="333"/>
  <c r="E17" i="333"/>
  <c r="D17" i="333"/>
  <c r="C17" i="333"/>
  <c r="K16" i="333"/>
  <c r="G16" i="333"/>
  <c r="I16" i="333" s="1"/>
  <c r="J16" i="333" s="1"/>
  <c r="K15" i="333"/>
  <c r="G15" i="333"/>
  <c r="I15" i="333" s="1"/>
  <c r="J15" i="333" s="1"/>
  <c r="K14" i="333"/>
  <c r="K13" i="333" s="1"/>
  <c r="G14" i="333"/>
  <c r="I14" i="333" s="1"/>
  <c r="J14" i="333" s="1"/>
  <c r="H13" i="333"/>
  <c r="F13" i="333"/>
  <c r="E13" i="333"/>
  <c r="D13" i="333"/>
  <c r="C13" i="333"/>
  <c r="K12" i="333"/>
  <c r="G12" i="333"/>
  <c r="I12" i="333" s="1"/>
  <c r="J12" i="333" s="1"/>
  <c r="K11" i="333"/>
  <c r="G11" i="333"/>
  <c r="I11" i="333" s="1"/>
  <c r="J11" i="333" s="1"/>
  <c r="K10" i="333"/>
  <c r="G10" i="333"/>
  <c r="I10" i="333" s="1"/>
  <c r="J10" i="333" s="1"/>
  <c r="K9" i="333"/>
  <c r="G9" i="333"/>
  <c r="I9" i="333" s="1"/>
  <c r="J9" i="333" s="1"/>
  <c r="K8" i="333"/>
  <c r="H8" i="333"/>
  <c r="F8" i="333"/>
  <c r="E8" i="333"/>
  <c r="D8" i="333"/>
  <c r="C8" i="333"/>
  <c r="C7" i="333" s="1"/>
  <c r="K3" i="333"/>
  <c r="J3" i="333"/>
  <c r="I3" i="333"/>
  <c r="H3" i="333"/>
  <c r="G3" i="333"/>
  <c r="F3" i="333"/>
  <c r="E3" i="333"/>
  <c r="D3" i="333"/>
  <c r="C3" i="333"/>
  <c r="B2" i="333"/>
  <c r="A2" i="333"/>
  <c r="J165" i="325"/>
  <c r="I164" i="325"/>
  <c r="J164" i="325" s="1"/>
  <c r="K163" i="325"/>
  <c r="H163" i="325"/>
  <c r="I163" i="325" s="1"/>
  <c r="J163" i="325" s="1"/>
  <c r="G163" i="325"/>
  <c r="F163" i="325"/>
  <c r="E163" i="325"/>
  <c r="D163" i="325"/>
  <c r="C163" i="325"/>
  <c r="I161" i="325"/>
  <c r="J161" i="325" s="1"/>
  <c r="K160" i="325"/>
  <c r="H160" i="325"/>
  <c r="I160" i="325" s="1"/>
  <c r="J160" i="325" s="1"/>
  <c r="G160" i="325"/>
  <c r="F160" i="325"/>
  <c r="E160" i="325"/>
  <c r="D160" i="325"/>
  <c r="C160" i="325"/>
  <c r="K157" i="325"/>
  <c r="I158" i="325"/>
  <c r="J158" i="325" s="1"/>
  <c r="H157" i="325"/>
  <c r="I157" i="325" s="1"/>
  <c r="J157" i="325" s="1"/>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I146" i="325"/>
  <c r="J146" i="325" s="1"/>
  <c r="H146" i="325"/>
  <c r="K145" i="325"/>
  <c r="H145" i="325"/>
  <c r="I145" i="325" s="1"/>
  <c r="J145" i="325" s="1"/>
  <c r="I144" i="325"/>
  <c r="J144" i="325" s="1"/>
  <c r="K143" i="325"/>
  <c r="H143" i="325"/>
  <c r="I143" i="325" s="1"/>
  <c r="J143" i="325" s="1"/>
  <c r="K142" i="325"/>
  <c r="I142" i="325"/>
  <c r="J142" i="325" s="1"/>
  <c r="H142" i="325"/>
  <c r="K141" i="325"/>
  <c r="K140" i="325" s="1"/>
  <c r="K138" i="325" s="1"/>
  <c r="H141" i="325"/>
  <c r="G140" i="325"/>
  <c r="F140" i="325"/>
  <c r="F138" i="325" s="1"/>
  <c r="E140" i="325"/>
  <c r="E138" i="325" s="1"/>
  <c r="D140" i="325"/>
  <c r="C140" i="325"/>
  <c r="C138" i="325" s="1"/>
  <c r="I139" i="325"/>
  <c r="J139" i="325" s="1"/>
  <c r="G138" i="325"/>
  <c r="D138" i="325"/>
  <c r="J137" i="325"/>
  <c r="I136" i="325"/>
  <c r="J136" i="325" s="1"/>
  <c r="K135" i="325"/>
  <c r="H135" i="325"/>
  <c r="I135" i="325" s="1"/>
  <c r="J135" i="325" s="1"/>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E117" i="325" s="1"/>
  <c r="D118" i="325"/>
  <c r="D117" i="325" s="1"/>
  <c r="C118" i="325"/>
  <c r="C117" i="325"/>
  <c r="I116" i="325"/>
  <c r="J116" i="325" s="1"/>
  <c r="I115" i="325"/>
  <c r="J115" i="325" s="1"/>
  <c r="K114" i="325"/>
  <c r="H114" i="325"/>
  <c r="G114" i="325"/>
  <c r="F114" i="325"/>
  <c r="E114" i="325"/>
  <c r="D114" i="325"/>
  <c r="C114" i="325"/>
  <c r="I113" i="325"/>
  <c r="J113" i="325" s="1"/>
  <c r="I112" i="325"/>
  <c r="J112" i="325" s="1"/>
  <c r="K111" i="325"/>
  <c r="H111" i="325"/>
  <c r="G111" i="325"/>
  <c r="F111" i="325"/>
  <c r="F110" i="325" s="1"/>
  <c r="E111" i="325"/>
  <c r="D111" i="325"/>
  <c r="C111" i="325"/>
  <c r="K110" i="325"/>
  <c r="G110" i="325"/>
  <c r="C110" i="325"/>
  <c r="I109" i="325"/>
  <c r="J109" i="325" s="1"/>
  <c r="I108" i="325"/>
  <c r="J108" i="325" s="1"/>
  <c r="H108" i="325"/>
  <c r="I107" i="325"/>
  <c r="J107" i="325" s="1"/>
  <c r="H107" i="325"/>
  <c r="K106" i="325"/>
  <c r="H106" i="325"/>
  <c r="I106" i="325" s="1"/>
  <c r="J106" i="325" s="1"/>
  <c r="K105" i="325"/>
  <c r="H105" i="325"/>
  <c r="I105" i="325" s="1"/>
  <c r="J105" i="325" s="1"/>
  <c r="I104" i="325"/>
  <c r="J104" i="325" s="1"/>
  <c r="G103" i="325"/>
  <c r="F103" i="325"/>
  <c r="E103" i="325"/>
  <c r="D103" i="325"/>
  <c r="C103" i="325"/>
  <c r="K102" i="325"/>
  <c r="H102" i="325"/>
  <c r="K101" i="325"/>
  <c r="I101" i="325"/>
  <c r="J101" i="325" s="1"/>
  <c r="H101" i="325"/>
  <c r="K99" i="325"/>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D75" i="325" s="1"/>
  <c r="C76" i="325"/>
  <c r="C75" i="325"/>
  <c r="J74" i="325"/>
  <c r="J73" i="325"/>
  <c r="I73" i="325"/>
  <c r="J72" i="325"/>
  <c r="I72" i="325"/>
  <c r="J71" i="325"/>
  <c r="I71" i="325"/>
  <c r="J70" i="325"/>
  <c r="I70" i="325"/>
  <c r="K69" i="325"/>
  <c r="H69" i="325"/>
  <c r="G69" i="325"/>
  <c r="I69" i="325" s="1"/>
  <c r="J69" i="325" s="1"/>
  <c r="F69" i="325"/>
  <c r="E69" i="325"/>
  <c r="D69" i="325"/>
  <c r="C69" i="325"/>
  <c r="I68" i="325"/>
  <c r="J68" i="325" s="1"/>
  <c r="I67" i="325"/>
  <c r="J67" i="325" s="1"/>
  <c r="I66" i="325"/>
  <c r="J66" i="325" s="1"/>
  <c r="I65" i="325"/>
  <c r="J65" i="325" s="1"/>
  <c r="I64" i="325"/>
  <c r="J64" i="325" s="1"/>
  <c r="K63" i="325"/>
  <c r="H63" i="325"/>
  <c r="I63" i="325" s="1"/>
  <c r="J63" i="325" s="1"/>
  <c r="G63" i="325"/>
  <c r="F63" i="325"/>
  <c r="E63" i="325"/>
  <c r="D63" i="325"/>
  <c r="C63" i="325"/>
  <c r="K62" i="325"/>
  <c r="H62" i="325"/>
  <c r="I62" i="325" s="1"/>
  <c r="J62" i="325" s="1"/>
  <c r="K61" i="325"/>
  <c r="I61" i="325"/>
  <c r="J61" i="325" s="1"/>
  <c r="H61" i="325"/>
  <c r="K60" i="325"/>
  <c r="H60" i="325"/>
  <c r="I60" i="325" s="1"/>
  <c r="J60" i="325" s="1"/>
  <c r="K59" i="325"/>
  <c r="I59" i="325"/>
  <c r="J59" i="325" s="1"/>
  <c r="H59" i="325"/>
  <c r="K58" i="325"/>
  <c r="I58" i="325"/>
  <c r="J58" i="325" s="1"/>
  <c r="H58" i="325"/>
  <c r="K57" i="325"/>
  <c r="H57" i="325"/>
  <c r="I57" i="325" s="1"/>
  <c r="J57" i="325" s="1"/>
  <c r="K56" i="325"/>
  <c r="H56" i="325"/>
  <c r="I56" i="325" s="1"/>
  <c r="J56" i="325" s="1"/>
  <c r="K55" i="325"/>
  <c r="I55" i="325"/>
  <c r="J55" i="325" s="1"/>
  <c r="H55" i="325"/>
  <c r="K54" i="325"/>
  <c r="H54" i="325"/>
  <c r="G53" i="325"/>
  <c r="F53" i="325"/>
  <c r="E53" i="325"/>
  <c r="D53" i="325"/>
  <c r="C53" i="325"/>
  <c r="I52" i="325"/>
  <c r="J52" i="325" s="1"/>
  <c r="I51" i="325"/>
  <c r="J51" i="325" s="1"/>
  <c r="I50" i="325"/>
  <c r="J50" i="325" s="1"/>
  <c r="I49" i="325"/>
  <c r="J49" i="325" s="1"/>
  <c r="K48" i="325"/>
  <c r="I48" i="325"/>
  <c r="J48" i="325" s="1"/>
  <c r="K47" i="325"/>
  <c r="I47" i="325"/>
  <c r="J47" i="325" s="1"/>
  <c r="K46" i="325"/>
  <c r="K45" i="325" s="1"/>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I25" i="325"/>
  <c r="J25" i="325" s="1"/>
  <c r="H25" i="325"/>
  <c r="K24" i="325"/>
  <c r="H24" i="325"/>
  <c r="I24" i="325" s="1"/>
  <c r="J24" i="325" s="1"/>
  <c r="K23" i="325"/>
  <c r="H23" i="325"/>
  <c r="I23" i="325" s="1"/>
  <c r="J23" i="325" s="1"/>
  <c r="K22" i="325"/>
  <c r="H22" i="325"/>
  <c r="I22" i="325" s="1"/>
  <c r="J22" i="325" s="1"/>
  <c r="K21" i="325"/>
  <c r="I21" i="325"/>
  <c r="J21" i="325" s="1"/>
  <c r="H21" i="325"/>
  <c r="K20" i="325"/>
  <c r="H20" i="325"/>
  <c r="I20" i="325" s="1"/>
  <c r="J20" i="325" s="1"/>
  <c r="K19" i="325"/>
  <c r="H19" i="325"/>
  <c r="I19" i="325" s="1"/>
  <c r="J19" i="325" s="1"/>
  <c r="K18" i="325"/>
  <c r="H18" i="325"/>
  <c r="I18" i="325" s="1"/>
  <c r="J18" i="325" s="1"/>
  <c r="G17" i="325"/>
  <c r="F17" i="325"/>
  <c r="E17" i="325"/>
  <c r="D17" i="325"/>
  <c r="C17" i="325"/>
  <c r="K16" i="325"/>
  <c r="H16" i="325"/>
  <c r="I16" i="325" s="1"/>
  <c r="J16" i="325" s="1"/>
  <c r="K15" i="325"/>
  <c r="K13" i="325" s="1"/>
  <c r="H15" i="325"/>
  <c r="I15" i="325" s="1"/>
  <c r="J15" i="325" s="1"/>
  <c r="I14" i="325"/>
  <c r="J14" i="325" s="1"/>
  <c r="H13" i="325"/>
  <c r="G13" i="325"/>
  <c r="F13" i="325"/>
  <c r="E13" i="325"/>
  <c r="D13" i="325"/>
  <c r="C13" i="325"/>
  <c r="I12" i="325"/>
  <c r="J12" i="325" s="1"/>
  <c r="I11" i="325"/>
  <c r="J11" i="325" s="1"/>
  <c r="I10" i="325"/>
  <c r="J10" i="325" s="1"/>
  <c r="I9" i="325"/>
  <c r="J9" i="325" s="1"/>
  <c r="H8" i="325"/>
  <c r="K8" i="325"/>
  <c r="G8" i="325"/>
  <c r="F8" i="325"/>
  <c r="E8" i="325"/>
  <c r="D8" i="325"/>
  <c r="C8" i="325"/>
  <c r="C7" i="325"/>
  <c r="C166" i="325" s="1"/>
  <c r="K3" i="325"/>
  <c r="J3" i="325"/>
  <c r="I3" i="325"/>
  <c r="H3" i="325"/>
  <c r="G3" i="325"/>
  <c r="F3" i="325"/>
  <c r="E3" i="325"/>
  <c r="D3" i="325"/>
  <c r="C3" i="325"/>
  <c r="B2" i="325"/>
  <c r="A2" i="325"/>
  <c r="A168" i="326"/>
  <c r="J165" i="326"/>
  <c r="I164" i="326"/>
  <c r="J164" i="326" s="1"/>
  <c r="K163" i="326"/>
  <c r="H163" i="326"/>
  <c r="I163" i="326" s="1"/>
  <c r="J163" i="326" s="1"/>
  <c r="G163" i="326"/>
  <c r="F163" i="326"/>
  <c r="E163" i="326"/>
  <c r="D163" i="326"/>
  <c r="C163" i="326"/>
  <c r="I161" i="326"/>
  <c r="J161" i="326" s="1"/>
  <c r="K160" i="326"/>
  <c r="I160" i="326"/>
  <c r="J160" i="326" s="1"/>
  <c r="H160" i="326"/>
  <c r="G160" i="326"/>
  <c r="F160" i="326"/>
  <c r="E160" i="326"/>
  <c r="D160" i="326"/>
  <c r="C160" i="326"/>
  <c r="I158" i="326"/>
  <c r="J158" i="326" s="1"/>
  <c r="K157" i="326"/>
  <c r="H157" i="326"/>
  <c r="G157" i="326"/>
  <c r="F157" i="326"/>
  <c r="E157" i="326"/>
  <c r="D157" i="326"/>
  <c r="C157" i="326"/>
  <c r="I155" i="326"/>
  <c r="J155" i="326" s="1"/>
  <c r="K154" i="326"/>
  <c r="H154" i="326"/>
  <c r="G154" i="326"/>
  <c r="I154" i="326" s="1"/>
  <c r="J154" i="326" s="1"/>
  <c r="F154" i="326"/>
  <c r="E154" i="326"/>
  <c r="D154" i="326"/>
  <c r="C154" i="326"/>
  <c r="J153" i="326"/>
  <c r="I152" i="326"/>
  <c r="J152" i="326" s="1"/>
  <c r="K151" i="326"/>
  <c r="H151" i="326"/>
  <c r="G151" i="326"/>
  <c r="F151" i="326"/>
  <c r="E151" i="326"/>
  <c r="D151" i="326"/>
  <c r="C151" i="326"/>
  <c r="I149" i="326"/>
  <c r="J149" i="326" s="1"/>
  <c r="K148" i="326"/>
  <c r="H148" i="326"/>
  <c r="I148" i="326" s="1"/>
  <c r="J148" i="326" s="1"/>
  <c r="G148" i="326"/>
  <c r="F148" i="326"/>
  <c r="E148" i="326"/>
  <c r="D148" i="326"/>
  <c r="C148" i="326"/>
  <c r="I146" i="326"/>
  <c r="J146" i="326" s="1"/>
  <c r="J145" i="326"/>
  <c r="I145" i="326"/>
  <c r="I144" i="326"/>
  <c r="J144" i="326" s="1"/>
  <c r="J143" i="326"/>
  <c r="I143" i="326"/>
  <c r="I142" i="326"/>
  <c r="J142" i="326" s="1"/>
  <c r="J141" i="326"/>
  <c r="I141" i="326"/>
  <c r="K140" i="326"/>
  <c r="K138" i="326" s="1"/>
  <c r="H140" i="326"/>
  <c r="H138" i="326" s="1"/>
  <c r="G140" i="326"/>
  <c r="I140" i="326" s="1"/>
  <c r="J140" i="326" s="1"/>
  <c r="F140" i="326"/>
  <c r="E140" i="326"/>
  <c r="E138" i="326" s="1"/>
  <c r="D140" i="326"/>
  <c r="C140" i="326"/>
  <c r="C138" i="326" s="1"/>
  <c r="I139" i="326"/>
  <c r="J139" i="326" s="1"/>
  <c r="F138" i="326"/>
  <c r="D138" i="326"/>
  <c r="J137" i="326"/>
  <c r="I136" i="326"/>
  <c r="J136" i="326" s="1"/>
  <c r="K135" i="326"/>
  <c r="H135" i="326"/>
  <c r="I135" i="326" s="1"/>
  <c r="J135" i="326" s="1"/>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I124" i="326"/>
  <c r="J124" i="326" s="1"/>
  <c r="H124" i="326"/>
  <c r="H123" i="326"/>
  <c r="I123" i="326" s="1"/>
  <c r="J123" i="326" s="1"/>
  <c r="H122" i="326"/>
  <c r="I122" i="326" s="1"/>
  <c r="J122" i="326" s="1"/>
  <c r="H121" i="326"/>
  <c r="I121" i="326" s="1"/>
  <c r="J121" i="326" s="1"/>
  <c r="I120" i="326"/>
  <c r="J120" i="326" s="1"/>
  <c r="H120" i="326"/>
  <c r="K118" i="326"/>
  <c r="K117" i="326" s="1"/>
  <c r="I119" i="326"/>
  <c r="J119" i="326" s="1"/>
  <c r="G118" i="326"/>
  <c r="F118" i="326"/>
  <c r="E118" i="326"/>
  <c r="E117" i="326" s="1"/>
  <c r="D118" i="326"/>
  <c r="C118" i="326"/>
  <c r="I116" i="326"/>
  <c r="J116" i="326" s="1"/>
  <c r="I115" i="326"/>
  <c r="J115" i="326" s="1"/>
  <c r="K114" i="326"/>
  <c r="H114" i="326"/>
  <c r="G114" i="326"/>
  <c r="F114" i="326"/>
  <c r="E114" i="326"/>
  <c r="D114" i="326"/>
  <c r="C114" i="326"/>
  <c r="I113" i="326"/>
  <c r="J113" i="326" s="1"/>
  <c r="I112" i="326"/>
  <c r="J112" i="326" s="1"/>
  <c r="K111" i="326"/>
  <c r="H111" i="326"/>
  <c r="G111" i="326"/>
  <c r="G110" i="326" s="1"/>
  <c r="F111" i="326"/>
  <c r="E111" i="326"/>
  <c r="D111" i="326"/>
  <c r="C111" i="326"/>
  <c r="C110" i="326" s="1"/>
  <c r="K110" i="326"/>
  <c r="I109" i="326"/>
  <c r="J109" i="326" s="1"/>
  <c r="I108" i="326"/>
  <c r="J108" i="326" s="1"/>
  <c r="H108" i="326"/>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H100" i="326"/>
  <c r="I100" i="326" s="1"/>
  <c r="J100" i="326" s="1"/>
  <c r="K99" i="326"/>
  <c r="G99" i="326"/>
  <c r="F99" i="326"/>
  <c r="E99" i="326"/>
  <c r="D99" i="326"/>
  <c r="C99" i="326"/>
  <c r="H98" i="326"/>
  <c r="I98" i="326" s="1"/>
  <c r="J98" i="326" s="1"/>
  <c r="H97" i="326"/>
  <c r="I97" i="326" s="1"/>
  <c r="J97" i="326" s="1"/>
  <c r="I96" i="326"/>
  <c r="J96" i="326" s="1"/>
  <c r="H96" i="326"/>
  <c r="H95" i="326"/>
  <c r="I95" i="326" s="1"/>
  <c r="J95" i="326" s="1"/>
  <c r="H94" i="326"/>
  <c r="I94" i="326" s="1"/>
  <c r="J94" i="326" s="1"/>
  <c r="H93" i="326"/>
  <c r="I93" i="326" s="1"/>
  <c r="J93" i="326" s="1"/>
  <c r="I92" i="326"/>
  <c r="J92" i="326" s="1"/>
  <c r="H92" i="326"/>
  <c r="H91" i="326"/>
  <c r="I91" i="326" s="1"/>
  <c r="J91" i="326" s="1"/>
  <c r="H90" i="326"/>
  <c r="I90" i="326" s="1"/>
  <c r="J90" i="326" s="1"/>
  <c r="H89" i="326"/>
  <c r="I89" i="326" s="1"/>
  <c r="J89" i="326" s="1"/>
  <c r="I88" i="326"/>
  <c r="J88" i="326" s="1"/>
  <c r="H88" i="326"/>
  <c r="H87" i="326"/>
  <c r="I87" i="326" s="1"/>
  <c r="J87" i="326" s="1"/>
  <c r="I86" i="326"/>
  <c r="J86" i="326" s="1"/>
  <c r="I85" i="326"/>
  <c r="J85" i="326" s="1"/>
  <c r="H85" i="326"/>
  <c r="H84" i="326"/>
  <c r="I84" i="326" s="1"/>
  <c r="J84" i="326" s="1"/>
  <c r="I83" i="326"/>
  <c r="J83" i="326" s="1"/>
  <c r="H83" i="326"/>
  <c r="H82" i="326"/>
  <c r="I82" i="326" s="1"/>
  <c r="J82" i="326" s="1"/>
  <c r="H81" i="326"/>
  <c r="I81" i="326" s="1"/>
  <c r="J81" i="326" s="1"/>
  <c r="H80" i="326"/>
  <c r="I80" i="326" s="1"/>
  <c r="J80" i="326" s="1"/>
  <c r="I79" i="326"/>
  <c r="J79" i="326" s="1"/>
  <c r="H78" i="326"/>
  <c r="I78" i="326" s="1"/>
  <c r="J78" i="326" s="1"/>
  <c r="I77" i="326"/>
  <c r="J77" i="326" s="1"/>
  <c r="H77" i="326"/>
  <c r="K76" i="326"/>
  <c r="G76" i="326"/>
  <c r="F76" i="326"/>
  <c r="E76" i="326"/>
  <c r="D76" i="326"/>
  <c r="C76" i="326"/>
  <c r="F75" i="326"/>
  <c r="J74" i="326"/>
  <c r="I73" i="326"/>
  <c r="J73" i="326" s="1"/>
  <c r="I72" i="326"/>
  <c r="J72" i="326" s="1"/>
  <c r="H72" i="326"/>
  <c r="H71" i="326"/>
  <c r="I71" i="326" s="1"/>
  <c r="J71" i="326" s="1"/>
  <c r="K70" i="326"/>
  <c r="K69" i="326" s="1"/>
  <c r="I70" i="326"/>
  <c r="J70" i="326" s="1"/>
  <c r="H69" i="326"/>
  <c r="G69" i="326"/>
  <c r="F69" i="326"/>
  <c r="E69" i="326"/>
  <c r="D69" i="326"/>
  <c r="C69" i="326"/>
  <c r="I68" i="326"/>
  <c r="J68" i="326" s="1"/>
  <c r="J67" i="326"/>
  <c r="I67" i="326"/>
  <c r="I66" i="326"/>
  <c r="J66" i="326" s="1"/>
  <c r="J65" i="326"/>
  <c r="I65" i="326"/>
  <c r="I64" i="326"/>
  <c r="J64" i="326" s="1"/>
  <c r="K63" i="326"/>
  <c r="H63" i="326"/>
  <c r="I63" i="326" s="1"/>
  <c r="J63" i="326" s="1"/>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I53" i="326" s="1"/>
  <c r="J53" i="326" s="1"/>
  <c r="G53" i="326"/>
  <c r="F53" i="326"/>
  <c r="E53" i="326"/>
  <c r="D53" i="326"/>
  <c r="C53" i="326"/>
  <c r="H52" i="326"/>
  <c r="I52" i="326" s="1"/>
  <c r="J52" i="326" s="1"/>
  <c r="H51" i="326"/>
  <c r="I51" i="326" s="1"/>
  <c r="J51" i="326" s="1"/>
  <c r="H50" i="326"/>
  <c r="I50" i="326" s="1"/>
  <c r="J50" i="326" s="1"/>
  <c r="I49" i="326"/>
  <c r="J49" i="326" s="1"/>
  <c r="H49" i="326"/>
  <c r="H48" i="326"/>
  <c r="I48" i="326" s="1"/>
  <c r="J48" i="326" s="1"/>
  <c r="I47" i="326"/>
  <c r="J47" i="326" s="1"/>
  <c r="H47" i="326"/>
  <c r="H46" i="326"/>
  <c r="I46" i="326" s="1"/>
  <c r="J46" i="326" s="1"/>
  <c r="K45" i="326"/>
  <c r="H45" i="326"/>
  <c r="I45" i="326" s="1"/>
  <c r="J45" i="326" s="1"/>
  <c r="G45" i="326"/>
  <c r="F45" i="326"/>
  <c r="E45" i="326"/>
  <c r="D45" i="326"/>
  <c r="C45" i="326"/>
  <c r="K44" i="326"/>
  <c r="I44" i="326"/>
  <c r="J44" i="326" s="1"/>
  <c r="K43" i="326"/>
  <c r="I43" i="326"/>
  <c r="J43" i="326" s="1"/>
  <c r="K42" i="326"/>
  <c r="I42" i="326"/>
  <c r="J42" i="326" s="1"/>
  <c r="I41" i="326"/>
  <c r="J41" i="326" s="1"/>
  <c r="K40" i="326"/>
  <c r="I40" i="326"/>
  <c r="J40" i="326" s="1"/>
  <c r="K39" i="326"/>
  <c r="K38" i="326" s="1"/>
  <c r="I39" i="326"/>
  <c r="J39" i="326" s="1"/>
  <c r="H38" i="326"/>
  <c r="G38" i="326"/>
  <c r="F38" i="326"/>
  <c r="E38" i="326"/>
  <c r="D38" i="326"/>
  <c r="C38" i="326"/>
  <c r="J37" i="326"/>
  <c r="I37" i="326"/>
  <c r="I36" i="326"/>
  <c r="J36" i="326" s="1"/>
  <c r="I35" i="326"/>
  <c r="J35" i="326" s="1"/>
  <c r="I34" i="326"/>
  <c r="J34" i="326" s="1"/>
  <c r="I33" i="326"/>
  <c r="J33" i="326" s="1"/>
  <c r="I32" i="326"/>
  <c r="J32" i="326" s="1"/>
  <c r="I31" i="326"/>
  <c r="J31" i="326" s="1"/>
  <c r="J30" i="326"/>
  <c r="I30" i="326"/>
  <c r="K27" i="326"/>
  <c r="I29" i="326"/>
  <c r="J29" i="326" s="1"/>
  <c r="I28" i="326"/>
  <c r="J28" i="326" s="1"/>
  <c r="H27" i="326"/>
  <c r="G27" i="326"/>
  <c r="F27" i="326"/>
  <c r="E27" i="326"/>
  <c r="D27" i="326"/>
  <c r="C27" i="326"/>
  <c r="K26" i="326"/>
  <c r="I26" i="326"/>
  <c r="J26" i="326" s="1"/>
  <c r="K25" i="326"/>
  <c r="I25" i="326"/>
  <c r="J25" i="326" s="1"/>
  <c r="K24" i="326"/>
  <c r="I24" i="326"/>
  <c r="J24" i="326" s="1"/>
  <c r="K23" i="326"/>
  <c r="I23" i="326"/>
  <c r="J23" i="326" s="1"/>
  <c r="K22" i="326"/>
  <c r="I22" i="326"/>
  <c r="J22" i="326" s="1"/>
  <c r="I21" i="326"/>
  <c r="J21" i="326" s="1"/>
  <c r="K20" i="326"/>
  <c r="I20" i="326"/>
  <c r="J20" i="326" s="1"/>
  <c r="K19" i="326"/>
  <c r="I19" i="326"/>
  <c r="J19" i="326" s="1"/>
  <c r="K18" i="326"/>
  <c r="I18" i="326"/>
  <c r="J18" i="326" s="1"/>
  <c r="H17" i="326"/>
  <c r="G17" i="326"/>
  <c r="F17" i="326"/>
  <c r="E17" i="326"/>
  <c r="D17" i="326"/>
  <c r="C17" i="326"/>
  <c r="I16" i="326"/>
  <c r="J16" i="326" s="1"/>
  <c r="H16" i="326"/>
  <c r="H15" i="326"/>
  <c r="I15" i="326" s="1"/>
  <c r="J15" i="326" s="1"/>
  <c r="H14" i="326"/>
  <c r="I14" i="326" s="1"/>
  <c r="J14" i="326" s="1"/>
  <c r="K13" i="326"/>
  <c r="G13" i="326"/>
  <c r="F13" i="326"/>
  <c r="E13" i="326"/>
  <c r="D13" i="326"/>
  <c r="C13" i="326"/>
  <c r="K12" i="326"/>
  <c r="H12" i="326"/>
  <c r="I12" i="326" s="1"/>
  <c r="J12" i="326" s="1"/>
  <c r="K11" i="326"/>
  <c r="H11" i="326"/>
  <c r="I11" i="326" s="1"/>
  <c r="J11" i="326" s="1"/>
  <c r="K10" i="326"/>
  <c r="H10" i="326"/>
  <c r="I10" i="326" s="1"/>
  <c r="J10" i="326" s="1"/>
  <c r="C10" i="326"/>
  <c r="C8" i="326" s="1"/>
  <c r="C7"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I163" i="242" s="1"/>
  <c r="J163" i="242" s="1"/>
  <c r="G163" i="242"/>
  <c r="F163" i="242"/>
  <c r="E163" i="242"/>
  <c r="D163" i="242"/>
  <c r="C163" i="242"/>
  <c r="I161" i="242"/>
  <c r="J161" i="242" s="1"/>
  <c r="K160" i="242"/>
  <c r="H160" i="242"/>
  <c r="I160" i="242" s="1"/>
  <c r="J160" i="242" s="1"/>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H145" i="242"/>
  <c r="I145" i="242" s="1"/>
  <c r="J145" i="242" s="1"/>
  <c r="H144" i="242"/>
  <c r="I144" i="242" s="1"/>
  <c r="J144" i="242" s="1"/>
  <c r="H143" i="242"/>
  <c r="I142" i="242"/>
  <c r="J142" i="242" s="1"/>
  <c r="H142" i="242"/>
  <c r="H141" i="242"/>
  <c r="I141" i="242" s="1"/>
  <c r="J141" i="242" s="1"/>
  <c r="G140" i="242"/>
  <c r="F140" i="242"/>
  <c r="F138" i="242" s="1"/>
  <c r="E140" i="242"/>
  <c r="E138" i="242" s="1"/>
  <c r="D140" i="242"/>
  <c r="D138" i="242" s="1"/>
  <c r="C140" i="242"/>
  <c r="J139" i="242"/>
  <c r="I139" i="242"/>
  <c r="G138" i="242"/>
  <c r="C138" i="242"/>
  <c r="J137" i="242"/>
  <c r="I136" i="242"/>
  <c r="J136" i="242" s="1"/>
  <c r="K135" i="242"/>
  <c r="H135" i="242"/>
  <c r="I135" i="242" s="1"/>
  <c r="J135" i="242" s="1"/>
  <c r="G135" i="242"/>
  <c r="F135" i="242"/>
  <c r="E135" i="242"/>
  <c r="D135" i="242"/>
  <c r="C135" i="242"/>
  <c r="J134" i="242"/>
  <c r="I133" i="242"/>
  <c r="J133" i="242" s="1"/>
  <c r="I132" i="242"/>
  <c r="J132" i="242" s="1"/>
  <c r="I131" i="242"/>
  <c r="J131" i="242" s="1"/>
  <c r="K130" i="242"/>
  <c r="I130" i="242"/>
  <c r="J130" i="242" s="1"/>
  <c r="H130" i="242"/>
  <c r="G130" i="242"/>
  <c r="F130" i="242"/>
  <c r="E130" i="242"/>
  <c r="D130" i="242"/>
  <c r="C130" i="242"/>
  <c r="K129" i="242"/>
  <c r="I129" i="242"/>
  <c r="J129" i="242" s="1"/>
  <c r="I128" i="242"/>
  <c r="J128" i="242" s="1"/>
  <c r="I127" i="242"/>
  <c r="J127" i="242" s="1"/>
  <c r="I126" i="242"/>
  <c r="J126" i="242" s="1"/>
  <c r="I125" i="242"/>
  <c r="J125" i="242" s="1"/>
  <c r="G124" i="242"/>
  <c r="I124" i="242" s="1"/>
  <c r="J124" i="242" s="1"/>
  <c r="G123" i="242"/>
  <c r="I123" i="242" s="1"/>
  <c r="J123" i="242" s="1"/>
  <c r="G122" i="242"/>
  <c r="I122" i="242" s="1"/>
  <c r="J122" i="242" s="1"/>
  <c r="G121" i="242"/>
  <c r="I121" i="242" s="1"/>
  <c r="J121" i="242" s="1"/>
  <c r="G120" i="242"/>
  <c r="G119" i="242"/>
  <c r="I119" i="242" s="1"/>
  <c r="J119" i="242" s="1"/>
  <c r="C118" i="242"/>
  <c r="C117" i="242" s="1"/>
  <c r="K118" i="242"/>
  <c r="K117" i="242" s="1"/>
  <c r="H118" i="242"/>
  <c r="F118" i="242"/>
  <c r="E118" i="242"/>
  <c r="D118" i="242"/>
  <c r="D117" i="242" s="1"/>
  <c r="F117" i="242"/>
  <c r="H116" i="242"/>
  <c r="I116" i="242" s="1"/>
  <c r="J116" i="242" s="1"/>
  <c r="H115" i="242"/>
  <c r="I115" i="242" s="1"/>
  <c r="J115" i="242" s="1"/>
  <c r="K114" i="242"/>
  <c r="G114" i="242"/>
  <c r="F114" i="242"/>
  <c r="E114" i="242"/>
  <c r="D114" i="242"/>
  <c r="C114" i="242"/>
  <c r="K113" i="242"/>
  <c r="I113" i="242"/>
  <c r="J113" i="242" s="1"/>
  <c r="J112" i="242"/>
  <c r="I112" i="242"/>
  <c r="K111" i="242"/>
  <c r="H111" i="242"/>
  <c r="G111" i="242"/>
  <c r="F111" i="242"/>
  <c r="E111" i="242"/>
  <c r="D111" i="242"/>
  <c r="C111" i="242"/>
  <c r="F110"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K98" i="242"/>
  <c r="I98" i="242"/>
  <c r="J98" i="242" s="1"/>
  <c r="K97" i="242"/>
  <c r="I97" i="242"/>
  <c r="J97" i="242" s="1"/>
  <c r="K96" i="242"/>
  <c r="I96" i="242"/>
  <c r="J96" i="242" s="1"/>
  <c r="K95" i="242"/>
  <c r="I95" i="242"/>
  <c r="J95" i="242" s="1"/>
  <c r="K94" i="242"/>
  <c r="I94" i="242"/>
  <c r="J94" i="242" s="1"/>
  <c r="K93" i="242"/>
  <c r="I93" i="242"/>
  <c r="J93" i="242" s="1"/>
  <c r="K92" i="242"/>
  <c r="I92" i="242"/>
  <c r="J92" i="242" s="1"/>
  <c r="K91" i="242"/>
  <c r="I91" i="242"/>
  <c r="J91" i="242" s="1"/>
  <c r="K90" i="242"/>
  <c r="I90" i="242"/>
  <c r="J90" i="242" s="1"/>
  <c r="I89" i="242"/>
  <c r="J89" i="242" s="1"/>
  <c r="I88" i="242"/>
  <c r="J88" i="242" s="1"/>
  <c r="I87" i="242"/>
  <c r="J87" i="242" s="1"/>
  <c r="I86" i="242"/>
  <c r="J86" i="242" s="1"/>
  <c r="I85" i="242"/>
  <c r="J85" i="242" s="1"/>
  <c r="I84" i="242"/>
  <c r="J84" i="242" s="1"/>
  <c r="I83" i="242"/>
  <c r="J83" i="242" s="1"/>
  <c r="I82" i="242"/>
  <c r="J82" i="242" s="1"/>
  <c r="K81" i="242"/>
  <c r="I81" i="242"/>
  <c r="J81" i="242" s="1"/>
  <c r="K80" i="242"/>
  <c r="I80" i="242"/>
  <c r="J80" i="242" s="1"/>
  <c r="K79" i="242"/>
  <c r="I79" i="242"/>
  <c r="J79" i="242" s="1"/>
  <c r="K78" i="242"/>
  <c r="I78" i="242"/>
  <c r="J78" i="242" s="1"/>
  <c r="K77" i="242"/>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J62" i="242"/>
  <c r="I62" i="242"/>
  <c r="I61" i="242"/>
  <c r="J61" i="242" s="1"/>
  <c r="I60" i="242"/>
  <c r="J60" i="242" s="1"/>
  <c r="I59" i="242"/>
  <c r="J59" i="242" s="1"/>
  <c r="J58" i="242"/>
  <c r="I58" i="242"/>
  <c r="I57" i="242"/>
  <c r="J57" i="242" s="1"/>
  <c r="J56" i="242"/>
  <c r="I56" i="242"/>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K47" i="242"/>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K38" i="242" s="1"/>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K27" i="242" s="1"/>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I20" i="242"/>
  <c r="J20" i="242" s="1"/>
  <c r="K19" i="242"/>
  <c r="I19" i="242"/>
  <c r="J19" i="242" s="1"/>
  <c r="K17" i="242"/>
  <c r="I18" i="242"/>
  <c r="J18" i="242" s="1"/>
  <c r="H17" i="242"/>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E18" i="180"/>
  <c r="D18" i="180"/>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I43" i="183" s="1"/>
  <c r="J43" i="183" s="1"/>
  <c r="F43" i="183"/>
  <c r="E43" i="183"/>
  <c r="D43" i="183"/>
  <c r="C43" i="183"/>
  <c r="J42" i="183"/>
  <c r="J41" i="183"/>
  <c r="I41" i="183"/>
  <c r="A41" i="183"/>
  <c r="I40" i="183"/>
  <c r="J40" i="183" s="1"/>
  <c r="A40" i="183"/>
  <c r="I39" i="183"/>
  <c r="J39" i="183" s="1"/>
  <c r="A39" i="183"/>
  <c r="I38" i="183"/>
  <c r="J38" i="183" s="1"/>
  <c r="A38" i="183"/>
  <c r="J37" i="183"/>
  <c r="I37" i="183"/>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K31" i="183" s="1"/>
  <c r="G16" i="183"/>
  <c r="F16" i="183"/>
  <c r="E16" i="183"/>
  <c r="D16" i="183"/>
  <c r="C16" i="183"/>
  <c r="C31" i="183" s="1"/>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E38" i="181" s="1"/>
  <c r="E42" i="181" s="1"/>
  <c r="E44" i="181" s="1"/>
  <c r="D22" i="181"/>
  <c r="C22" i="181"/>
  <c r="C38" i="181" s="1"/>
  <c r="C42" i="181" s="1"/>
  <c r="C44" i="181" s="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J46" i="317"/>
  <c r="J65" i="317" s="1"/>
  <c r="I46" i="317"/>
  <c r="I52" i="317" s="1"/>
  <c r="H46" i="317"/>
  <c r="H65" i="317" s="1"/>
  <c r="G46" i="317"/>
  <c r="F46" i="317"/>
  <c r="F65" i="317" s="1"/>
  <c r="E46" i="317"/>
  <c r="D46" i="317"/>
  <c r="D52" i="317" s="1"/>
  <c r="C46" i="317"/>
  <c r="C52" i="317" s="1"/>
  <c r="B46" i="317"/>
  <c r="B52" i="317" s="1"/>
  <c r="B54" i="317" s="1"/>
  <c r="N45" i="317"/>
  <c r="N44" i="317"/>
  <c r="N43" i="317"/>
  <c r="N42" i="317"/>
  <c r="N41" i="317"/>
  <c r="N40" i="317"/>
  <c r="N39" i="317"/>
  <c r="N38" i="317"/>
  <c r="N37" i="317"/>
  <c r="N36" i="317"/>
  <c r="N35" i="317"/>
  <c r="N34" i="317"/>
  <c r="N32" i="317"/>
  <c r="N31" i="317"/>
  <c r="N30" i="317"/>
  <c r="N29" i="317"/>
  <c r="N28" i="317"/>
  <c r="N27" i="317"/>
  <c r="N26" i="317"/>
  <c r="N25" i="317"/>
  <c r="N24" i="317"/>
  <c r="N23" i="317"/>
  <c r="N22" i="317"/>
  <c r="Q21" i="317"/>
  <c r="Q33" i="317" s="1"/>
  <c r="Q54" i="317" s="1"/>
  <c r="P21" i="317"/>
  <c r="P33" i="317" s="1"/>
  <c r="O21" i="317"/>
  <c r="O33" i="317" s="1"/>
  <c r="M21" i="317"/>
  <c r="M33" i="317" s="1"/>
  <c r="L21" i="317"/>
  <c r="L33" i="317" s="1"/>
  <c r="K21" i="317"/>
  <c r="K33" i="317" s="1"/>
  <c r="J21" i="317"/>
  <c r="J33" i="317" s="1"/>
  <c r="I21" i="317"/>
  <c r="I33" i="317" s="1"/>
  <c r="H21" i="317"/>
  <c r="H33" i="317" s="1"/>
  <c r="G21" i="317"/>
  <c r="G33" i="317" s="1"/>
  <c r="F21" i="317"/>
  <c r="F33" i="317" s="1"/>
  <c r="E21" i="317"/>
  <c r="E33" i="317" s="1"/>
  <c r="D21" i="317"/>
  <c r="D33" i="317" s="1"/>
  <c r="C21" i="317"/>
  <c r="C33" i="317" s="1"/>
  <c r="C54" i="317" s="1"/>
  <c r="C56" i="317" s="1"/>
  <c r="D55" i="317" s="1"/>
  <c r="N20" i="317"/>
  <c r="N19" i="317"/>
  <c r="N18" i="317"/>
  <c r="N17" i="317"/>
  <c r="N16" i="317"/>
  <c r="N15" i="317"/>
  <c r="N14" i="317"/>
  <c r="N13" i="317"/>
  <c r="N12" i="317"/>
  <c r="N11" i="317"/>
  <c r="N10" i="317"/>
  <c r="N9" i="317"/>
  <c r="N8" i="317"/>
  <c r="N7" i="317"/>
  <c r="N6" i="317"/>
  <c r="B2" i="317"/>
  <c r="A2" i="317"/>
  <c r="A107" i="318"/>
  <c r="H99" i="318"/>
  <c r="G99" i="318"/>
  <c r="F99" i="318"/>
  <c r="E99" i="318"/>
  <c r="D99" i="318"/>
  <c r="C99" i="318"/>
  <c r="K98"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I83" i="318" s="1"/>
  <c r="J83" i="318" s="1"/>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K83" i="318" s="1"/>
  <c r="K84" i="318" s="1"/>
  <c r="I71" i="318"/>
  <c r="J71" i="318" s="1"/>
  <c r="G67" i="318"/>
  <c r="F67" i="318"/>
  <c r="F102" i="318" s="1"/>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I67" i="318" s="1"/>
  <c r="J67" i="318" s="1"/>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D15" i="318" s="1"/>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G39" i="334"/>
  <c r="F39" i="334"/>
  <c r="E38" i="334"/>
  <c r="D38" i="334"/>
  <c r="C38" i="334"/>
  <c r="F37" i="334"/>
  <c r="G37" i="334" s="1"/>
  <c r="A37" i="334"/>
  <c r="F36" i="334"/>
  <c r="G36" i="334" s="1"/>
  <c r="A36" i="334"/>
  <c r="F35" i="334"/>
  <c r="G35" i="334" s="1"/>
  <c r="A35" i="334"/>
  <c r="F34" i="334"/>
  <c r="G34" i="334" s="1"/>
  <c r="A34" i="334"/>
  <c r="G33" i="334"/>
  <c r="F33" i="334"/>
  <c r="A33" i="334"/>
  <c r="F32" i="334"/>
  <c r="G32" i="334" s="1"/>
  <c r="A32" i="334"/>
  <c r="E31" i="334"/>
  <c r="D31" i="334"/>
  <c r="C31" i="334"/>
  <c r="C47" i="334" s="1"/>
  <c r="G30" i="334"/>
  <c r="G29" i="334"/>
  <c r="F27" i="334"/>
  <c r="F25" i="334" s="1"/>
  <c r="G25" i="334" s="1"/>
  <c r="A27" i="334"/>
  <c r="G26" i="334"/>
  <c r="F26" i="334"/>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G18" i="334"/>
  <c r="F18" i="334"/>
  <c r="A18" i="334"/>
  <c r="F17" i="334"/>
  <c r="G17" i="334" s="1"/>
  <c r="A17" i="334"/>
  <c r="E16" i="334"/>
  <c r="D16" i="334"/>
  <c r="C16" i="334"/>
  <c r="A16" i="334"/>
  <c r="F15" i="334"/>
  <c r="G15" i="334" s="1"/>
  <c r="A15" i="334"/>
  <c r="F14" i="334"/>
  <c r="G14" i="334" s="1"/>
  <c r="A14" i="334"/>
  <c r="G13" i="334"/>
  <c r="F13" i="334"/>
  <c r="A13" i="334"/>
  <c r="F12" i="334"/>
  <c r="G12" i="334" s="1"/>
  <c r="A12" i="334"/>
  <c r="F11" i="334"/>
  <c r="G11" i="334" s="1"/>
  <c r="A11" i="334"/>
  <c r="F10" i="334"/>
  <c r="G10" i="334" s="1"/>
  <c r="A10" i="334"/>
  <c r="F9" i="334"/>
  <c r="F8" i="334" s="1"/>
  <c r="A9" i="334"/>
  <c r="E8" i="334"/>
  <c r="E28" i="334" s="1"/>
  <c r="D8" i="334"/>
  <c r="C8" i="334"/>
  <c r="A8" i="334"/>
  <c r="G3" i="334"/>
  <c r="F3" i="334"/>
  <c r="E3" i="334"/>
  <c r="D3" i="334"/>
  <c r="B2" i="334"/>
  <c r="A2" i="334"/>
  <c r="A55" i="269"/>
  <c r="I51" i="269"/>
  <c r="J51" i="269" s="1"/>
  <c r="A51" i="269"/>
  <c r="I50" i="269"/>
  <c r="J50" i="269" s="1"/>
  <c r="K49" i="269"/>
  <c r="H49" i="269"/>
  <c r="G49" i="269"/>
  <c r="I49" i="269" s="1"/>
  <c r="J49" i="269" s="1"/>
  <c r="F49" i="269"/>
  <c r="E49" i="269"/>
  <c r="D49" i="269"/>
  <c r="C49" i="269"/>
  <c r="I48" i="269"/>
  <c r="J48" i="269" s="1"/>
  <c r="A48" i="269"/>
  <c r="I47" i="269"/>
  <c r="J47" i="269" s="1"/>
  <c r="K46" i="269"/>
  <c r="H46" i="269"/>
  <c r="G46" i="269"/>
  <c r="I46" i="269" s="1"/>
  <c r="J46" i="269" s="1"/>
  <c r="F46" i="269"/>
  <c r="E46" i="269"/>
  <c r="D46" i="269"/>
  <c r="C46" i="269"/>
  <c r="I45" i="269"/>
  <c r="J45" i="269" s="1"/>
  <c r="A45" i="269"/>
  <c r="I44" i="269"/>
  <c r="J44" i="269" s="1"/>
  <c r="K43" i="269"/>
  <c r="H43" i="269"/>
  <c r="G43" i="269"/>
  <c r="F43" i="269"/>
  <c r="E43" i="269"/>
  <c r="E52" i="269" s="1"/>
  <c r="I41" i="269"/>
  <c r="J41" i="269" s="1"/>
  <c r="A41" i="269"/>
  <c r="I40" i="269"/>
  <c r="J40" i="269" s="1"/>
  <c r="I39" i="269"/>
  <c r="J39" i="269" s="1"/>
  <c r="I38" i="269"/>
  <c r="J38" i="269" s="1"/>
  <c r="I37" i="269"/>
  <c r="J37" i="269" s="1"/>
  <c r="I36" i="269"/>
  <c r="J36" i="269" s="1"/>
  <c r="A36" i="269"/>
  <c r="K35" i="269"/>
  <c r="H35" i="269"/>
  <c r="F35" i="269"/>
  <c r="D35" i="269"/>
  <c r="C35" i="269"/>
  <c r="J32"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G8" i="269"/>
  <c r="A18" i="269"/>
  <c r="I15" i="269"/>
  <c r="J15" i="269" s="1"/>
  <c r="I14" i="269"/>
  <c r="J14" i="269" s="1"/>
  <c r="A14" i="269"/>
  <c r="I13" i="269"/>
  <c r="J13" i="269" s="1"/>
  <c r="I12" i="269"/>
  <c r="J12" i="269" s="1"/>
  <c r="A12" i="269"/>
  <c r="I11" i="269"/>
  <c r="J11" i="269" s="1"/>
  <c r="A11" i="269"/>
  <c r="I10" i="269"/>
  <c r="J10" i="269" s="1"/>
  <c r="A10" i="269"/>
  <c r="I9" i="269"/>
  <c r="J9" i="269" s="1"/>
  <c r="A9" i="269"/>
  <c r="K8" i="269"/>
  <c r="D8" i="269"/>
  <c r="C8" i="269"/>
  <c r="C32" i="269" s="1"/>
  <c r="A8" i="269"/>
  <c r="K3" i="269"/>
  <c r="J3" i="269"/>
  <c r="I3" i="269"/>
  <c r="H3" i="269"/>
  <c r="G3" i="269"/>
  <c r="F3" i="269"/>
  <c r="E3" i="269"/>
  <c r="D3" i="269"/>
  <c r="C3" i="269"/>
  <c r="B2" i="269"/>
  <c r="A2" i="269"/>
  <c r="A72" i="270"/>
  <c r="I68" i="270"/>
  <c r="J68" i="270" s="1"/>
  <c r="J63" i="270"/>
  <c r="I63" i="270"/>
  <c r="K62" i="270"/>
  <c r="H62" i="270"/>
  <c r="G62" i="270"/>
  <c r="F62" i="270"/>
  <c r="E62" i="270"/>
  <c r="D62" i="270"/>
  <c r="C62" i="270"/>
  <c r="A62" i="270"/>
  <c r="A44" i="334" s="1"/>
  <c r="I61" i="270"/>
  <c r="J61" i="270" s="1"/>
  <c r="J60" i="270"/>
  <c r="I60" i="270"/>
  <c r="K59" i="270"/>
  <c r="H59" i="270"/>
  <c r="I59" i="270" s="1"/>
  <c r="J59" i="270" s="1"/>
  <c r="G59" i="270"/>
  <c r="F59" i="270"/>
  <c r="E59" i="270"/>
  <c r="D59" i="270"/>
  <c r="C59" i="270"/>
  <c r="A59" i="270"/>
  <c r="A41" i="334" s="1"/>
  <c r="I58" i="270"/>
  <c r="J58" i="270" s="1"/>
  <c r="I53" i="270"/>
  <c r="J53" i="270" s="1"/>
  <c r="K52" i="270"/>
  <c r="H52" i="270"/>
  <c r="G52" i="270"/>
  <c r="F52" i="270"/>
  <c r="E52" i="270"/>
  <c r="D52" i="270"/>
  <c r="C52" i="270"/>
  <c r="A52" i="270"/>
  <c r="A38" i="334" s="1"/>
  <c r="I51" i="270"/>
  <c r="J51" i="270" s="1"/>
  <c r="I50" i="270"/>
  <c r="J50" i="270" s="1"/>
  <c r="I49" i="270"/>
  <c r="J49" i="270" s="1"/>
  <c r="K41" i="270"/>
  <c r="H41" i="270"/>
  <c r="G41" i="270"/>
  <c r="F41" i="270"/>
  <c r="D41" i="270"/>
  <c r="C41" i="270"/>
  <c r="A41" i="270"/>
  <c r="A31" i="334" s="1"/>
  <c r="I37" i="270"/>
  <c r="J37" i="270" s="1"/>
  <c r="I31" i="270"/>
  <c r="J31" i="270" s="1"/>
  <c r="K30" i="270"/>
  <c r="H30" i="270"/>
  <c r="G30" i="270"/>
  <c r="F30" i="270"/>
  <c r="E30" i="270"/>
  <c r="D30" i="270"/>
  <c r="C30" i="270"/>
  <c r="I29" i="270"/>
  <c r="J29" i="270" s="1"/>
  <c r="I28" i="270"/>
  <c r="J28" i="270" s="1"/>
  <c r="K27" i="270"/>
  <c r="H27" i="270"/>
  <c r="G27" i="270"/>
  <c r="F27" i="270"/>
  <c r="E27" i="270"/>
  <c r="D27" i="270"/>
  <c r="C27" i="270"/>
  <c r="I26" i="270"/>
  <c r="J26" i="270" s="1"/>
  <c r="J25" i="270"/>
  <c r="I25" i="270"/>
  <c r="I24" i="270"/>
  <c r="J24" i="270" s="1"/>
  <c r="I23" i="270"/>
  <c r="I20" i="270" s="1"/>
  <c r="K20" i="270"/>
  <c r="K38" i="270" s="1"/>
  <c r="G20" i="270"/>
  <c r="F20" i="270"/>
  <c r="D20" i="270"/>
  <c r="C20" i="270"/>
  <c r="I9" i="270"/>
  <c r="J9" i="270" s="1"/>
  <c r="H8" i="270"/>
  <c r="G8" i="270"/>
  <c r="F8" i="270"/>
  <c r="D8" i="270"/>
  <c r="C8" i="270"/>
  <c r="K3" i="270"/>
  <c r="J3" i="270"/>
  <c r="I3" i="270"/>
  <c r="H3" i="270"/>
  <c r="G3" i="270"/>
  <c r="F3" i="270"/>
  <c r="E3" i="270"/>
  <c r="D3" i="270"/>
  <c r="C3" i="270"/>
  <c r="B2" i="270"/>
  <c r="A2" i="270"/>
  <c r="A25" i="238"/>
  <c r="J22" i="238"/>
  <c r="I22" i="238"/>
  <c r="H22" i="238"/>
  <c r="F22" i="238"/>
  <c r="J12" i="238"/>
  <c r="J24" i="238" s="1"/>
  <c r="I12" i="238"/>
  <c r="I24" i="238" s="1"/>
  <c r="H12" i="238"/>
  <c r="H24" i="238" s="1"/>
  <c r="F12" i="238"/>
  <c r="F24" i="238" s="1"/>
  <c r="L15" i="173"/>
  <c r="J15" i="173"/>
  <c r="I15" i="173"/>
  <c r="H15" i="173"/>
  <c r="G15" i="173"/>
  <c r="F52" i="267" s="1"/>
  <c r="F15" i="173"/>
  <c r="E15" i="173"/>
  <c r="D15" i="173"/>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G59"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D11" i="174"/>
  <c r="H3" i="174"/>
  <c r="G3" i="174"/>
  <c r="F3" i="174"/>
  <c r="E3" i="174"/>
  <c r="D3" i="174"/>
  <c r="C2" i="174"/>
  <c r="A41" i="251"/>
  <c r="B15" i="251"/>
  <c r="B10" i="251"/>
  <c r="B5" i="251"/>
  <c r="B2" i="251"/>
  <c r="A2" i="251"/>
  <c r="K40" i="177"/>
  <c r="H40" i="177"/>
  <c r="H37" i="177"/>
  <c r="G45" i="267" s="1"/>
  <c r="G37" i="177"/>
  <c r="F45" i="267" s="1"/>
  <c r="F37" i="177"/>
  <c r="E45" i="267" s="1"/>
  <c r="E37" i="177"/>
  <c r="D37" i="177"/>
  <c r="C37" i="177"/>
  <c r="B45" i="267" s="1"/>
  <c r="K37" i="177"/>
  <c r="I36" i="177"/>
  <c r="J36" i="177" s="1"/>
  <c r="J35" i="177"/>
  <c r="I34" i="177"/>
  <c r="J34" i="177" s="1"/>
  <c r="I33" i="177"/>
  <c r="J33" i="177" s="1"/>
  <c r="I32" i="177"/>
  <c r="J32" i="177" s="1"/>
  <c r="H28" i="177"/>
  <c r="G44" i="267" s="1"/>
  <c r="G28" i="177"/>
  <c r="F44" i="267" s="1"/>
  <c r="F28" i="177"/>
  <c r="E44" i="267" s="1"/>
  <c r="E28" i="177"/>
  <c r="D44" i="267" s="1"/>
  <c r="D28" i="177"/>
  <c r="C28" i="177"/>
  <c r="I27" i="177"/>
  <c r="J27" i="177" s="1"/>
  <c r="I25" i="177"/>
  <c r="J25" i="177" s="1"/>
  <c r="I24" i="177"/>
  <c r="J24" i="177" s="1"/>
  <c r="I23" i="177"/>
  <c r="J23" i="177" s="1"/>
  <c r="K28" i="177"/>
  <c r="I22" i="177"/>
  <c r="J22" i="177" s="1"/>
  <c r="G18" i="177"/>
  <c r="F43" i="267" s="1"/>
  <c r="F18" i="177"/>
  <c r="E18" i="177"/>
  <c r="D18" i="177"/>
  <c r="C18" i="177"/>
  <c r="I17" i="177"/>
  <c r="J17" i="177" s="1"/>
  <c r="H58" i="174"/>
  <c r="I16" i="177"/>
  <c r="J16" i="177" s="1"/>
  <c r="I15" i="177"/>
  <c r="J15" i="177" s="1"/>
  <c r="I13" i="177"/>
  <c r="J13" i="177" s="1"/>
  <c r="I12" i="177"/>
  <c r="J12" i="177" s="1"/>
  <c r="I11" i="177"/>
  <c r="J11" i="177" s="1"/>
  <c r="I10" i="177"/>
  <c r="J10" i="177" s="1"/>
  <c r="I9" i="177"/>
  <c r="J9" i="177" s="1"/>
  <c r="I8" i="177"/>
  <c r="J8" i="177" s="1"/>
  <c r="K18" i="177"/>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40" i="178"/>
  <c r="C39" i="267" s="1"/>
  <c r="C40" i="178"/>
  <c r="B39" i="267" s="1"/>
  <c r="H51" i="174"/>
  <c r="F38" i="178"/>
  <c r="G51" i="174" s="1"/>
  <c r="F35" i="178"/>
  <c r="G53" i="174" s="1"/>
  <c r="E35" i="178"/>
  <c r="F53" i="174" s="1"/>
  <c r="D35" i="178"/>
  <c r="C35" i="178"/>
  <c r="D53" i="174" s="1"/>
  <c r="G30" i="178"/>
  <c r="H48" i="174" s="1"/>
  <c r="H10" i="174" s="1"/>
  <c r="F25" i="178"/>
  <c r="F37" i="267" s="1"/>
  <c r="E25" i="178"/>
  <c r="D25" i="178"/>
  <c r="C25" i="178"/>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J335" i="324"/>
  <c r="I335" i="324"/>
  <c r="A335" i="324"/>
  <c r="I334" i="324"/>
  <c r="J334" i="324" s="1"/>
  <c r="A334" i="324"/>
  <c r="J333" i="324"/>
  <c r="I333" i="324"/>
  <c r="A333" i="324"/>
  <c r="I332" i="324"/>
  <c r="J332" i="324" s="1"/>
  <c r="A332" i="324"/>
  <c r="I331" i="324"/>
  <c r="J331" i="324" s="1"/>
  <c r="A331" i="324"/>
  <c r="K330" i="324"/>
  <c r="K38" i="268" s="1"/>
  <c r="H330" i="324"/>
  <c r="G330" i="324"/>
  <c r="I330" i="324" s="1"/>
  <c r="F330" i="324"/>
  <c r="E330" i="324"/>
  <c r="E38" i="268" s="1"/>
  <c r="D330" i="324"/>
  <c r="C330" i="324"/>
  <c r="I329" i="324"/>
  <c r="J329" i="324" s="1"/>
  <c r="A329" i="324"/>
  <c r="I328" i="324"/>
  <c r="J328" i="324" s="1"/>
  <c r="A328" i="324"/>
  <c r="I327" i="324"/>
  <c r="J327" i="324" s="1"/>
  <c r="A327" i="324"/>
  <c r="J326" i="324"/>
  <c r="I326" i="324"/>
  <c r="A326" i="324"/>
  <c r="I325" i="324"/>
  <c r="J325" i="324" s="1"/>
  <c r="A325" i="324"/>
  <c r="I324" i="324"/>
  <c r="J324" i="324" s="1"/>
  <c r="A324" i="324"/>
  <c r="I323" i="324"/>
  <c r="J323" i="324" s="1"/>
  <c r="A323" i="324"/>
  <c r="J322" i="324"/>
  <c r="I322" i="324"/>
  <c r="A322" i="324"/>
  <c r="I321" i="324"/>
  <c r="J321" i="324" s="1"/>
  <c r="A321" i="324"/>
  <c r="I320" i="324"/>
  <c r="J320" i="324" s="1"/>
  <c r="A320" i="324"/>
  <c r="K319" i="324"/>
  <c r="H319" i="324"/>
  <c r="G319" i="324"/>
  <c r="I319" i="324" s="1"/>
  <c r="F319" i="324"/>
  <c r="E319" i="324"/>
  <c r="E37" i="268" s="1"/>
  <c r="D319" i="324"/>
  <c r="C319" i="324"/>
  <c r="I318" i="324"/>
  <c r="J318" i="324" s="1"/>
  <c r="A318" i="324"/>
  <c r="I317" i="324"/>
  <c r="J317" i="324" s="1"/>
  <c r="A317" i="324"/>
  <c r="I316" i="324"/>
  <c r="J316" i="324" s="1"/>
  <c r="A316" i="324"/>
  <c r="I315" i="324"/>
  <c r="J315" i="324" s="1"/>
  <c r="A315" i="324"/>
  <c r="I314" i="324"/>
  <c r="J314" i="324" s="1"/>
  <c r="A314" i="324"/>
  <c r="J313" i="324"/>
  <c r="I313" i="324"/>
  <c r="A313" i="324"/>
  <c r="I312" i="324"/>
  <c r="J312" i="324" s="1"/>
  <c r="A312" i="324"/>
  <c r="J311" i="324"/>
  <c r="I311" i="324"/>
  <c r="A311" i="324"/>
  <c r="I310" i="324"/>
  <c r="J310" i="324" s="1"/>
  <c r="A310" i="324"/>
  <c r="I309" i="324"/>
  <c r="J309" i="324" s="1"/>
  <c r="A309" i="324"/>
  <c r="K308" i="324"/>
  <c r="H308" i="324"/>
  <c r="G308" i="324"/>
  <c r="I308" i="324" s="1"/>
  <c r="F308" i="324"/>
  <c r="E308" i="324"/>
  <c r="E36" i="268" s="1"/>
  <c r="D308" i="324"/>
  <c r="C308" i="324"/>
  <c r="I307" i="324"/>
  <c r="J307" i="324" s="1"/>
  <c r="A307" i="324"/>
  <c r="I306" i="324"/>
  <c r="J306" i="324" s="1"/>
  <c r="A306" i="324"/>
  <c r="I305" i="324"/>
  <c r="J305" i="324" s="1"/>
  <c r="A305" i="324"/>
  <c r="J304" i="324"/>
  <c r="I304" i="324"/>
  <c r="A304" i="324"/>
  <c r="I303" i="324"/>
  <c r="J303" i="324" s="1"/>
  <c r="A303" i="324"/>
  <c r="I302" i="324"/>
  <c r="J302" i="324" s="1"/>
  <c r="A302" i="324"/>
  <c r="I301" i="324"/>
  <c r="J301" i="324" s="1"/>
  <c r="A301" i="324"/>
  <c r="J300" i="324"/>
  <c r="I300" i="324"/>
  <c r="A300" i="324"/>
  <c r="I299" i="324"/>
  <c r="J299" i="324" s="1"/>
  <c r="A299" i="324"/>
  <c r="I298" i="324"/>
  <c r="J298" i="324" s="1"/>
  <c r="A298" i="324"/>
  <c r="K297" i="324"/>
  <c r="H297" i="324"/>
  <c r="G297" i="324"/>
  <c r="I297" i="324" s="1"/>
  <c r="F297" i="324"/>
  <c r="E297" i="324"/>
  <c r="E35" i="268" s="1"/>
  <c r="D297" i="324"/>
  <c r="C297" i="324"/>
  <c r="I296" i="324"/>
  <c r="J296" i="324" s="1"/>
  <c r="A296" i="324"/>
  <c r="I295" i="324"/>
  <c r="J295" i="324" s="1"/>
  <c r="A295" i="324"/>
  <c r="I294" i="324"/>
  <c r="J294" i="324" s="1"/>
  <c r="A294" i="324"/>
  <c r="J293" i="324"/>
  <c r="I293" i="324"/>
  <c r="A293" i="324"/>
  <c r="I292" i="324"/>
  <c r="J292" i="324" s="1"/>
  <c r="A292" i="324"/>
  <c r="J291" i="324"/>
  <c r="I291" i="324"/>
  <c r="A291" i="324"/>
  <c r="I290" i="324"/>
  <c r="J290" i="324" s="1"/>
  <c r="A290" i="324"/>
  <c r="J289" i="324"/>
  <c r="I289" i="324"/>
  <c r="A289" i="324"/>
  <c r="I288" i="324"/>
  <c r="J288" i="324" s="1"/>
  <c r="A288" i="324"/>
  <c r="I287" i="324"/>
  <c r="J287" i="324" s="1"/>
  <c r="A287" i="324"/>
  <c r="K286" i="324"/>
  <c r="H286" i="324"/>
  <c r="G286" i="324"/>
  <c r="I286" i="324" s="1"/>
  <c r="F286" i="324"/>
  <c r="F34" i="268" s="1"/>
  <c r="E286" i="324"/>
  <c r="E34" i="268" s="1"/>
  <c r="D286" i="324"/>
  <c r="C286" i="324"/>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264" i="324"/>
  <c r="G32" i="268" s="1"/>
  <c r="F264" i="324"/>
  <c r="E264" i="324"/>
  <c r="E32" i="268" s="1"/>
  <c r="D264" i="324"/>
  <c r="D32" i="268" s="1"/>
  <c r="C264" i="324"/>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D253" i="324"/>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G242" i="324"/>
  <c r="F242" i="324"/>
  <c r="F30" i="268" s="1"/>
  <c r="E242" i="324"/>
  <c r="E30" i="268" s="1"/>
  <c r="D242" i="324"/>
  <c r="C242" i="324"/>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31" i="324"/>
  <c r="G29" i="268" s="1"/>
  <c r="F231" i="324"/>
  <c r="F29" i="268" s="1"/>
  <c r="E231" i="324"/>
  <c r="E29" i="268" s="1"/>
  <c r="D231" i="324"/>
  <c r="C231" i="324"/>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G220" i="324"/>
  <c r="G28" i="268" s="1"/>
  <c r="F220" i="324"/>
  <c r="F28" i="268" s="1"/>
  <c r="E220" i="324"/>
  <c r="D220" i="324"/>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G209" i="324"/>
  <c r="F209" i="324"/>
  <c r="E27" i="268"/>
  <c r="D209" i="324"/>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C198" i="324"/>
  <c r="I197" i="324"/>
  <c r="J197" i="324" s="1"/>
  <c r="A197" i="324"/>
  <c r="I196" i="324"/>
  <c r="J196" i="324" s="1"/>
  <c r="A196" i="324"/>
  <c r="I195" i="324"/>
  <c r="J195" i="324" s="1"/>
  <c r="A195" i="324"/>
  <c r="J194" i="324"/>
  <c r="I194" i="324"/>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G187" i="324"/>
  <c r="I187" i="324" s="1"/>
  <c r="J187" i="324" s="1"/>
  <c r="F187" i="324"/>
  <c r="F25" i="268" s="1"/>
  <c r="E187" i="324"/>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F176" i="324"/>
  <c r="F24" i="268" s="1"/>
  <c r="E176" i="324"/>
  <c r="E24" i="268" s="1"/>
  <c r="D176" i="324"/>
  <c r="D24" i="268" s="1"/>
  <c r="C176" i="324"/>
  <c r="I175" i="324"/>
  <c r="J175" i="324" s="1"/>
  <c r="I173" i="324"/>
  <c r="J173" i="324" s="1"/>
  <c r="W171" i="324"/>
  <c r="W342" i="324" s="1"/>
  <c r="V171" i="324"/>
  <c r="V342" i="324" s="1"/>
  <c r="U171" i="324"/>
  <c r="U342" i="324" s="1"/>
  <c r="T171" i="324"/>
  <c r="S171" i="324"/>
  <c r="S342" i="324" s="1"/>
  <c r="R171" i="324"/>
  <c r="R342" i="324" s="1"/>
  <c r="Q171" i="324"/>
  <c r="Q342" i="324" s="1"/>
  <c r="P171" i="324"/>
  <c r="O171" i="324"/>
  <c r="O342" i="324" s="1"/>
  <c r="N171" i="324"/>
  <c r="N342" i="324" s="1"/>
  <c r="M171" i="324"/>
  <c r="M342" i="324" s="1"/>
  <c r="L171" i="324"/>
  <c r="J171" i="324"/>
  <c r="I171" i="324"/>
  <c r="A171" i="324"/>
  <c r="I170" i="324"/>
  <c r="J170" i="324" s="1"/>
  <c r="A170" i="324"/>
  <c r="I169" i="324"/>
  <c r="J169" i="324" s="1"/>
  <c r="A169" i="324"/>
  <c r="I168" i="324"/>
  <c r="J168" i="324" s="1"/>
  <c r="A168" i="324"/>
  <c r="J167" i="324"/>
  <c r="I167" i="324"/>
  <c r="A167" i="324"/>
  <c r="I166" i="324"/>
  <c r="J166" i="324" s="1"/>
  <c r="A166" i="324"/>
  <c r="I165" i="324"/>
  <c r="J165" i="324" s="1"/>
  <c r="A165" i="324"/>
  <c r="I164" i="324"/>
  <c r="J164" i="324" s="1"/>
  <c r="A164" i="324"/>
  <c r="J163" i="324"/>
  <c r="I163" i="324"/>
  <c r="A163" i="324"/>
  <c r="I162" i="324"/>
  <c r="J162" i="324" s="1"/>
  <c r="A162" i="324"/>
  <c r="K161" i="324"/>
  <c r="K20" i="268" s="1"/>
  <c r="H161" i="324"/>
  <c r="G161" i="324"/>
  <c r="F161" i="324"/>
  <c r="E161" i="324"/>
  <c r="E20" i="268" s="1"/>
  <c r="D161" i="324"/>
  <c r="C161" i="324"/>
  <c r="J160" i="324"/>
  <c r="I160" i="324"/>
  <c r="A160" i="324"/>
  <c r="I159" i="324"/>
  <c r="J159" i="324" s="1"/>
  <c r="A159" i="324"/>
  <c r="J158" i="324"/>
  <c r="I158" i="324"/>
  <c r="A158" i="324"/>
  <c r="I157" i="324"/>
  <c r="J157" i="324" s="1"/>
  <c r="A157" i="324"/>
  <c r="J156" i="324"/>
  <c r="I156" i="324"/>
  <c r="A156" i="324"/>
  <c r="I155" i="324"/>
  <c r="J155" i="324" s="1"/>
  <c r="A155" i="324"/>
  <c r="I154" i="324"/>
  <c r="J154" i="324" s="1"/>
  <c r="A154" i="324"/>
  <c r="I153" i="324"/>
  <c r="J153" i="324" s="1"/>
  <c r="A153" i="324"/>
  <c r="I152" i="324"/>
  <c r="J152" i="324" s="1"/>
  <c r="A152" i="324"/>
  <c r="I151" i="324"/>
  <c r="J151" i="324" s="1"/>
  <c r="A151" i="324"/>
  <c r="K150" i="324"/>
  <c r="K19" i="268" s="1"/>
  <c r="I150" i="324"/>
  <c r="J150" i="324" s="1"/>
  <c r="H150" i="324"/>
  <c r="G150" i="324"/>
  <c r="F150" i="324"/>
  <c r="F19" i="268" s="1"/>
  <c r="E150" i="324"/>
  <c r="E19" i="268" s="1"/>
  <c r="D150" i="324"/>
  <c r="C150" i="324"/>
  <c r="I149" i="324"/>
  <c r="J149" i="324" s="1"/>
  <c r="A149" i="324"/>
  <c r="I148" i="324"/>
  <c r="J148" i="324" s="1"/>
  <c r="A148" i="324"/>
  <c r="J147" i="324"/>
  <c r="I147" i="324"/>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G139" i="324"/>
  <c r="F139" i="324"/>
  <c r="E139" i="324"/>
  <c r="D139" i="324"/>
  <c r="C139" i="324"/>
  <c r="C18" i="268" s="1"/>
  <c r="I138" i="324"/>
  <c r="J138" i="324" s="1"/>
  <c r="A138" i="324"/>
  <c r="I137" i="324"/>
  <c r="J137" i="324" s="1"/>
  <c r="A137" i="324"/>
  <c r="I136" i="324"/>
  <c r="J136" i="324" s="1"/>
  <c r="A136" i="324"/>
  <c r="I135" i="324"/>
  <c r="J135" i="324" s="1"/>
  <c r="A135" i="324"/>
  <c r="I134" i="324"/>
  <c r="J134" i="324" s="1"/>
  <c r="A134" i="324"/>
  <c r="J133" i="324"/>
  <c r="I133" i="324"/>
  <c r="A133" i="324"/>
  <c r="I132" i="324"/>
  <c r="J132" i="324" s="1"/>
  <c r="A132" i="324"/>
  <c r="J131" i="324"/>
  <c r="I131" i="324"/>
  <c r="A131" i="324"/>
  <c r="I130" i="324"/>
  <c r="J130" i="324" s="1"/>
  <c r="A130" i="324"/>
  <c r="I129" i="324"/>
  <c r="J129" i="324" s="1"/>
  <c r="A129" i="324"/>
  <c r="K128" i="324"/>
  <c r="K17" i="268" s="1"/>
  <c r="H128" i="324"/>
  <c r="G128" i="324"/>
  <c r="I128" i="324" s="1"/>
  <c r="J128" i="324" s="1"/>
  <c r="F128" i="324"/>
  <c r="F17" i="268" s="1"/>
  <c r="E128" i="324"/>
  <c r="E17" i="268" s="1"/>
  <c r="D128" i="324"/>
  <c r="C128" i="324"/>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J120" i="324"/>
  <c r="I120" i="324"/>
  <c r="A120" i="324"/>
  <c r="I119" i="324"/>
  <c r="J119" i="324" s="1"/>
  <c r="A119" i="324"/>
  <c r="I118" i="324"/>
  <c r="J118" i="324" s="1"/>
  <c r="A118" i="324"/>
  <c r="K117" i="324"/>
  <c r="K16" i="268" s="1"/>
  <c r="H117" i="324"/>
  <c r="G117" i="324"/>
  <c r="F117" i="324"/>
  <c r="E117" i="324"/>
  <c r="E16" i="268" s="1"/>
  <c r="D117" i="324"/>
  <c r="C117" i="324"/>
  <c r="K116" i="324"/>
  <c r="J116" i="324"/>
  <c r="I116" i="324"/>
  <c r="A116" i="324"/>
  <c r="K115" i="324"/>
  <c r="J115" i="324"/>
  <c r="I115" i="324"/>
  <c r="A115" i="324"/>
  <c r="K114" i="324"/>
  <c r="J114" i="324"/>
  <c r="I114" i="324"/>
  <c r="A114" i="324"/>
  <c r="K113" i="324"/>
  <c r="J113" i="324"/>
  <c r="I113" i="324"/>
  <c r="A113" i="324"/>
  <c r="K112" i="324"/>
  <c r="J112" i="324"/>
  <c r="I112" i="324"/>
  <c r="A112" i="324"/>
  <c r="K111" i="324"/>
  <c r="J111" i="324"/>
  <c r="I111" i="324"/>
  <c r="A111" i="324"/>
  <c r="K110" i="324"/>
  <c r="J110" i="324"/>
  <c r="I110" i="324"/>
  <c r="A110" i="324"/>
  <c r="K109" i="324"/>
  <c r="J109" i="324"/>
  <c r="I109" i="324"/>
  <c r="A109" i="324"/>
  <c r="K108" i="324"/>
  <c r="J108" i="324"/>
  <c r="I108" i="324"/>
  <c r="A108" i="324"/>
  <c r="K107" i="324"/>
  <c r="J107" i="324"/>
  <c r="I107" i="324"/>
  <c r="A107" i="324"/>
  <c r="K106" i="324"/>
  <c r="H106" i="324"/>
  <c r="G106" i="324"/>
  <c r="F106" i="324"/>
  <c r="E106" i="324"/>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K95" i="324" s="1"/>
  <c r="K14" i="268" s="1"/>
  <c r="I96" i="324"/>
  <c r="J96" i="324" s="1"/>
  <c r="A96" i="324"/>
  <c r="H95" i="324"/>
  <c r="G95" i="324"/>
  <c r="F95" i="324"/>
  <c r="E95" i="324"/>
  <c r="E14" i="268" s="1"/>
  <c r="D95" i="324"/>
  <c r="C95" i="324"/>
  <c r="C14" i="268" s="1"/>
  <c r="K94" i="324"/>
  <c r="J94" i="324"/>
  <c r="I94" i="324"/>
  <c r="A94" i="324"/>
  <c r="K93" i="324"/>
  <c r="J93" i="324"/>
  <c r="I93" i="324"/>
  <c r="A93" i="324"/>
  <c r="K92" i="324"/>
  <c r="J92" i="324"/>
  <c r="I92" i="324"/>
  <c r="A92" i="324"/>
  <c r="K91" i="324"/>
  <c r="J91" i="324"/>
  <c r="I91" i="324"/>
  <c r="A91" i="324"/>
  <c r="K90" i="324"/>
  <c r="J90" i="324"/>
  <c r="I90" i="324"/>
  <c r="A90" i="324"/>
  <c r="K89" i="324"/>
  <c r="J89" i="324"/>
  <c r="I89" i="324"/>
  <c r="A89" i="324"/>
  <c r="K88" i="324"/>
  <c r="J88" i="324"/>
  <c r="I88" i="324"/>
  <c r="A88" i="324"/>
  <c r="K87" i="324"/>
  <c r="J87" i="324"/>
  <c r="I87" i="324"/>
  <c r="A87" i="324"/>
  <c r="K86" i="324"/>
  <c r="J86" i="324"/>
  <c r="I86" i="324"/>
  <c r="A86" i="324"/>
  <c r="K85" i="324"/>
  <c r="J85" i="324"/>
  <c r="I85" i="324"/>
  <c r="A85" i="324"/>
  <c r="K84" i="324"/>
  <c r="H84" i="324"/>
  <c r="I84" i="324" s="1"/>
  <c r="J84" i="324" s="1"/>
  <c r="G84" i="324"/>
  <c r="F84" i="324"/>
  <c r="F13" i="268" s="1"/>
  <c r="E84" i="324"/>
  <c r="D84" i="324"/>
  <c r="C84" i="324"/>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I74" i="324"/>
  <c r="J74" i="324" s="1"/>
  <c r="A74" i="324"/>
  <c r="K73" i="324"/>
  <c r="K12" i="268" s="1"/>
  <c r="H73" i="324"/>
  <c r="G73" i="324"/>
  <c r="I73" i="324" s="1"/>
  <c r="J73" i="324" s="1"/>
  <c r="F73" i="324"/>
  <c r="E73" i="324"/>
  <c r="E12" i="268" s="1"/>
  <c r="D73" i="324"/>
  <c r="C73" i="324"/>
  <c r="K72" i="324"/>
  <c r="J72" i="324"/>
  <c r="I72" i="324"/>
  <c r="A72" i="324"/>
  <c r="K71" i="324"/>
  <c r="J71" i="324"/>
  <c r="I71" i="324"/>
  <c r="A71" i="324"/>
  <c r="K70" i="324"/>
  <c r="J70" i="324"/>
  <c r="I70" i="324"/>
  <c r="A70" i="324"/>
  <c r="K69" i="324"/>
  <c r="J69" i="324"/>
  <c r="I69" i="324"/>
  <c r="A69" i="324"/>
  <c r="K68" i="324"/>
  <c r="J68" i="324"/>
  <c r="I68" i="324"/>
  <c r="A68" i="324"/>
  <c r="K67" i="324"/>
  <c r="J67" i="324"/>
  <c r="I67" i="324"/>
  <c r="A67" i="324"/>
  <c r="K66" i="324"/>
  <c r="J66" i="324"/>
  <c r="I66" i="324"/>
  <c r="A66" i="324"/>
  <c r="K65" i="324"/>
  <c r="J65" i="324"/>
  <c r="I65" i="324"/>
  <c r="A65" i="324"/>
  <c r="K64" i="324"/>
  <c r="J64" i="324"/>
  <c r="I64" i="324"/>
  <c r="A64" i="324"/>
  <c r="K63" i="324"/>
  <c r="J63" i="324"/>
  <c r="I63" i="324"/>
  <c r="A63" i="324"/>
  <c r="K62" i="324"/>
  <c r="K11" i="268" s="1"/>
  <c r="H62" i="324"/>
  <c r="G62" i="324"/>
  <c r="F62" i="324"/>
  <c r="E62" i="324"/>
  <c r="E11" i="268" s="1"/>
  <c r="D62" i="324"/>
  <c r="D11" i="268" s="1"/>
  <c r="C62" i="324"/>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K51" i="324"/>
  <c r="H51" i="324"/>
  <c r="G51" i="324"/>
  <c r="F51" i="324"/>
  <c r="E51" i="324"/>
  <c r="D51" i="324"/>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K40" i="324"/>
  <c r="H40" i="324"/>
  <c r="G40" i="324"/>
  <c r="G9" i="268" s="1"/>
  <c r="F40" i="324"/>
  <c r="F9" i="268" s="1"/>
  <c r="E40" i="324"/>
  <c r="D40" i="324"/>
  <c r="C40" i="324"/>
  <c r="C9" i="268" s="1"/>
  <c r="K39" i="324"/>
  <c r="I39" i="324"/>
  <c r="J39" i="324" s="1"/>
  <c r="A39" i="324"/>
  <c r="I38" i="324"/>
  <c r="J38" i="324" s="1"/>
  <c r="A38" i="324"/>
  <c r="I37" i="324"/>
  <c r="J37" i="324" s="1"/>
  <c r="A37" i="324"/>
  <c r="I36" i="324"/>
  <c r="J36" i="324" s="1"/>
  <c r="A36" i="324"/>
  <c r="I35" i="324"/>
  <c r="J35" i="324" s="1"/>
  <c r="A35" i="324"/>
  <c r="I34" i="324"/>
  <c r="J34" i="324" s="1"/>
  <c r="A34" i="324"/>
  <c r="J33" i="324"/>
  <c r="I33" i="324"/>
  <c r="A33" i="324"/>
  <c r="I32" i="324"/>
  <c r="J32" i="324" s="1"/>
  <c r="A32" i="324"/>
  <c r="I31" i="324"/>
  <c r="J31" i="324" s="1"/>
  <c r="A31" i="324"/>
  <c r="I30" i="324"/>
  <c r="J30" i="324" s="1"/>
  <c r="A30" i="324"/>
  <c r="K29" i="324"/>
  <c r="K8" i="268" s="1"/>
  <c r="H29" i="324"/>
  <c r="H8" i="268" s="1"/>
  <c r="G29" i="324"/>
  <c r="G8" i="268" s="1"/>
  <c r="F29" i="324"/>
  <c r="F8" i="268" s="1"/>
  <c r="E29" i="324"/>
  <c r="E8" i="268" s="1"/>
  <c r="D29" i="324"/>
  <c r="C29" i="324"/>
  <c r="C8" i="268" s="1"/>
  <c r="J28" i="324"/>
  <c r="I28" i="324"/>
  <c r="A28" i="324"/>
  <c r="I27" i="324"/>
  <c r="J27" i="324" s="1"/>
  <c r="A27" i="324"/>
  <c r="I26" i="324"/>
  <c r="J26" i="324" s="1"/>
  <c r="A26" i="324"/>
  <c r="I25" i="324"/>
  <c r="J25" i="324" s="1"/>
  <c r="A25" i="324"/>
  <c r="J24" i="324"/>
  <c r="I24" i="324"/>
  <c r="A24" i="324"/>
  <c r="I23" i="324"/>
  <c r="J23" i="324" s="1"/>
  <c r="A23" i="324"/>
  <c r="I22" i="324"/>
  <c r="J22" i="324" s="1"/>
  <c r="A22" i="324"/>
  <c r="I21" i="324"/>
  <c r="J21" i="324" s="1"/>
  <c r="A21" i="324"/>
  <c r="J20" i="324"/>
  <c r="I20" i="324"/>
  <c r="A20" i="324"/>
  <c r="I19" i="324"/>
  <c r="J19" i="324" s="1"/>
  <c r="A19" i="324"/>
  <c r="K18" i="324"/>
  <c r="K7" i="268" s="1"/>
  <c r="H18" i="324"/>
  <c r="G18" i="324"/>
  <c r="F18" i="324"/>
  <c r="F7" i="268" s="1"/>
  <c r="E18" i="324"/>
  <c r="E7" i="268" s="1"/>
  <c r="D18" i="324"/>
  <c r="C18" i="324"/>
  <c r="C7" i="268" s="1"/>
  <c r="J17" i="324"/>
  <c r="I17" i="324"/>
  <c r="A17" i="324"/>
  <c r="I16" i="324"/>
  <c r="J16" i="324" s="1"/>
  <c r="A16" i="324"/>
  <c r="J15" i="324"/>
  <c r="I15" i="324"/>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E7" i="324"/>
  <c r="D7" i="324"/>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C63" i="268" s="1"/>
  <c r="H38" i="268"/>
  <c r="G38" i="268"/>
  <c r="F38" i="268"/>
  <c r="D38" i="268"/>
  <c r="C38" i="268"/>
  <c r="K37" i="268"/>
  <c r="H37" i="268"/>
  <c r="G37" i="268"/>
  <c r="F37" i="268"/>
  <c r="D37" i="268"/>
  <c r="C37" i="268"/>
  <c r="K36" i="268"/>
  <c r="H36" i="268"/>
  <c r="G36" i="268"/>
  <c r="F36" i="268"/>
  <c r="D36" i="268"/>
  <c r="C36" i="268"/>
  <c r="K35" i="268"/>
  <c r="H35" i="268"/>
  <c r="G35" i="268"/>
  <c r="F35" i="268"/>
  <c r="D35" i="268"/>
  <c r="C35" i="268"/>
  <c r="K34" i="268"/>
  <c r="H34" i="268"/>
  <c r="G34" i="268"/>
  <c r="D34" i="268"/>
  <c r="C34" i="268"/>
  <c r="E33" i="268"/>
  <c r="C33" i="268"/>
  <c r="F32" i="268"/>
  <c r="C32" i="268"/>
  <c r="E31" i="268"/>
  <c r="D31" i="268"/>
  <c r="H30" i="268"/>
  <c r="G30" i="268"/>
  <c r="D30" i="268"/>
  <c r="C30" i="268"/>
  <c r="D29" i="268"/>
  <c r="C29" i="268"/>
  <c r="H28" i="268"/>
  <c r="D28" i="268"/>
  <c r="C28" i="268"/>
  <c r="H27" i="268"/>
  <c r="D27" i="268"/>
  <c r="G26" i="268"/>
  <c r="F26" i="268"/>
  <c r="E26" i="268"/>
  <c r="D26" i="268"/>
  <c r="C26" i="268"/>
  <c r="H25" i="268"/>
  <c r="E25" i="268"/>
  <c r="G24" i="268"/>
  <c r="C24" i="268"/>
  <c r="H20" i="268"/>
  <c r="G20" i="268"/>
  <c r="F20" i="268"/>
  <c r="D20" i="268"/>
  <c r="C20" i="268"/>
  <c r="H19" i="268"/>
  <c r="G19" i="268"/>
  <c r="I19" i="268" s="1"/>
  <c r="J19" i="268" s="1"/>
  <c r="D19" i="268"/>
  <c r="C19" i="268"/>
  <c r="K18" i="268"/>
  <c r="H18" i="268"/>
  <c r="F18" i="268"/>
  <c r="E18" i="268"/>
  <c r="D18" i="268"/>
  <c r="H17" i="268"/>
  <c r="G17" i="268"/>
  <c r="D17" i="268"/>
  <c r="C17" i="268"/>
  <c r="H16" i="268"/>
  <c r="F16" i="268"/>
  <c r="D16" i="268"/>
  <c r="C16" i="268"/>
  <c r="K15" i="268"/>
  <c r="G15" i="268"/>
  <c r="F15" i="268"/>
  <c r="E15" i="268"/>
  <c r="C15" i="268"/>
  <c r="H14" i="268"/>
  <c r="F14" i="268"/>
  <c r="D14" i="268"/>
  <c r="K13" i="268"/>
  <c r="G13" i="268"/>
  <c r="E13" i="268"/>
  <c r="D13" i="268"/>
  <c r="C13" i="268"/>
  <c r="H12" i="268"/>
  <c r="G12" i="268"/>
  <c r="I12" i="268" s="1"/>
  <c r="J12" i="268" s="1"/>
  <c r="F12" i="268"/>
  <c r="D12" i="268"/>
  <c r="C12" i="268"/>
  <c r="G11" i="268"/>
  <c r="F11" i="268"/>
  <c r="C11" i="268"/>
  <c r="K10" i="268"/>
  <c r="H10" i="268"/>
  <c r="F10" i="268"/>
  <c r="E10" i="268"/>
  <c r="D10" i="268"/>
  <c r="K9" i="268"/>
  <c r="E9" i="268"/>
  <c r="D9" i="268"/>
  <c r="D8" i="268"/>
  <c r="H7" i="268"/>
  <c r="D7" i="268"/>
  <c r="H6" i="268"/>
  <c r="F6" i="268"/>
  <c r="D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I34" i="182"/>
  <c r="J34" i="182" s="1"/>
  <c r="I33" i="182"/>
  <c r="J33" i="182" s="1"/>
  <c r="I32" i="182"/>
  <c r="J32" i="182" s="1"/>
  <c r="I31" i="182"/>
  <c r="C12" i="251" s="1"/>
  <c r="I30" i="182"/>
  <c r="J30" i="182" s="1"/>
  <c r="H42" i="174"/>
  <c r="I29" i="182"/>
  <c r="J29" i="182" s="1"/>
  <c r="I28" i="182"/>
  <c r="J28" i="182" s="1"/>
  <c r="I27" i="182"/>
  <c r="J27" i="182" s="1"/>
  <c r="H44" i="174"/>
  <c r="I26" i="182"/>
  <c r="J26" i="182" s="1"/>
  <c r="H40" i="174"/>
  <c r="I25" i="182"/>
  <c r="C11" i="251" s="1"/>
  <c r="H22" i="182"/>
  <c r="H53" i="182" s="1"/>
  <c r="G22" i="182"/>
  <c r="G55" i="174" s="1"/>
  <c r="F22" i="182"/>
  <c r="F53" i="182" s="1"/>
  <c r="E22" i="182"/>
  <c r="E53" i="182" s="1"/>
  <c r="D22" i="182"/>
  <c r="E55" i="174" s="1"/>
  <c r="C22" i="182"/>
  <c r="D55" i="174" s="1"/>
  <c r="I21" i="182"/>
  <c r="J21" i="182" s="1"/>
  <c r="I20" i="182"/>
  <c r="J20" i="182" s="1"/>
  <c r="H56" i="174"/>
  <c r="I19" i="182"/>
  <c r="J19" i="182" s="1"/>
  <c r="I18" i="182"/>
  <c r="J18" i="182" s="1"/>
  <c r="I17" i="182"/>
  <c r="J17" i="182" s="1"/>
  <c r="I16" i="182"/>
  <c r="J16" i="182" s="1"/>
  <c r="I15" i="182"/>
  <c r="J15" i="182" s="1"/>
  <c r="I14" i="182"/>
  <c r="J14" i="182" s="1"/>
  <c r="I13" i="182"/>
  <c r="J13" i="182" s="1"/>
  <c r="I12" i="182"/>
  <c r="J12" i="182" s="1"/>
  <c r="I11" i="182"/>
  <c r="J11" i="182" s="1"/>
  <c r="I10" i="182"/>
  <c r="J10" i="182" s="1"/>
  <c r="I9" i="182"/>
  <c r="J9" i="182" s="1"/>
  <c r="I8" i="182"/>
  <c r="J8" i="182" s="1"/>
  <c r="I7" i="182"/>
  <c r="J7" i="182" s="1"/>
  <c r="K22" i="182"/>
  <c r="I6" i="182"/>
  <c r="J6" i="182"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H338" i="323"/>
  <c r="I338" i="323" s="1"/>
  <c r="J338" i="323" s="1"/>
  <c r="A338" i="323"/>
  <c r="H337" i="323"/>
  <c r="I337" i="323" s="1"/>
  <c r="J337" i="323" s="1"/>
  <c r="A337" i="323"/>
  <c r="H336" i="323"/>
  <c r="I336" i="323" s="1"/>
  <c r="J336" i="323" s="1"/>
  <c r="A336" i="323"/>
  <c r="H335" i="323"/>
  <c r="I335" i="323" s="1"/>
  <c r="J335" i="323" s="1"/>
  <c r="A335" i="323"/>
  <c r="H334" i="323"/>
  <c r="I334" i="323" s="1"/>
  <c r="J334" i="323" s="1"/>
  <c r="A334" i="323"/>
  <c r="H333" i="323"/>
  <c r="I333" i="323" s="1"/>
  <c r="J333" i="323" s="1"/>
  <c r="A333" i="323"/>
  <c r="H332" i="323"/>
  <c r="I332" i="323" s="1"/>
  <c r="J332" i="323" s="1"/>
  <c r="A332" i="323"/>
  <c r="H331" i="323"/>
  <c r="I331" i="323" s="1"/>
  <c r="J331" i="323" s="1"/>
  <c r="A331" i="323"/>
  <c r="H330" i="323"/>
  <c r="I330" i="323" s="1"/>
  <c r="J330" i="323" s="1"/>
  <c r="A330" i="323"/>
  <c r="H329" i="323"/>
  <c r="A329" i="323"/>
  <c r="K328" i="323"/>
  <c r="K38" i="272" s="1"/>
  <c r="G328" i="323"/>
  <c r="F328" i="323"/>
  <c r="E328" i="323"/>
  <c r="D328" i="323"/>
  <c r="C328" i="323"/>
  <c r="C38" i="272" s="1"/>
  <c r="H327" i="323"/>
  <c r="I327" i="323" s="1"/>
  <c r="J327" i="323" s="1"/>
  <c r="A327" i="323"/>
  <c r="H326" i="323"/>
  <c r="I326" i="323" s="1"/>
  <c r="J326" i="323" s="1"/>
  <c r="A326" i="323"/>
  <c r="H325" i="323"/>
  <c r="I325" i="323" s="1"/>
  <c r="J325" i="323" s="1"/>
  <c r="A325" i="323"/>
  <c r="H324" i="323"/>
  <c r="I324" i="323" s="1"/>
  <c r="J324" i="323" s="1"/>
  <c r="A324" i="323"/>
  <c r="H323" i="323"/>
  <c r="I323" i="323" s="1"/>
  <c r="J323" i="323" s="1"/>
  <c r="A323" i="323"/>
  <c r="H322" i="323"/>
  <c r="I322" i="323" s="1"/>
  <c r="J322" i="323" s="1"/>
  <c r="A322" i="323"/>
  <c r="H321" i="323"/>
  <c r="I321" i="323" s="1"/>
  <c r="J321" i="323" s="1"/>
  <c r="A321" i="323"/>
  <c r="H320" i="323"/>
  <c r="I320" i="323" s="1"/>
  <c r="J320" i="323" s="1"/>
  <c r="A320" i="323"/>
  <c r="H319" i="323"/>
  <c r="I319" i="323" s="1"/>
  <c r="J319" i="323" s="1"/>
  <c r="A319" i="323"/>
  <c r="H318" i="323"/>
  <c r="A318" i="323"/>
  <c r="K317" i="323"/>
  <c r="G317" i="323"/>
  <c r="F317" i="323"/>
  <c r="F37" i="272" s="1"/>
  <c r="E317" i="323"/>
  <c r="D317" i="323"/>
  <c r="C317" i="323"/>
  <c r="H316" i="323"/>
  <c r="I316" i="323" s="1"/>
  <c r="J316" i="323" s="1"/>
  <c r="A316" i="323"/>
  <c r="H315" i="323"/>
  <c r="I315" i="323" s="1"/>
  <c r="J315" i="323" s="1"/>
  <c r="A315" i="323"/>
  <c r="H314" i="323"/>
  <c r="I314" i="323" s="1"/>
  <c r="J314" i="323" s="1"/>
  <c r="A314" i="323"/>
  <c r="H313" i="323"/>
  <c r="I313" i="323" s="1"/>
  <c r="J313" i="323" s="1"/>
  <c r="A313" i="323"/>
  <c r="H312" i="323"/>
  <c r="I312" i="323" s="1"/>
  <c r="J312" i="323" s="1"/>
  <c r="A312" i="323"/>
  <c r="H311" i="323"/>
  <c r="I311" i="323" s="1"/>
  <c r="J311" i="323" s="1"/>
  <c r="A311" i="323"/>
  <c r="H310" i="323"/>
  <c r="I310" i="323" s="1"/>
  <c r="J310" i="323" s="1"/>
  <c r="A310" i="323"/>
  <c r="H309" i="323"/>
  <c r="I309" i="323" s="1"/>
  <c r="J309" i="323" s="1"/>
  <c r="A309" i="323"/>
  <c r="H308" i="323"/>
  <c r="I308" i="323" s="1"/>
  <c r="J308" i="323" s="1"/>
  <c r="A308" i="323"/>
  <c r="H307" i="323"/>
  <c r="A307" i="323"/>
  <c r="K306" i="323"/>
  <c r="K36" i="272" s="1"/>
  <c r="G306" i="323"/>
  <c r="F306" i="323"/>
  <c r="E306" i="323"/>
  <c r="D306" i="323"/>
  <c r="C306" i="323"/>
  <c r="H305" i="323"/>
  <c r="I305" i="323" s="1"/>
  <c r="J305" i="323" s="1"/>
  <c r="A305" i="323"/>
  <c r="H304" i="323"/>
  <c r="I304" i="323" s="1"/>
  <c r="J304" i="323" s="1"/>
  <c r="A304" i="323"/>
  <c r="H303" i="323"/>
  <c r="I303" i="323" s="1"/>
  <c r="J303" i="323" s="1"/>
  <c r="A303" i="323"/>
  <c r="H302" i="323"/>
  <c r="I302" i="323" s="1"/>
  <c r="J302" i="323" s="1"/>
  <c r="A302" i="323"/>
  <c r="H301" i="323"/>
  <c r="I301" i="323" s="1"/>
  <c r="J301" i="323" s="1"/>
  <c r="A301" i="323"/>
  <c r="H300" i="323"/>
  <c r="I300" i="323" s="1"/>
  <c r="J300" i="323" s="1"/>
  <c r="A300" i="323"/>
  <c r="H299" i="323"/>
  <c r="I299" i="323" s="1"/>
  <c r="J299" i="323" s="1"/>
  <c r="A299" i="323"/>
  <c r="H298" i="323"/>
  <c r="I298" i="323" s="1"/>
  <c r="J298" i="323" s="1"/>
  <c r="A298" i="323"/>
  <c r="H297" i="323"/>
  <c r="I297" i="323" s="1"/>
  <c r="J297" i="323" s="1"/>
  <c r="A297" i="323"/>
  <c r="H296" i="323"/>
  <c r="I296" i="323" s="1"/>
  <c r="J296" i="323" s="1"/>
  <c r="A296" i="323"/>
  <c r="K295" i="323"/>
  <c r="G295" i="323"/>
  <c r="F295" i="323"/>
  <c r="E295" i="323"/>
  <c r="D295" i="323"/>
  <c r="C295" i="323"/>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G284" i="323"/>
  <c r="F284" i="323"/>
  <c r="F34" i="272" s="1"/>
  <c r="E284" i="323"/>
  <c r="D284" i="323"/>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K273" i="323" s="1"/>
  <c r="K33" i="272" s="1"/>
  <c r="A274" i="323"/>
  <c r="G273" i="323"/>
  <c r="F273" i="323"/>
  <c r="E273" i="323"/>
  <c r="E33" i="272" s="1"/>
  <c r="D273" i="323"/>
  <c r="C273" i="323"/>
  <c r="K272" i="323"/>
  <c r="I272" i="323"/>
  <c r="J272" i="323" s="1"/>
  <c r="A272" i="323"/>
  <c r="K271" i="323"/>
  <c r="I271" i="323"/>
  <c r="J271" i="323" s="1"/>
  <c r="A271" i="323"/>
  <c r="K270" i="323"/>
  <c r="I270" i="323"/>
  <c r="J270" i="323" s="1"/>
  <c r="A270" i="323"/>
  <c r="K269" i="323"/>
  <c r="I269" i="323"/>
  <c r="J269" i="323" s="1"/>
  <c r="A269" i="323"/>
  <c r="K268" i="323"/>
  <c r="I268" i="323"/>
  <c r="J268" i="323" s="1"/>
  <c r="A268" i="323"/>
  <c r="K267" i="323"/>
  <c r="I267" i="323"/>
  <c r="J267" i="323" s="1"/>
  <c r="A267" i="323"/>
  <c r="K266" i="323"/>
  <c r="I266" i="323"/>
  <c r="J266" i="323" s="1"/>
  <c r="A266" i="323"/>
  <c r="K265" i="323"/>
  <c r="I265" i="323"/>
  <c r="J265" i="323" s="1"/>
  <c r="A265" i="323"/>
  <c r="K264" i="323"/>
  <c r="I264" i="323"/>
  <c r="J264" i="323" s="1"/>
  <c r="A264" i="323"/>
  <c r="K263" i="323"/>
  <c r="A263" i="323"/>
  <c r="G262" i="323"/>
  <c r="F262" i="323"/>
  <c r="E262" i="323"/>
  <c r="E32" i="272" s="1"/>
  <c r="D262" i="323"/>
  <c r="C262" i="323"/>
  <c r="K261" i="323"/>
  <c r="I261" i="323"/>
  <c r="J261" i="323" s="1"/>
  <c r="A261" i="323"/>
  <c r="K260" i="323"/>
  <c r="I260" i="323"/>
  <c r="J260" i="323" s="1"/>
  <c r="A260" i="323"/>
  <c r="K259" i="323"/>
  <c r="I259" i="323"/>
  <c r="J259" i="323" s="1"/>
  <c r="A259" i="323"/>
  <c r="K258" i="323"/>
  <c r="I258" i="323"/>
  <c r="J258" i="323" s="1"/>
  <c r="A258" i="323"/>
  <c r="K257" i="323"/>
  <c r="I257" i="323"/>
  <c r="J257" i="323" s="1"/>
  <c r="A257" i="323"/>
  <c r="K256" i="323"/>
  <c r="I256" i="323"/>
  <c r="J256" i="323" s="1"/>
  <c r="A256" i="323"/>
  <c r="K255" i="323"/>
  <c r="I255" i="323"/>
  <c r="J255" i="323" s="1"/>
  <c r="A255" i="323"/>
  <c r="K254" i="323"/>
  <c r="I254" i="323"/>
  <c r="J254" i="323" s="1"/>
  <c r="A254" i="323"/>
  <c r="K253" i="323"/>
  <c r="I253" i="323"/>
  <c r="J253" i="323" s="1"/>
  <c r="A253" i="323"/>
  <c r="K252" i="323"/>
  <c r="A252" i="323"/>
  <c r="G251" i="323"/>
  <c r="G31" i="272" s="1"/>
  <c r="F251" i="323"/>
  <c r="F31" i="272" s="1"/>
  <c r="E251" i="323"/>
  <c r="E31" i="272" s="1"/>
  <c r="D251" i="323"/>
  <c r="C251" i="323"/>
  <c r="C31" i="272" s="1"/>
  <c r="K250" i="323"/>
  <c r="I250" i="323"/>
  <c r="J250" i="323" s="1"/>
  <c r="A250" i="323"/>
  <c r="K249" i="323"/>
  <c r="I249" i="323"/>
  <c r="J249" i="323" s="1"/>
  <c r="A249" i="323"/>
  <c r="K248" i="323"/>
  <c r="I248" i="323"/>
  <c r="J248" i="323" s="1"/>
  <c r="A248" i="323"/>
  <c r="K247" i="323"/>
  <c r="I247" i="323"/>
  <c r="J247" i="323" s="1"/>
  <c r="A247" i="323"/>
  <c r="K246" i="323"/>
  <c r="I246" i="323"/>
  <c r="J246" i="323" s="1"/>
  <c r="A246" i="323"/>
  <c r="K245" i="323"/>
  <c r="I245" i="323"/>
  <c r="J245" i="323" s="1"/>
  <c r="A245" i="323"/>
  <c r="K244" i="323"/>
  <c r="I244" i="323"/>
  <c r="J244" i="323" s="1"/>
  <c r="A244" i="323"/>
  <c r="K243" i="323"/>
  <c r="I243" i="323"/>
  <c r="J243" i="323" s="1"/>
  <c r="A243" i="323"/>
  <c r="K242" i="323"/>
  <c r="I242" i="323"/>
  <c r="J242" i="323" s="1"/>
  <c r="A242" i="323"/>
  <c r="K241" i="323"/>
  <c r="A241" i="323"/>
  <c r="G240" i="323"/>
  <c r="G30" i="272" s="1"/>
  <c r="F240" i="323"/>
  <c r="E240" i="323"/>
  <c r="D240" i="323"/>
  <c r="C240" i="323"/>
  <c r="C30" i="272" s="1"/>
  <c r="K239" i="323"/>
  <c r="I239" i="323"/>
  <c r="J239" i="323" s="1"/>
  <c r="A239" i="323"/>
  <c r="K238" i="323"/>
  <c r="I238" i="323"/>
  <c r="J238" i="323" s="1"/>
  <c r="A238" i="323"/>
  <c r="K237" i="323"/>
  <c r="I237" i="323"/>
  <c r="J237" i="323" s="1"/>
  <c r="A237" i="323"/>
  <c r="K236" i="323"/>
  <c r="I236" i="323"/>
  <c r="J236" i="323" s="1"/>
  <c r="A236" i="323"/>
  <c r="K235" i="323"/>
  <c r="I235" i="323"/>
  <c r="J235" i="323" s="1"/>
  <c r="A235" i="323"/>
  <c r="K234" i="323"/>
  <c r="I234" i="323"/>
  <c r="J234" i="323" s="1"/>
  <c r="A234" i="323"/>
  <c r="K233" i="323"/>
  <c r="I233" i="323"/>
  <c r="J233" i="323" s="1"/>
  <c r="A233" i="323"/>
  <c r="K232" i="323"/>
  <c r="I232" i="323"/>
  <c r="J232" i="323" s="1"/>
  <c r="A232" i="323"/>
  <c r="K231" i="323"/>
  <c r="I231" i="323"/>
  <c r="J231" i="323" s="1"/>
  <c r="A231" i="323"/>
  <c r="K230" i="323"/>
  <c r="A230" i="323"/>
  <c r="G229" i="323"/>
  <c r="F229" i="323"/>
  <c r="E229" i="323"/>
  <c r="E29" i="272" s="1"/>
  <c r="D229" i="323"/>
  <c r="C229" i="323"/>
  <c r="C29" i="272" s="1"/>
  <c r="K228" i="323"/>
  <c r="I228" i="323"/>
  <c r="J228" i="323" s="1"/>
  <c r="A228" i="323"/>
  <c r="K227" i="323"/>
  <c r="I227" i="323"/>
  <c r="J227" i="323" s="1"/>
  <c r="A227" i="323"/>
  <c r="K226" i="323"/>
  <c r="I226" i="323"/>
  <c r="J226" i="323" s="1"/>
  <c r="A226" i="323"/>
  <c r="K225" i="323"/>
  <c r="I225" i="323"/>
  <c r="J225" i="323" s="1"/>
  <c r="A225" i="323"/>
  <c r="K224" i="323"/>
  <c r="I224" i="323"/>
  <c r="J224" i="323" s="1"/>
  <c r="A224" i="323"/>
  <c r="K223" i="323"/>
  <c r="I223" i="323"/>
  <c r="J223" i="323" s="1"/>
  <c r="A223" i="323"/>
  <c r="K222" i="323"/>
  <c r="I222" i="323"/>
  <c r="J222" i="323" s="1"/>
  <c r="A222" i="323"/>
  <c r="K221" i="323"/>
  <c r="I221" i="323"/>
  <c r="J221" i="323" s="1"/>
  <c r="A221" i="323"/>
  <c r="K220" i="323"/>
  <c r="I220" i="323"/>
  <c r="J220" i="323" s="1"/>
  <c r="A220" i="323"/>
  <c r="K219" i="323"/>
  <c r="A219" i="323"/>
  <c r="G218" i="323"/>
  <c r="G28" i="272" s="1"/>
  <c r="F218" i="323"/>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K212" i="323"/>
  <c r="I212" i="323"/>
  <c r="J212" i="323" s="1"/>
  <c r="A212" i="323"/>
  <c r="K211" i="323"/>
  <c r="I211" i="323"/>
  <c r="J211" i="323" s="1"/>
  <c r="A211" i="323"/>
  <c r="K210" i="323"/>
  <c r="I210" i="323"/>
  <c r="J210" i="323" s="1"/>
  <c r="A210" i="323"/>
  <c r="K209" i="323"/>
  <c r="I209" i="323"/>
  <c r="J209" i="323" s="1"/>
  <c r="A209" i="323"/>
  <c r="K208" i="323"/>
  <c r="A208" i="323"/>
  <c r="G207" i="323"/>
  <c r="F207" i="323"/>
  <c r="F27" i="272" s="1"/>
  <c r="E207" i="323"/>
  <c r="E27" i="272" s="1"/>
  <c r="D207" i="323"/>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C196" i="323"/>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K189" i="323"/>
  <c r="I189" i="323"/>
  <c r="J189" i="323" s="1"/>
  <c r="A189" i="323"/>
  <c r="K188" i="323"/>
  <c r="I188" i="323"/>
  <c r="J188" i="323" s="1"/>
  <c r="A188" i="323"/>
  <c r="K187" i="323"/>
  <c r="K185" i="323" s="1"/>
  <c r="K25" i="272" s="1"/>
  <c r="I187" i="323"/>
  <c r="J187" i="323" s="1"/>
  <c r="A187" i="323"/>
  <c r="K186" i="323"/>
  <c r="A186" i="323"/>
  <c r="G185" i="323"/>
  <c r="F185" i="323"/>
  <c r="E185" i="323"/>
  <c r="E25" i="272" s="1"/>
  <c r="D185" i="323"/>
  <c r="D25" i="272" s="1"/>
  <c r="C185" i="323"/>
  <c r="C25" i="272" s="1"/>
  <c r="K184" i="323"/>
  <c r="I184" i="323"/>
  <c r="J184" i="323" s="1"/>
  <c r="A184" i="323"/>
  <c r="K183" i="323"/>
  <c r="I183" i="323"/>
  <c r="J183" i="323" s="1"/>
  <c r="A183" i="323"/>
  <c r="K182" i="323"/>
  <c r="I182" i="323"/>
  <c r="J182" i="323" s="1"/>
  <c r="A182" i="323"/>
  <c r="K181" i="323"/>
  <c r="I181" i="323"/>
  <c r="J181" i="323" s="1"/>
  <c r="A181" i="323"/>
  <c r="K180" i="323"/>
  <c r="I180" i="323"/>
  <c r="J180" i="323" s="1"/>
  <c r="A180" i="323"/>
  <c r="K179" i="323"/>
  <c r="I179" i="323"/>
  <c r="J179" i="323" s="1"/>
  <c r="A179" i="323"/>
  <c r="K178" i="323"/>
  <c r="I178" i="323"/>
  <c r="J178" i="323" s="1"/>
  <c r="A178" i="323"/>
  <c r="K177" i="323"/>
  <c r="I177" i="323"/>
  <c r="J177" i="323" s="1"/>
  <c r="A177" i="323"/>
  <c r="K176" i="323"/>
  <c r="I176" i="323"/>
  <c r="J176" i="323" s="1"/>
  <c r="A176" i="323"/>
  <c r="K175" i="323"/>
  <c r="K174" i="323" s="1"/>
  <c r="I175" i="323"/>
  <c r="J175" i="323" s="1"/>
  <c r="A175" i="323"/>
  <c r="G174" i="323"/>
  <c r="F174" i="323"/>
  <c r="F24" i="272" s="1"/>
  <c r="E174" i="323"/>
  <c r="E24" i="272" s="1"/>
  <c r="D174" i="323"/>
  <c r="C174" i="323"/>
  <c r="H173" i="323"/>
  <c r="I173" i="323" s="1"/>
  <c r="J173" i="323" s="1"/>
  <c r="J172" i="323"/>
  <c r="H172" i="323"/>
  <c r="I172" i="323" s="1"/>
  <c r="W170" i="323"/>
  <c r="W340" i="323" s="1"/>
  <c r="V170" i="323"/>
  <c r="V340" i="323" s="1"/>
  <c r="U170" i="323"/>
  <c r="U340" i="323" s="1"/>
  <c r="T170" i="323"/>
  <c r="T340" i="323" s="1"/>
  <c r="S170" i="323"/>
  <c r="S340" i="323" s="1"/>
  <c r="R170" i="323"/>
  <c r="R340" i="323" s="1"/>
  <c r="Q170" i="323"/>
  <c r="Q340" i="323" s="1"/>
  <c r="P170" i="323"/>
  <c r="P340" i="323" s="1"/>
  <c r="O170" i="323"/>
  <c r="O340" i="323" s="1"/>
  <c r="N170" i="323"/>
  <c r="N340" i="323" s="1"/>
  <c r="M170" i="323"/>
  <c r="M340" i="323" s="1"/>
  <c r="L170" i="323"/>
  <c r="L340" i="323" s="1"/>
  <c r="H170" i="323"/>
  <c r="I170" i="323" s="1"/>
  <c r="J170" i="323" s="1"/>
  <c r="A170" i="323"/>
  <c r="H169" i="323"/>
  <c r="I169" i="323" s="1"/>
  <c r="J169" i="323" s="1"/>
  <c r="A169" i="323"/>
  <c r="J168" i="323"/>
  <c r="H168" i="323"/>
  <c r="I168" i="323" s="1"/>
  <c r="A168" i="323"/>
  <c r="H167" i="323"/>
  <c r="I167" i="323" s="1"/>
  <c r="J167" i="323" s="1"/>
  <c r="A167" i="323"/>
  <c r="H166" i="323"/>
  <c r="I166" i="323" s="1"/>
  <c r="J166" i="323" s="1"/>
  <c r="A166" i="323"/>
  <c r="H165" i="323"/>
  <c r="I165" i="323" s="1"/>
  <c r="J165" i="323" s="1"/>
  <c r="A165" i="323"/>
  <c r="H164" i="323"/>
  <c r="I164" i="323" s="1"/>
  <c r="J164" i="323" s="1"/>
  <c r="A164" i="323"/>
  <c r="H163" i="323"/>
  <c r="I163" i="323" s="1"/>
  <c r="J163" i="323" s="1"/>
  <c r="A163" i="323"/>
  <c r="H162" i="323"/>
  <c r="I162" i="323" s="1"/>
  <c r="J162" i="323" s="1"/>
  <c r="A162" i="323"/>
  <c r="H161" i="323"/>
  <c r="A161" i="323"/>
  <c r="K160" i="323"/>
  <c r="K20" i="272" s="1"/>
  <c r="G160" i="323"/>
  <c r="F160" i="323"/>
  <c r="E160" i="323"/>
  <c r="D160" i="323"/>
  <c r="D20" i="272" s="1"/>
  <c r="C160" i="323"/>
  <c r="C20" i="272" s="1"/>
  <c r="H159" i="323"/>
  <c r="I159" i="323" s="1"/>
  <c r="J159" i="323" s="1"/>
  <c r="A159" i="323"/>
  <c r="J158" i="323"/>
  <c r="H158" i="323"/>
  <c r="I158" i="323" s="1"/>
  <c r="A158" i="323"/>
  <c r="H157" i="323"/>
  <c r="I157" i="323" s="1"/>
  <c r="J157" i="323" s="1"/>
  <c r="A157" i="323"/>
  <c r="H156" i="323"/>
  <c r="I156" i="323" s="1"/>
  <c r="J156" i="323" s="1"/>
  <c r="A156" i="323"/>
  <c r="H155" i="323"/>
  <c r="I155" i="323" s="1"/>
  <c r="J155" i="323" s="1"/>
  <c r="A155" i="323"/>
  <c r="H154" i="323"/>
  <c r="I154" i="323" s="1"/>
  <c r="J154" i="323" s="1"/>
  <c r="A154" i="323"/>
  <c r="H153" i="323"/>
  <c r="I153" i="323" s="1"/>
  <c r="J153" i="323" s="1"/>
  <c r="A153" i="323"/>
  <c r="H152" i="323"/>
  <c r="I152" i="323" s="1"/>
  <c r="J152" i="323" s="1"/>
  <c r="A152" i="323"/>
  <c r="H151" i="323"/>
  <c r="I151" i="323" s="1"/>
  <c r="J151" i="323" s="1"/>
  <c r="A151" i="323"/>
  <c r="H150" i="323"/>
  <c r="A150" i="323"/>
  <c r="K149" i="323"/>
  <c r="G149" i="323"/>
  <c r="F149" i="323"/>
  <c r="E149" i="323"/>
  <c r="E19" i="272" s="1"/>
  <c r="D149" i="323"/>
  <c r="C149" i="323"/>
  <c r="H148" i="323"/>
  <c r="I148" i="323" s="1"/>
  <c r="J148" i="323" s="1"/>
  <c r="A148" i="323"/>
  <c r="J147" i="323"/>
  <c r="H147" i="323"/>
  <c r="I147" i="323" s="1"/>
  <c r="A147" i="323"/>
  <c r="J146" i="323"/>
  <c r="H146" i="323"/>
  <c r="I146" i="323" s="1"/>
  <c r="A146" i="323"/>
  <c r="H145" i="323"/>
  <c r="I145" i="323" s="1"/>
  <c r="J145" i="323" s="1"/>
  <c r="A145" i="323"/>
  <c r="H144" i="323"/>
  <c r="I144" i="323" s="1"/>
  <c r="J144" i="323" s="1"/>
  <c r="A144" i="323"/>
  <c r="H143" i="323"/>
  <c r="I143" i="323" s="1"/>
  <c r="J143" i="323" s="1"/>
  <c r="A143" i="323"/>
  <c r="H142" i="323"/>
  <c r="I142" i="323" s="1"/>
  <c r="J142" i="323" s="1"/>
  <c r="A142" i="323"/>
  <c r="H141" i="323"/>
  <c r="I141" i="323" s="1"/>
  <c r="J141" i="323" s="1"/>
  <c r="A141" i="323"/>
  <c r="H140" i="323"/>
  <c r="I140" i="323" s="1"/>
  <c r="J140" i="323" s="1"/>
  <c r="A140" i="323"/>
  <c r="J139" i="323"/>
  <c r="H139" i="323"/>
  <c r="I139" i="323" s="1"/>
  <c r="A139" i="323"/>
  <c r="K138" i="323"/>
  <c r="K18" i="272" s="1"/>
  <c r="G138" i="323"/>
  <c r="F138" i="323"/>
  <c r="E138" i="323"/>
  <c r="D138" i="323"/>
  <c r="D18" i="272" s="1"/>
  <c r="C138" i="323"/>
  <c r="C18" i="272" s="1"/>
  <c r="H137" i="323"/>
  <c r="I137" i="323" s="1"/>
  <c r="J137" i="323" s="1"/>
  <c r="A137" i="323"/>
  <c r="H136" i="323"/>
  <c r="I136" i="323" s="1"/>
  <c r="J136" i="323" s="1"/>
  <c r="A136" i="323"/>
  <c r="H135" i="323"/>
  <c r="I135" i="323" s="1"/>
  <c r="J135" i="323" s="1"/>
  <c r="A135" i="323"/>
  <c r="H134" i="323"/>
  <c r="I134" i="323" s="1"/>
  <c r="J134" i="323" s="1"/>
  <c r="A134" i="323"/>
  <c r="H133" i="323"/>
  <c r="I133" i="323" s="1"/>
  <c r="J133" i="323" s="1"/>
  <c r="A133" i="323"/>
  <c r="H132" i="323"/>
  <c r="I132" i="323" s="1"/>
  <c r="J132" i="323" s="1"/>
  <c r="A132" i="323"/>
  <c r="H131" i="323"/>
  <c r="I131" i="323" s="1"/>
  <c r="J131" i="323" s="1"/>
  <c r="A131" i="323"/>
  <c r="H130" i="323"/>
  <c r="I130" i="323" s="1"/>
  <c r="J130" i="323" s="1"/>
  <c r="A130" i="323"/>
  <c r="H129" i="323"/>
  <c r="I129" i="323" s="1"/>
  <c r="J129" i="323" s="1"/>
  <c r="A129" i="323"/>
  <c r="H128" i="323"/>
  <c r="A128" i="323"/>
  <c r="K127" i="323"/>
  <c r="G127" i="323"/>
  <c r="F127" i="323"/>
  <c r="E127" i="323"/>
  <c r="E17" i="272" s="1"/>
  <c r="D127" i="323"/>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J118" i="323"/>
  <c r="I118" i="323"/>
  <c r="A118" i="323"/>
  <c r="I117" i="323"/>
  <c r="J117" i="323" s="1"/>
  <c r="A117" i="323"/>
  <c r="K116" i="323"/>
  <c r="K16" i="272" s="1"/>
  <c r="G116" i="323"/>
  <c r="F116" i="323"/>
  <c r="F16" i="272" s="1"/>
  <c r="E116" i="323"/>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K83" i="323" s="1"/>
  <c r="K13" i="272" s="1"/>
  <c r="I84" i="323"/>
  <c r="J84" i="323" s="1"/>
  <c r="A84" i="323"/>
  <c r="H83" i="323"/>
  <c r="H13" i="272" s="1"/>
  <c r="G83" i="323"/>
  <c r="F83" i="323"/>
  <c r="F13" i="272" s="1"/>
  <c r="E83" i="323"/>
  <c r="E13" i="272" s="1"/>
  <c r="D83" i="323"/>
  <c r="D13" i="272" s="1"/>
  <c r="C83" i="323"/>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E72" i="323"/>
  <c r="E12" i="272" s="1"/>
  <c r="D72" i="323"/>
  <c r="D12" i="272" s="1"/>
  <c r="C72" i="323"/>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E61" i="323"/>
  <c r="E11" i="272" s="1"/>
  <c r="D61" i="323"/>
  <c r="C61" i="323"/>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F50" i="323"/>
  <c r="F10" i="272" s="1"/>
  <c r="E50" i="323"/>
  <c r="E10" i="272" s="1"/>
  <c r="D50" i="323"/>
  <c r="D10" i="272" s="1"/>
  <c r="C50" i="323"/>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G38" i="272"/>
  <c r="F38" i="272"/>
  <c r="E38" i="272"/>
  <c r="K37" i="272"/>
  <c r="G37" i="272"/>
  <c r="E37" i="272"/>
  <c r="D37" i="272"/>
  <c r="C37" i="272"/>
  <c r="G36" i="272"/>
  <c r="F36" i="272"/>
  <c r="E36" i="272"/>
  <c r="D36" i="272"/>
  <c r="C36" i="272"/>
  <c r="K35" i="272"/>
  <c r="G35" i="272"/>
  <c r="F35" i="272"/>
  <c r="E35" i="272"/>
  <c r="D35" i="272"/>
  <c r="C35" i="272"/>
  <c r="K34" i="272"/>
  <c r="E34" i="272"/>
  <c r="D34" i="272"/>
  <c r="G33" i="272"/>
  <c r="F33" i="272"/>
  <c r="D33" i="272"/>
  <c r="C33" i="272"/>
  <c r="G32" i="272"/>
  <c r="F32" i="272"/>
  <c r="D32" i="272"/>
  <c r="C32" i="272"/>
  <c r="D31" i="272"/>
  <c r="F30" i="272"/>
  <c r="E30" i="272"/>
  <c r="D30" i="272"/>
  <c r="G29" i="272"/>
  <c r="F29" i="272"/>
  <c r="D29" i="272"/>
  <c r="F28" i="272"/>
  <c r="G27" i="272"/>
  <c r="D27" i="272"/>
  <c r="D26" i="272"/>
  <c r="C26" i="272"/>
  <c r="G25" i="272"/>
  <c r="F25" i="272"/>
  <c r="A25" i="272"/>
  <c r="G24" i="272"/>
  <c r="D24" i="272"/>
  <c r="C24" i="272"/>
  <c r="F20" i="272"/>
  <c r="E20" i="272"/>
  <c r="K19" i="272"/>
  <c r="G19" i="272"/>
  <c r="F19" i="272"/>
  <c r="D19" i="272"/>
  <c r="C19" i="272"/>
  <c r="F18" i="272"/>
  <c r="E18" i="272"/>
  <c r="K17" i="272"/>
  <c r="G17" i="272"/>
  <c r="F17" i="272"/>
  <c r="D17" i="272"/>
  <c r="E16" i="272"/>
  <c r="D16" i="272"/>
  <c r="C15" i="272"/>
  <c r="F14" i="272"/>
  <c r="G13" i="272"/>
  <c r="C13" i="272"/>
  <c r="F12" i="272"/>
  <c r="C12" i="272"/>
  <c r="F11" i="272"/>
  <c r="D11" i="272"/>
  <c r="C11" i="272"/>
  <c r="G10" i="272"/>
  <c r="C10" i="272"/>
  <c r="F9" i="272"/>
  <c r="D7" i="272"/>
  <c r="F6" i="272"/>
  <c r="K3" i="272"/>
  <c r="J3" i="272"/>
  <c r="I3" i="272"/>
  <c r="H3" i="272"/>
  <c r="G3" i="272"/>
  <c r="F3" i="272"/>
  <c r="E3" i="272"/>
  <c r="D3" i="272"/>
  <c r="C3" i="272"/>
  <c r="B2" i="272"/>
  <c r="A2" i="272"/>
  <c r="A251" i="330"/>
  <c r="A250" i="330"/>
  <c r="A249" i="330"/>
  <c r="H248" i="330"/>
  <c r="I248" i="330" s="1"/>
  <c r="J248" i="330" s="1"/>
  <c r="A248" i="330"/>
  <c r="H247" i="330"/>
  <c r="I247" i="330" s="1"/>
  <c r="J247" i="330" s="1"/>
  <c r="A247" i="330"/>
  <c r="H246" i="330"/>
  <c r="I246" i="330" s="1"/>
  <c r="J246" i="330" s="1"/>
  <c r="A246" i="330"/>
  <c r="H245" i="330"/>
  <c r="I245" i="330" s="1"/>
  <c r="J245" i="330" s="1"/>
  <c r="A245" i="330"/>
  <c r="H244" i="330"/>
  <c r="I244" i="330" s="1"/>
  <c r="J244" i="330" s="1"/>
  <c r="A244" i="330"/>
  <c r="H243" i="330"/>
  <c r="I243" i="330" s="1"/>
  <c r="J243" i="330" s="1"/>
  <c r="A243" i="330"/>
  <c r="K242" i="330"/>
  <c r="K48" i="241" s="1"/>
  <c r="G242" i="330"/>
  <c r="F242" i="330"/>
  <c r="F48" i="241" s="1"/>
  <c r="E242" i="330"/>
  <c r="E48" i="241" s="1"/>
  <c r="D242" i="330"/>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K209" i="330" s="1"/>
  <c r="K41" i="241" s="1"/>
  <c r="I210" i="330"/>
  <c r="J210" i="330" s="1"/>
  <c r="A210" i="330"/>
  <c r="G209" i="330"/>
  <c r="F209" i="330"/>
  <c r="F41" i="241" s="1"/>
  <c r="E209" i="330"/>
  <c r="E41" i="241" s="1"/>
  <c r="D209" i="330"/>
  <c r="D41" i="241" s="1"/>
  <c r="C209" i="330"/>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K189" i="330" s="1"/>
  <c r="K38" i="241" s="1"/>
  <c r="I193" i="330"/>
  <c r="J193" i="330" s="1"/>
  <c r="A193" i="330"/>
  <c r="K192" i="330"/>
  <c r="I192" i="330"/>
  <c r="J192" i="330" s="1"/>
  <c r="A192" i="330"/>
  <c r="I191" i="330"/>
  <c r="J191" i="330" s="1"/>
  <c r="A191" i="330"/>
  <c r="K190" i="330"/>
  <c r="A190" i="330"/>
  <c r="G189" i="330"/>
  <c r="G38" i="241" s="1"/>
  <c r="F189" i="330"/>
  <c r="F38" i="241" s="1"/>
  <c r="E189" i="330"/>
  <c r="E38" i="241" s="1"/>
  <c r="D189" i="330"/>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F150" i="330" s="1"/>
  <c r="E151" i="330"/>
  <c r="D151" i="330"/>
  <c r="C151" i="330"/>
  <c r="A151" i="330"/>
  <c r="A150" i="330"/>
  <c r="K149" i="330"/>
  <c r="K148" i="330" s="1"/>
  <c r="K32" i="241" s="1"/>
  <c r="I149" i="330"/>
  <c r="J149" i="330" s="1"/>
  <c r="A149" i="330"/>
  <c r="H148" i="330"/>
  <c r="G148" i="330"/>
  <c r="G32" i="241" s="1"/>
  <c r="F148" i="330"/>
  <c r="F32" i="241" s="1"/>
  <c r="E148" i="330"/>
  <c r="E32" i="241" s="1"/>
  <c r="D148" i="330"/>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F133" i="330"/>
  <c r="F31" i="241" s="1"/>
  <c r="E133" i="330"/>
  <c r="E31" i="241" s="1"/>
  <c r="D133" i="330"/>
  <c r="C133" i="330"/>
  <c r="A133" i="330"/>
  <c r="I132" i="330"/>
  <c r="J132" i="330" s="1"/>
  <c r="A132" i="330"/>
  <c r="K131" i="330"/>
  <c r="I131" i="330"/>
  <c r="J131" i="330" s="1"/>
  <c r="A131" i="330"/>
  <c r="H130" i="330"/>
  <c r="G130" i="330"/>
  <c r="G129" i="330" s="1"/>
  <c r="F130" i="330"/>
  <c r="E130" i="330"/>
  <c r="D130" i="330"/>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G119" i="330"/>
  <c r="F119" i="330"/>
  <c r="F25" i="241" s="1"/>
  <c r="E119" i="330"/>
  <c r="E25" i="241" s="1"/>
  <c r="D119" i="330"/>
  <c r="C119" i="330"/>
  <c r="C25" i="241" s="1"/>
  <c r="K118" i="330"/>
  <c r="I118" i="330"/>
  <c r="J118" i="330" s="1"/>
  <c r="K117" i="330"/>
  <c r="I117" i="330"/>
  <c r="J117" i="330" s="1"/>
  <c r="I116" i="330"/>
  <c r="J116" i="330" s="1"/>
  <c r="K115" i="330"/>
  <c r="K114" i="330" s="1"/>
  <c r="K24" i="241" s="1"/>
  <c r="I115" i="330"/>
  <c r="J115" i="330" s="1"/>
  <c r="H114" i="330"/>
  <c r="G114" i="330"/>
  <c r="G24" i="241" s="1"/>
  <c r="F114" i="330"/>
  <c r="F24" i="241" s="1"/>
  <c r="E114" i="330"/>
  <c r="D114" i="330"/>
  <c r="C114" i="330"/>
  <c r="K113" i="330"/>
  <c r="I113" i="330"/>
  <c r="J113" i="330" s="1"/>
  <c r="I112" i="330"/>
  <c r="J112" i="330" s="1"/>
  <c r="K109" i="330"/>
  <c r="K23" i="241" s="1"/>
  <c r="I111" i="330"/>
  <c r="J111" i="330" s="1"/>
  <c r="K110" i="330"/>
  <c r="I110" i="330"/>
  <c r="J110" i="330" s="1"/>
  <c r="H109" i="330"/>
  <c r="G109" i="330"/>
  <c r="F109" i="330"/>
  <c r="E109" i="330"/>
  <c r="D109" i="330"/>
  <c r="C109" i="330"/>
  <c r="K108" i="330"/>
  <c r="I108" i="330"/>
  <c r="J108" i="330" s="1"/>
  <c r="I107" i="330"/>
  <c r="J107" i="330" s="1"/>
  <c r="K106" i="330"/>
  <c r="K105" i="330" s="1"/>
  <c r="K22" i="241" s="1"/>
  <c r="G105" i="330"/>
  <c r="F105" i="330"/>
  <c r="E105" i="330"/>
  <c r="D105" i="330"/>
  <c r="C105" i="330"/>
  <c r="K104" i="330"/>
  <c r="I104" i="330"/>
  <c r="J104" i="330" s="1"/>
  <c r="K103" i="330"/>
  <c r="I103" i="330"/>
  <c r="J103" i="330" s="1"/>
  <c r="K102" i="330"/>
  <c r="I102" i="330"/>
  <c r="J102" i="330" s="1"/>
  <c r="H101" i="330"/>
  <c r="H21" i="241" s="1"/>
  <c r="G101" i="330"/>
  <c r="F101" i="330"/>
  <c r="F21" i="241" s="1"/>
  <c r="E101" i="330"/>
  <c r="E21" i="241" s="1"/>
  <c r="D101" i="330"/>
  <c r="C101" i="330"/>
  <c r="C21" i="241" s="1"/>
  <c r="G100" i="330"/>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E93" i="330"/>
  <c r="E19" i="241" s="1"/>
  <c r="D93" i="330"/>
  <c r="C93" i="330"/>
  <c r="C19" i="241" s="1"/>
  <c r="K92" i="330"/>
  <c r="I92" i="330"/>
  <c r="J92" i="330" s="1"/>
  <c r="K91" i="330"/>
  <c r="I91" i="330"/>
  <c r="J91" i="330" s="1"/>
  <c r="K90" i="330"/>
  <c r="I90" i="330"/>
  <c r="J90" i="330" s="1"/>
  <c r="K89" i="330"/>
  <c r="I89" i="330"/>
  <c r="J89" i="330" s="1"/>
  <c r="K88" i="330"/>
  <c r="I88" i="330"/>
  <c r="J88" i="330" s="1"/>
  <c r="K87" i="330"/>
  <c r="I87" i="330"/>
  <c r="J87" i="330" s="1"/>
  <c r="K86" i="330"/>
  <c r="K18" i="241" s="1"/>
  <c r="G86" i="330"/>
  <c r="G18" i="241" s="1"/>
  <c r="F86" i="330"/>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E75" i="330"/>
  <c r="D75" i="330"/>
  <c r="D74" i="330" s="1"/>
  <c r="C75" i="330"/>
  <c r="H73" i="330"/>
  <c r="I73" i="330" s="1"/>
  <c r="J73" i="330" s="1"/>
  <c r="H72" i="330"/>
  <c r="I72" i="330" s="1"/>
  <c r="J72" i="330" s="1"/>
  <c r="H71" i="330"/>
  <c r="I71" i="330" s="1"/>
  <c r="J71" i="330" s="1"/>
  <c r="H70" i="330"/>
  <c r="I70" i="330" s="1"/>
  <c r="J70" i="330" s="1"/>
  <c r="H69" i="330"/>
  <c r="I69" i="330" s="1"/>
  <c r="J69" i="330" s="1"/>
  <c r="K68" i="330"/>
  <c r="K66" i="330" s="1"/>
  <c r="K15" i="241" s="1"/>
  <c r="I68" i="330"/>
  <c r="J68" i="330" s="1"/>
  <c r="I67" i="330"/>
  <c r="J67" i="330" s="1"/>
  <c r="G66" i="330"/>
  <c r="F66" i="330"/>
  <c r="F15" i="241" s="1"/>
  <c r="E66" i="330"/>
  <c r="E15" i="241" s="1"/>
  <c r="D66" i="330"/>
  <c r="D15" i="241" s="1"/>
  <c r="C66" i="330"/>
  <c r="C15" i="241" s="1"/>
  <c r="H65" i="330"/>
  <c r="I65" i="330" s="1"/>
  <c r="J65" i="330" s="1"/>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E56" i="330"/>
  <c r="E13" i="241" s="1"/>
  <c r="D56" i="330"/>
  <c r="D13" i="241" s="1"/>
  <c r="C56" i="330"/>
  <c r="C13" i="241" s="1"/>
  <c r="I55" i="330"/>
  <c r="J55" i="330" s="1"/>
  <c r="I54" i="330"/>
  <c r="J54" i="330" s="1"/>
  <c r="I53" i="330"/>
  <c r="J53" i="330" s="1"/>
  <c r="K50" i="330"/>
  <c r="K12" i="241" s="1"/>
  <c r="I52" i="330"/>
  <c r="J52" i="330" s="1"/>
  <c r="G50" i="330"/>
  <c r="G12" i="241" s="1"/>
  <c r="F50" i="330"/>
  <c r="E50" i="330"/>
  <c r="D50" i="330"/>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E28" i="330"/>
  <c r="E11" i="241" s="1"/>
  <c r="D28" i="330"/>
  <c r="D11" i="241" s="1"/>
  <c r="C28" i="330"/>
  <c r="I26" i="330"/>
  <c r="J26" i="330" s="1"/>
  <c r="K25" i="330"/>
  <c r="K9" i="241" s="1"/>
  <c r="H25" i="330"/>
  <c r="G25" i="330"/>
  <c r="F25" i="330"/>
  <c r="E25" i="330"/>
  <c r="E9" i="241" s="1"/>
  <c r="D25" i="330"/>
  <c r="C25" i="330"/>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F10" i="330"/>
  <c r="F8" i="241" s="1"/>
  <c r="E10" i="330"/>
  <c r="E8" i="241" s="1"/>
  <c r="D10" i="330"/>
  <c r="D8" i="241" s="1"/>
  <c r="C10" i="330"/>
  <c r="I9" i="330"/>
  <c r="J9" i="330" s="1"/>
  <c r="K7" i="330"/>
  <c r="K7" i="241" s="1"/>
  <c r="I8" i="330"/>
  <c r="J8" i="330" s="1"/>
  <c r="H7" i="330"/>
  <c r="G7" i="330"/>
  <c r="F7" i="330"/>
  <c r="E7" i="330"/>
  <c r="E6" i="330" s="1"/>
  <c r="D7" i="330"/>
  <c r="C7" i="330"/>
  <c r="C7" i="241" s="1"/>
  <c r="K3" i="330"/>
  <c r="J3" i="330"/>
  <c r="I3" i="330"/>
  <c r="H3" i="330"/>
  <c r="G3" i="330"/>
  <c r="F3" i="330"/>
  <c r="E3" i="330"/>
  <c r="D3" i="330"/>
  <c r="C3" i="330"/>
  <c r="B2" i="330"/>
  <c r="A2" i="330"/>
  <c r="A51" i="241"/>
  <c r="D48" i="241"/>
  <c r="E47" i="241"/>
  <c r="F46" i="241"/>
  <c r="D46" i="241"/>
  <c r="D44" i="241"/>
  <c r="D42" i="241"/>
  <c r="G41" i="241"/>
  <c r="C41" i="241"/>
  <c r="G40" i="241"/>
  <c r="D38" i="241"/>
  <c r="G37" i="241"/>
  <c r="C37" i="241"/>
  <c r="F36" i="241"/>
  <c r="G35" i="241"/>
  <c r="E35" i="241"/>
  <c r="G34" i="241"/>
  <c r="F34" i="241"/>
  <c r="D34" i="241"/>
  <c r="D32" i="241"/>
  <c r="G31" i="241"/>
  <c r="C31" i="241"/>
  <c r="E30" i="241"/>
  <c r="D30" i="241"/>
  <c r="H25" i="241"/>
  <c r="D25" i="241"/>
  <c r="E24" i="241"/>
  <c r="C24" i="241"/>
  <c r="H23" i="241"/>
  <c r="G23" i="241"/>
  <c r="F23" i="241"/>
  <c r="E23" i="241"/>
  <c r="D23" i="241"/>
  <c r="C23" i="241"/>
  <c r="G22" i="241"/>
  <c r="D22" i="241"/>
  <c r="C22" i="241"/>
  <c r="G21" i="241"/>
  <c r="D21" i="241"/>
  <c r="F19" i="241"/>
  <c r="D19" i="241"/>
  <c r="F18" i="241"/>
  <c r="C18" i="241"/>
  <c r="F17" i="241"/>
  <c r="E17" i="241"/>
  <c r="G15" i="241"/>
  <c r="G14" i="241"/>
  <c r="F14" i="241"/>
  <c r="C14" i="241"/>
  <c r="F13" i="241"/>
  <c r="E12" i="241"/>
  <c r="D12" i="241"/>
  <c r="C12" i="241"/>
  <c r="F11" i="241"/>
  <c r="H9" i="241"/>
  <c r="G9" i="241"/>
  <c r="F9" i="241"/>
  <c r="D9" i="241"/>
  <c r="C9" i="241"/>
  <c r="G8" i="241"/>
  <c r="C8" i="241"/>
  <c r="G7" i="241"/>
  <c r="K3" i="241"/>
  <c r="J3" i="241"/>
  <c r="I3" i="241"/>
  <c r="H3" i="241"/>
  <c r="G3" i="241"/>
  <c r="F3" i="241"/>
  <c r="E3" i="241"/>
  <c r="D3" i="241"/>
  <c r="C3" i="241"/>
  <c r="B2" i="241"/>
  <c r="A2" i="241"/>
  <c r="I52" i="267"/>
  <c r="H52" i="267"/>
  <c r="G52" i="267"/>
  <c r="E52" i="267"/>
  <c r="D52" i="267"/>
  <c r="C52" i="267"/>
  <c r="A51" i="267"/>
  <c r="I50" i="267"/>
  <c r="G50" i="267"/>
  <c r="A50" i="267"/>
  <c r="A49" i="267"/>
  <c r="I48" i="267"/>
  <c r="H48" i="267"/>
  <c r="G48" i="267"/>
  <c r="F48" i="267"/>
  <c r="E48" i="267"/>
  <c r="D48" i="267"/>
  <c r="C48" i="267"/>
  <c r="B48" i="267"/>
  <c r="E46" i="267"/>
  <c r="J45" i="267"/>
  <c r="D45" i="267"/>
  <c r="C45" i="267"/>
  <c r="J44" i="267"/>
  <c r="C44" i="267"/>
  <c r="B44" i="267"/>
  <c r="J43" i="267"/>
  <c r="D43" i="267"/>
  <c r="C43" i="267"/>
  <c r="J40" i="267"/>
  <c r="D40" i="267"/>
  <c r="C40" i="267"/>
  <c r="B40" i="267"/>
  <c r="D39" i="267"/>
  <c r="C38" i="267"/>
  <c r="D37" i="267"/>
  <c r="C37" i="267"/>
  <c r="B37" i="267"/>
  <c r="D36" i="267"/>
  <c r="J32" i="267"/>
  <c r="G32" i="267"/>
  <c r="F32" i="267"/>
  <c r="E32" i="267"/>
  <c r="D32" i="267"/>
  <c r="C32" i="267"/>
  <c r="B32" i="267"/>
  <c r="J31" i="267"/>
  <c r="G31" i="267"/>
  <c r="F31" i="267"/>
  <c r="E31" i="267"/>
  <c r="D31" i="267"/>
  <c r="C31" i="267"/>
  <c r="B31" i="267"/>
  <c r="J30" i="267"/>
  <c r="G30" i="267"/>
  <c r="F30" i="267"/>
  <c r="E30" i="267"/>
  <c r="D30" i="267"/>
  <c r="C30" i="267"/>
  <c r="B30" i="267"/>
  <c r="D29"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B79" i="100"/>
  <c r="F78" i="100"/>
  <c r="E78" i="100"/>
  <c r="F77" i="100"/>
  <c r="E77" i="100"/>
  <c r="A75" i="100"/>
  <c r="X36" i="329"/>
  <c r="B5" i="100" s="1"/>
  <c r="X11" i="329"/>
  <c r="K21" i="175" l="1"/>
  <c r="D75" i="242"/>
  <c r="K45" i="242"/>
  <c r="C75" i="242"/>
  <c r="H6" i="180"/>
  <c r="K67" i="318"/>
  <c r="D102" i="318"/>
  <c r="D68" i="318"/>
  <c r="D31" i="318"/>
  <c r="C38" i="270"/>
  <c r="A43" i="269"/>
  <c r="F52" i="317"/>
  <c r="H52" i="317"/>
  <c r="D54" i="317"/>
  <c r="H54" i="317"/>
  <c r="H66" i="317" s="1"/>
  <c r="D223" i="330"/>
  <c r="D45" i="241"/>
  <c r="G197" i="330"/>
  <c r="D197" i="330"/>
  <c r="F129" i="330"/>
  <c r="I93" i="330"/>
  <c r="J93" i="330" s="1"/>
  <c r="C74" i="330"/>
  <c r="K56" i="330"/>
  <c r="K13" i="241" s="1"/>
  <c r="E7" i="241"/>
  <c r="D38" i="267"/>
  <c r="C41" i="178"/>
  <c r="B38" i="267"/>
  <c r="G25" i="268"/>
  <c r="I25" i="268"/>
  <c r="J25" i="268" s="1"/>
  <c r="E341" i="324"/>
  <c r="E343" i="324" s="1"/>
  <c r="B29" i="267"/>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27" i="270"/>
  <c r="J27" i="270" s="1"/>
  <c r="I7" i="330"/>
  <c r="J7" i="330" s="1"/>
  <c r="D27" i="330"/>
  <c r="D14" i="241"/>
  <c r="I29" i="323"/>
  <c r="J29" i="323" s="1"/>
  <c r="H28" i="323"/>
  <c r="K61" i="323"/>
  <c r="K11" i="272" s="1"/>
  <c r="I62" i="324"/>
  <c r="J62" i="324" s="1"/>
  <c r="H11" i="268"/>
  <c r="D110" i="242"/>
  <c r="I111" i="242"/>
  <c r="J111" i="242" s="1"/>
  <c r="D7" i="325"/>
  <c r="I13" i="325"/>
  <c r="J13" i="325" s="1"/>
  <c r="H53" i="325"/>
  <c r="I53" i="325" s="1"/>
  <c r="J53" i="325" s="1"/>
  <c r="I54" i="325"/>
  <c r="J54" i="325" s="1"/>
  <c r="H56" i="330"/>
  <c r="H13" i="241" s="1"/>
  <c r="I13" i="241" s="1"/>
  <c r="J13" i="241" s="1"/>
  <c r="H14" i="241"/>
  <c r="H8" i="272"/>
  <c r="K207" i="323"/>
  <c r="K27" i="272" s="1"/>
  <c r="H76" i="335"/>
  <c r="H75" i="335" s="1"/>
  <c r="I78" i="335"/>
  <c r="J78" i="335" s="1"/>
  <c r="F30" i="241"/>
  <c r="H75" i="330"/>
  <c r="H17" i="241" s="1"/>
  <c r="I17" i="241" s="1"/>
  <c r="J17" i="241" s="1"/>
  <c r="D8" i="272"/>
  <c r="D21" i="272" s="1"/>
  <c r="I318" i="323"/>
  <c r="J318" i="323" s="1"/>
  <c r="H317" i="323"/>
  <c r="H37" i="272" s="1"/>
  <c r="K172" i="324"/>
  <c r="I51" i="324"/>
  <c r="J51" i="324" s="1"/>
  <c r="G10" i="268"/>
  <c r="I139" i="324"/>
  <c r="J139" i="324" s="1"/>
  <c r="G18" i="268"/>
  <c r="C36" i="267"/>
  <c r="C50" i="267"/>
  <c r="C17" i="241"/>
  <c r="H19" i="241"/>
  <c r="I19" i="241" s="1"/>
  <c r="J19" i="241" s="1"/>
  <c r="C30" i="241"/>
  <c r="G30" i="241"/>
  <c r="G29" i="241" s="1"/>
  <c r="K10" i="330"/>
  <c r="C6" i="330"/>
  <c r="K28" i="330"/>
  <c r="K27" i="330" s="1"/>
  <c r="F27" i="330"/>
  <c r="F74" i="330"/>
  <c r="K93" i="330"/>
  <c r="K19" i="241" s="1"/>
  <c r="D100" i="330"/>
  <c r="I114" i="330"/>
  <c r="J114" i="330" s="1"/>
  <c r="I130" i="330"/>
  <c r="J130" i="330" s="1"/>
  <c r="K173" i="330"/>
  <c r="K35" i="241" s="1"/>
  <c r="C197" i="330"/>
  <c r="C223" i="330"/>
  <c r="K224" i="330"/>
  <c r="K44" i="241" s="1"/>
  <c r="K228" i="330"/>
  <c r="D38" i="272"/>
  <c r="D39" i="272" s="1"/>
  <c r="K39" i="323"/>
  <c r="K9" i="272" s="1"/>
  <c r="K72" i="323"/>
  <c r="K12" i="272" s="1"/>
  <c r="K94" i="323"/>
  <c r="K14" i="272" s="1"/>
  <c r="F21" i="268"/>
  <c r="F172" i="324"/>
  <c r="D341" i="324"/>
  <c r="H176" i="324"/>
  <c r="J319" i="324"/>
  <c r="I37" i="268"/>
  <c r="J37" i="268" s="1"/>
  <c r="J23" i="270"/>
  <c r="D56" i="317"/>
  <c r="E55" i="317" s="1"/>
  <c r="F54" i="317"/>
  <c r="F66" i="317" s="1"/>
  <c r="I103" i="333"/>
  <c r="J103" i="333" s="1"/>
  <c r="I121" i="335"/>
  <c r="J121" i="335" s="1"/>
  <c r="H118" i="335"/>
  <c r="H117" i="335" s="1"/>
  <c r="I18" i="323"/>
  <c r="J18" i="323" s="1"/>
  <c r="H17" i="323"/>
  <c r="H7" i="272" s="1"/>
  <c r="D6" i="330"/>
  <c r="K130" i="330"/>
  <c r="K30" i="241" s="1"/>
  <c r="K179" i="330"/>
  <c r="K36" i="241" s="1"/>
  <c r="K198" i="330"/>
  <c r="F339" i="323"/>
  <c r="E172" i="324"/>
  <c r="G7" i="268"/>
  <c r="I18" i="324"/>
  <c r="J18" i="324" s="1"/>
  <c r="B100" i="100"/>
  <c r="H24" i="267"/>
  <c r="I24" i="267" s="1"/>
  <c r="C29" i="267"/>
  <c r="D17" i="241"/>
  <c r="C27" i="330"/>
  <c r="K75" i="330"/>
  <c r="K17" i="241" s="1"/>
  <c r="K16" i="241" s="1"/>
  <c r="D129" i="330"/>
  <c r="I148" i="330"/>
  <c r="J148" i="330" s="1"/>
  <c r="K186" i="330"/>
  <c r="K37" i="241" s="1"/>
  <c r="G34" i="272"/>
  <c r="I37" i="272"/>
  <c r="J37" i="272" s="1"/>
  <c r="D171" i="323"/>
  <c r="D339" i="323"/>
  <c r="K240" i="323"/>
  <c r="K30" i="272" s="1"/>
  <c r="H13" i="268"/>
  <c r="I17" i="268"/>
  <c r="J17" i="268" s="1"/>
  <c r="I117" i="324"/>
  <c r="J117" i="324" s="1"/>
  <c r="G16" i="268"/>
  <c r="J297" i="324"/>
  <c r="I35" i="268"/>
  <c r="J35" i="268" s="1"/>
  <c r="I62" i="270"/>
  <c r="J62" i="270" s="1"/>
  <c r="D28" i="334"/>
  <c r="G9" i="334"/>
  <c r="E47" i="334"/>
  <c r="F41" i="334"/>
  <c r="G41" i="334" s="1"/>
  <c r="K229" i="323"/>
  <c r="K29" i="272" s="1"/>
  <c r="I317" i="323"/>
  <c r="J317" i="323" s="1"/>
  <c r="C172" i="324"/>
  <c r="G172" i="324"/>
  <c r="I172" i="324" s="1"/>
  <c r="J172" i="324" s="1"/>
  <c r="I40" i="324"/>
  <c r="J40" i="324" s="1"/>
  <c r="I95" i="324"/>
  <c r="J95" i="324" s="1"/>
  <c r="G14" i="268"/>
  <c r="I106" i="324"/>
  <c r="J106" i="324" s="1"/>
  <c r="H15" i="268"/>
  <c r="J286" i="324"/>
  <c r="I34" i="268"/>
  <c r="J34" i="268" s="1"/>
  <c r="J308" i="324"/>
  <c r="I36" i="268"/>
  <c r="J36" i="268" s="1"/>
  <c r="J330" i="324"/>
  <c r="I38" i="268"/>
  <c r="J38" i="268" s="1"/>
  <c r="D41" i="178"/>
  <c r="E10" i="174"/>
  <c r="C69" i="270"/>
  <c r="H69" i="270"/>
  <c r="E69" i="270"/>
  <c r="K30" i="318"/>
  <c r="E100" i="318"/>
  <c r="L65" i="317"/>
  <c r="L52" i="317"/>
  <c r="L54" i="317" s="1"/>
  <c r="L66" i="317" s="1"/>
  <c r="H16" i="183"/>
  <c r="H29" i="183"/>
  <c r="K17" i="326"/>
  <c r="C75" i="326"/>
  <c r="G75" i="326"/>
  <c r="C117" i="326"/>
  <c r="C166" i="326" s="1"/>
  <c r="G117" i="326"/>
  <c r="I130" i="326"/>
  <c r="J130" i="326" s="1"/>
  <c r="H140" i="325"/>
  <c r="I140" i="325" s="1"/>
  <c r="J140" i="325" s="1"/>
  <c r="D7" i="333"/>
  <c r="K7" i="333"/>
  <c r="E117" i="335"/>
  <c r="K218" i="323"/>
  <c r="K28" i="272" s="1"/>
  <c r="K251" i="323"/>
  <c r="K31" i="272" s="1"/>
  <c r="H284" i="323"/>
  <c r="H34" i="272" s="1"/>
  <c r="H306" i="323"/>
  <c r="I329" i="323"/>
  <c r="J329" i="323" s="1"/>
  <c r="H328" i="323"/>
  <c r="H38" i="272" s="1"/>
  <c r="I38" i="272" s="1"/>
  <c r="J38" i="272" s="1"/>
  <c r="H9" i="268"/>
  <c r="I9" i="268" s="1"/>
  <c r="J9" i="268" s="1"/>
  <c r="I29" i="324"/>
  <c r="J29" i="324" s="1"/>
  <c r="D38" i="270"/>
  <c r="I30" i="270"/>
  <c r="J30" i="270" s="1"/>
  <c r="D69" i="270"/>
  <c r="K69" i="270"/>
  <c r="K71" i="270" s="1"/>
  <c r="F22" i="334"/>
  <c r="G22" i="334" s="1"/>
  <c r="F44" i="334"/>
  <c r="G44" i="334" s="1"/>
  <c r="D38" i="181"/>
  <c r="D42" i="181" s="1"/>
  <c r="D44" i="181" s="1"/>
  <c r="I6" i="183"/>
  <c r="J6" i="183" s="1"/>
  <c r="E75" i="242"/>
  <c r="G118" i="242"/>
  <c r="G117" i="242" s="1"/>
  <c r="F110" i="326"/>
  <c r="K53" i="325"/>
  <c r="E110" i="325"/>
  <c r="I130" i="325"/>
  <c r="J130" i="325" s="1"/>
  <c r="I141" i="325"/>
  <c r="J141" i="325" s="1"/>
  <c r="K45" i="333"/>
  <c r="I63" i="333"/>
  <c r="J63" i="333" s="1"/>
  <c r="K117" i="333"/>
  <c r="D7" i="174"/>
  <c r="D172" i="324"/>
  <c r="H172" i="324"/>
  <c r="I161" i="324"/>
  <c r="J161" i="324" s="1"/>
  <c r="L342" i="324"/>
  <c r="P342" i="324"/>
  <c r="T342" i="324"/>
  <c r="H198" i="324"/>
  <c r="I198" i="324" s="1"/>
  <c r="I26" i="268" s="1"/>
  <c r="E11" i="174"/>
  <c r="F69" i="270"/>
  <c r="E32" i="269"/>
  <c r="E54" i="269" s="1"/>
  <c r="C28" i="334"/>
  <c r="D47" i="334"/>
  <c r="F38" i="334"/>
  <c r="G38" i="334" s="1"/>
  <c r="C49" i="318"/>
  <c r="E31" i="318"/>
  <c r="K68" i="318"/>
  <c r="G102" i="318"/>
  <c r="E84" i="318"/>
  <c r="D100" i="318"/>
  <c r="E31" i="183"/>
  <c r="I53" i="242"/>
  <c r="J53" i="242" s="1"/>
  <c r="K110" i="242"/>
  <c r="K8" i="326"/>
  <c r="H76" i="326"/>
  <c r="E110" i="326"/>
  <c r="I148" i="325"/>
  <c r="J148" i="325" s="1"/>
  <c r="D75" i="333"/>
  <c r="F110" i="333"/>
  <c r="I163" i="333"/>
  <c r="J163" i="333" s="1"/>
  <c r="D7" i="335"/>
  <c r="H27" i="335"/>
  <c r="I69" i="335"/>
  <c r="J69" i="335" s="1"/>
  <c r="K76" i="335"/>
  <c r="I151" i="335"/>
  <c r="J151" i="335" s="1"/>
  <c r="I63" i="242"/>
  <c r="J63" i="242" s="1"/>
  <c r="D7" i="326"/>
  <c r="D75" i="326"/>
  <c r="K75" i="326"/>
  <c r="D110" i="326"/>
  <c r="D166" i="326" s="1"/>
  <c r="H110" i="326"/>
  <c r="I110" i="326" s="1"/>
  <c r="J110" i="326" s="1"/>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I69" i="326"/>
  <c r="J69" i="326" s="1"/>
  <c r="K70" i="268"/>
  <c r="K74" i="268" s="1"/>
  <c r="E110" i="242"/>
  <c r="E117" i="242"/>
  <c r="I120" i="242"/>
  <c r="J120" i="242" s="1"/>
  <c r="H140" i="242"/>
  <c r="H138" i="242" s="1"/>
  <c r="I138" i="242" s="1"/>
  <c r="J138" i="242" s="1"/>
  <c r="D7" i="242"/>
  <c r="D166" i="242" s="1"/>
  <c r="H8" i="242"/>
  <c r="I8" i="242" s="1"/>
  <c r="J8" i="242" s="1"/>
  <c r="H13" i="242"/>
  <c r="I13" i="242" s="1"/>
  <c r="J13" i="242" s="1"/>
  <c r="I69" i="242"/>
  <c r="J69" i="242" s="1"/>
  <c r="K76" i="242"/>
  <c r="K99" i="242"/>
  <c r="C110" i="242"/>
  <c r="G110" i="242"/>
  <c r="C7" i="242"/>
  <c r="C166" i="242" s="1"/>
  <c r="G157" i="333"/>
  <c r="I157" i="333" s="1"/>
  <c r="J157" i="333" s="1"/>
  <c r="G118" i="333"/>
  <c r="I118" i="333" s="1"/>
  <c r="J118" i="333" s="1"/>
  <c r="G29" i="267"/>
  <c r="G33" i="267" s="1"/>
  <c r="I186" i="330"/>
  <c r="J186" i="330" s="1"/>
  <c r="B33" i="267"/>
  <c r="I9" i="241"/>
  <c r="J9" i="241" s="1"/>
  <c r="D10" i="241"/>
  <c r="I10" i="272"/>
  <c r="J10" i="272" s="1"/>
  <c r="H11" i="174"/>
  <c r="C18" i="267"/>
  <c r="F33" i="241"/>
  <c r="F7" i="174"/>
  <c r="B95" i="100"/>
  <c r="D39" i="268"/>
  <c r="D40" i="268" s="1"/>
  <c r="I8" i="268"/>
  <c r="J8" i="268" s="1"/>
  <c r="D14" i="174"/>
  <c r="G49" i="318"/>
  <c r="G104" i="318" s="1"/>
  <c r="J20" i="270"/>
  <c r="I231" i="324"/>
  <c r="I29" i="268" s="1"/>
  <c r="J29" i="268" s="1"/>
  <c r="E38" i="270"/>
  <c r="E71" i="270" s="1"/>
  <c r="G75" i="335"/>
  <c r="I27" i="335"/>
  <c r="J27" i="335" s="1"/>
  <c r="F7" i="326"/>
  <c r="I99" i="242"/>
  <c r="J99" i="242" s="1"/>
  <c r="H30" i="267"/>
  <c r="I30" i="267" s="1"/>
  <c r="F63" i="268"/>
  <c r="L21" i="175"/>
  <c r="E50" i="267"/>
  <c r="G69" i="270"/>
  <c r="I20" i="269"/>
  <c r="J20" i="269" s="1"/>
  <c r="I43" i="269"/>
  <c r="J43" i="269" s="1"/>
  <c r="I26" i="269"/>
  <c r="J26" i="269" s="1"/>
  <c r="I29" i="269"/>
  <c r="J29" i="269" s="1"/>
  <c r="C52" i="269"/>
  <c r="C54" i="269" s="1"/>
  <c r="G35" i="269"/>
  <c r="G52" i="269" s="1"/>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K75" i="325"/>
  <c r="C39" i="241"/>
  <c r="B83" i="100"/>
  <c r="B93" i="100"/>
  <c r="B99" i="100"/>
  <c r="D39" i="241"/>
  <c r="D16" i="241"/>
  <c r="C39" i="272"/>
  <c r="I13" i="272"/>
  <c r="J13" i="272" s="1"/>
  <c r="H21" i="268"/>
  <c r="I13" i="268"/>
  <c r="J13" i="268" s="1"/>
  <c r="I16" i="268"/>
  <c r="J16" i="268" s="1"/>
  <c r="I20" i="268"/>
  <c r="J20" i="268" s="1"/>
  <c r="D10" i="174"/>
  <c r="D33" i="267"/>
  <c r="I11" i="268"/>
  <c r="J11" i="268" s="1"/>
  <c r="G16" i="241"/>
  <c r="F16" i="241"/>
  <c r="G20" i="241"/>
  <c r="C20" i="241"/>
  <c r="I47" i="241"/>
  <c r="J47" i="241" s="1"/>
  <c r="D21" i="268"/>
  <c r="I10" i="268"/>
  <c r="J10" i="268" s="1"/>
  <c r="I14" i="268"/>
  <c r="J14" i="268" s="1"/>
  <c r="I15" i="268"/>
  <c r="J15" i="268" s="1"/>
  <c r="I18" i="268"/>
  <c r="J18" i="268" s="1"/>
  <c r="I7" i="268"/>
  <c r="J7" i="268" s="1"/>
  <c r="F40" i="267"/>
  <c r="F38" i="267"/>
  <c r="K75" i="335"/>
  <c r="K7" i="335"/>
  <c r="K166" i="335" s="1"/>
  <c r="K7" i="326"/>
  <c r="K166" i="326" s="1"/>
  <c r="J11" i="267"/>
  <c r="K32" i="269"/>
  <c r="K54" i="269" s="1"/>
  <c r="G106" i="318"/>
  <c r="O2" i="317"/>
  <c r="B47" i="100"/>
  <c r="A1" i="331"/>
  <c r="B4" i="331"/>
  <c r="B8" i="331" s="1"/>
  <c r="A1" i="328"/>
  <c r="K45" i="241"/>
  <c r="K43" i="241" s="1"/>
  <c r="K8" i="241"/>
  <c r="K6" i="241" s="1"/>
  <c r="K6" i="330"/>
  <c r="B2" i="100"/>
  <c r="B12" i="100"/>
  <c r="O3" i="317" s="1"/>
  <c r="B98" i="100"/>
  <c r="A242" i="324"/>
  <c r="A30" i="268"/>
  <c r="A12" i="268"/>
  <c r="A73" i="324"/>
  <c r="A240" i="323"/>
  <c r="A72" i="323"/>
  <c r="A30" i="272"/>
  <c r="A12" i="272"/>
  <c r="A286" i="324"/>
  <c r="A16" i="268"/>
  <c r="A34" i="268"/>
  <c r="A117" i="324"/>
  <c r="A284" i="323"/>
  <c r="A116" i="323"/>
  <c r="A34" i="272"/>
  <c r="A16" i="272"/>
  <c r="I28" i="330"/>
  <c r="J28" i="330" s="1"/>
  <c r="G27" i="330"/>
  <c r="K74" i="330"/>
  <c r="I37" i="241"/>
  <c r="J37" i="241" s="1"/>
  <c r="K40" i="241"/>
  <c r="I28" i="323"/>
  <c r="J28" i="323" s="1"/>
  <c r="G8" i="272"/>
  <c r="G16" i="272"/>
  <c r="H160" i="323"/>
  <c r="H20" i="272" s="1"/>
  <c r="I161" i="323"/>
  <c r="J161" i="323" s="1"/>
  <c r="H185" i="323"/>
  <c r="H25" i="272" s="1"/>
  <c r="I25" i="272" s="1"/>
  <c r="J25" i="272" s="1"/>
  <c r="I186" i="323"/>
  <c r="J186" i="323" s="1"/>
  <c r="B3" i="100"/>
  <c r="B13" i="100"/>
  <c r="P3" i="317" s="1"/>
  <c r="B78" i="100"/>
  <c r="A1" i="323" s="1"/>
  <c r="B82" i="100"/>
  <c r="A8" i="268"/>
  <c r="A198" i="324"/>
  <c r="A29" i="324"/>
  <c r="A26" i="268"/>
  <c r="A196" i="323"/>
  <c r="A28" i="323"/>
  <c r="A26" i="272"/>
  <c r="A220" i="324"/>
  <c r="A10" i="268"/>
  <c r="A28" i="268"/>
  <c r="A51" i="324"/>
  <c r="A218" i="323"/>
  <c r="A28" i="272"/>
  <c r="A10" i="272"/>
  <c r="A264" i="324"/>
  <c r="A14" i="268"/>
  <c r="A95" i="324"/>
  <c r="A32" i="268"/>
  <c r="A262" i="323"/>
  <c r="A94" i="323"/>
  <c r="A14" i="272"/>
  <c r="H10" i="330"/>
  <c r="H8" i="241" s="1"/>
  <c r="I8" i="241" s="1"/>
  <c r="J8" i="241" s="1"/>
  <c r="I14" i="330"/>
  <c r="J14" i="330" s="1"/>
  <c r="H50" i="330"/>
  <c r="H12" i="241" s="1"/>
  <c r="I51" i="330"/>
  <c r="J51" i="330" s="1"/>
  <c r="I152" i="330"/>
  <c r="J152" i="330" s="1"/>
  <c r="H151" i="330"/>
  <c r="H34" i="241" s="1"/>
  <c r="I34" i="241" s="1"/>
  <c r="J34" i="241" s="1"/>
  <c r="G39" i="272"/>
  <c r="H127" i="323"/>
  <c r="I128" i="323"/>
  <c r="J128" i="323" s="1"/>
  <c r="B4" i="100"/>
  <c r="B97" i="100"/>
  <c r="A6" i="268"/>
  <c r="A7" i="324"/>
  <c r="A24" i="268"/>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C40" i="272" s="1"/>
  <c r="I7" i="272"/>
  <c r="J7" i="272" s="1"/>
  <c r="A50" i="323"/>
  <c r="H105" i="323"/>
  <c r="I106" i="323"/>
  <c r="J106" i="323" s="1"/>
  <c r="G20" i="272"/>
  <c r="B14" i="100"/>
  <c r="Q3" i="317" s="1"/>
  <c r="B77" i="100"/>
  <c r="A1" i="267" s="1"/>
  <c r="B81" i="100"/>
  <c r="A1" i="268" s="1"/>
  <c r="B94" i="100"/>
  <c r="C16" i="241"/>
  <c r="G74" i="330"/>
  <c r="H86" i="330"/>
  <c r="I86" i="330" s="1"/>
  <c r="J86" i="330" s="1"/>
  <c r="K101" i="330"/>
  <c r="K151" i="330"/>
  <c r="I190" i="330"/>
  <c r="J190" i="330" s="1"/>
  <c r="H189" i="330"/>
  <c r="K216" i="330"/>
  <c r="K42" i="241" s="1"/>
  <c r="G171" i="323"/>
  <c r="G6" i="272"/>
  <c r="K339" i="323"/>
  <c r="K24" i="272"/>
  <c r="X38" i="329"/>
  <c r="B80" i="100"/>
  <c r="B96" i="100"/>
  <c r="A18" i="324"/>
  <c r="A7" i="268"/>
  <c r="A187" i="324"/>
  <c r="A25" i="268"/>
  <c r="A185" i="323"/>
  <c r="A7" i="272"/>
  <c r="A17" i="323"/>
  <c r="A40" i="324"/>
  <c r="A27" i="268"/>
  <c r="A209" i="324"/>
  <c r="A9" i="268"/>
  <c r="A207" i="323"/>
  <c r="A27" i="272"/>
  <c r="A9" i="272"/>
  <c r="A39" i="323"/>
  <c r="A231" i="324"/>
  <c r="A62" i="324"/>
  <c r="A29" i="268"/>
  <c r="A11" i="268"/>
  <c r="A229" i="323"/>
  <c r="A61" i="323"/>
  <c r="A11" i="272"/>
  <c r="A253" i="324"/>
  <c r="A84" i="324"/>
  <c r="A31" i="268"/>
  <c r="A13" i="268"/>
  <c r="A251" i="323"/>
  <c r="A31" i="272"/>
  <c r="A275" i="324"/>
  <c r="A106" i="324"/>
  <c r="A33" i="268"/>
  <c r="A15" i="268"/>
  <c r="A273" i="323"/>
  <c r="A15" i="272"/>
  <c r="A105" i="323"/>
  <c r="A33" i="272"/>
  <c r="B18" i="267"/>
  <c r="B19" i="267" s="1"/>
  <c r="C6" i="241"/>
  <c r="F12" i="241"/>
  <c r="F10" i="241" s="1"/>
  <c r="C29" i="24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33" i="267"/>
  <c r="C11" i="241"/>
  <c r="C10" i="241" s="1"/>
  <c r="G11" i="241"/>
  <c r="I14" i="241"/>
  <c r="J14" i="241" s="1"/>
  <c r="D24" i="241"/>
  <c r="D20" i="241" s="1"/>
  <c r="H24" i="241"/>
  <c r="I24" i="241" s="1"/>
  <c r="J24" i="241" s="1"/>
  <c r="D43" i="241"/>
  <c r="F7" i="241"/>
  <c r="F6" i="241" s="1"/>
  <c r="F6" i="330"/>
  <c r="I63" i="330"/>
  <c r="J63" i="330" s="1"/>
  <c r="F100" i="330"/>
  <c r="F22" i="241"/>
  <c r="F20" i="241" s="1"/>
  <c r="I119" i="330"/>
  <c r="J119" i="330" s="1"/>
  <c r="G25" i="241"/>
  <c r="I25" i="241" s="1"/>
  <c r="J25" i="241" s="1"/>
  <c r="F29" i="241"/>
  <c r="D150" i="330"/>
  <c r="D35" i="241"/>
  <c r="D33" i="241" s="1"/>
  <c r="H173" i="330"/>
  <c r="H35" i="241" s="1"/>
  <c r="I35" i="241" s="1"/>
  <c r="J35" i="241" s="1"/>
  <c r="F197" i="330"/>
  <c r="F249" i="330" s="1"/>
  <c r="F259" i="330" s="1"/>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C126" i="330" s="1"/>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E6" i="24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49" i="334"/>
  <c r="E49" i="334"/>
  <c r="C106" i="318"/>
  <c r="K97" i="318" s="1"/>
  <c r="K99" i="318" s="1"/>
  <c r="K100" i="318" s="1"/>
  <c r="I7" i="324"/>
  <c r="J7" i="324" s="1"/>
  <c r="K39" i="177"/>
  <c r="K41" i="177" s="1"/>
  <c r="J46" i="267" s="1"/>
  <c r="J25" i="182"/>
  <c r="K36" i="182"/>
  <c r="E6" i="268"/>
  <c r="E21" i="268" s="1"/>
  <c r="E7" i="174"/>
  <c r="C71" i="270"/>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G48" i="174"/>
  <c r="G10" i="174" s="1"/>
  <c r="E53" i="174"/>
  <c r="E14" i="174" s="1"/>
  <c r="H61" i="174"/>
  <c r="E26" i="175"/>
  <c r="E27" i="175" s="1"/>
  <c r="I26" i="175"/>
  <c r="I27" i="175" s="1"/>
  <c r="D26" i="175"/>
  <c r="D27" i="175" s="1"/>
  <c r="H26" i="175"/>
  <c r="H27" i="175" s="1"/>
  <c r="F38" i="270"/>
  <c r="H32" i="269"/>
  <c r="A35" i="269"/>
  <c r="F52" i="269"/>
  <c r="G8" i="334"/>
  <c r="G27" i="334"/>
  <c r="F31" i="334"/>
  <c r="G46" i="334"/>
  <c r="I56" i="318"/>
  <c r="J56" i="318" s="1"/>
  <c r="E52" i="317"/>
  <c r="E54" i="317" s="1"/>
  <c r="E65" i="317"/>
  <c r="K7" i="242"/>
  <c r="I76" i="326"/>
  <c r="J76" i="326" s="1"/>
  <c r="K253" i="324"/>
  <c r="K31" i="268" s="1"/>
  <c r="H18" i="177"/>
  <c r="G43" i="267" s="1"/>
  <c r="H43" i="267" s="1"/>
  <c r="I43" i="267" s="1"/>
  <c r="G38" i="174"/>
  <c r="H43" i="174"/>
  <c r="G11" i="174"/>
  <c r="L14" i="175"/>
  <c r="G38" i="270"/>
  <c r="I52" i="270"/>
  <c r="J52" i="270" s="1"/>
  <c r="A49" i="269"/>
  <c r="E15" i="318"/>
  <c r="D84" i="318"/>
  <c r="I140" i="242"/>
  <c r="J140" i="242" s="1"/>
  <c r="K220" i="324"/>
  <c r="K28" i="268" s="1"/>
  <c r="I242" i="324"/>
  <c r="J242" i="324" s="1"/>
  <c r="I275" i="324"/>
  <c r="J275" i="324" s="1"/>
  <c r="K275" i="324"/>
  <c r="K33" i="268" s="1"/>
  <c r="C13" i="178"/>
  <c r="G13" i="178"/>
  <c r="D26" i="178"/>
  <c r="K14" i="175"/>
  <c r="J50" i="267" s="1"/>
  <c r="F26" i="175"/>
  <c r="F27" i="175" s="1"/>
  <c r="J26" i="175"/>
  <c r="J27" i="175" s="1"/>
  <c r="H38" i="270"/>
  <c r="F32" i="269"/>
  <c r="H52" i="269"/>
  <c r="A46" i="269"/>
  <c r="F16" i="334"/>
  <c r="G16" i="334" s="1"/>
  <c r="D106" i="318"/>
  <c r="K46" i="318"/>
  <c r="K47" i="318" s="1"/>
  <c r="C102" i="318"/>
  <c r="C104" i="318" s="1"/>
  <c r="G65" i="317"/>
  <c r="G52" i="317"/>
  <c r="G54" i="317" s="1"/>
  <c r="K65" i="317"/>
  <c r="K52" i="317"/>
  <c r="K54" i="317" s="1"/>
  <c r="K66" i="317" s="1"/>
  <c r="P65" i="317"/>
  <c r="P52" i="317"/>
  <c r="P54" i="317" s="1"/>
  <c r="H31" i="183"/>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I16" i="183"/>
  <c r="J16" i="183" s="1"/>
  <c r="J6" i="180"/>
  <c r="I8" i="325"/>
  <c r="J8" i="325" s="1"/>
  <c r="H110" i="325"/>
  <c r="I110" i="325" s="1"/>
  <c r="J110" i="325" s="1"/>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G39" i="177"/>
  <c r="G41" i="177" s="1"/>
  <c r="I28" i="177"/>
  <c r="J28" i="177" s="1"/>
  <c r="H45" i="267"/>
  <c r="I45" i="267" s="1"/>
  <c r="K15" i="173"/>
  <c r="J52" i="267" s="1"/>
  <c r="C78" i="172"/>
  <c r="B78" i="172" s="1"/>
  <c r="C26" i="175"/>
  <c r="C27" i="175" s="1"/>
  <c r="G26" i="175"/>
  <c r="G27" i="175" s="1"/>
  <c r="D53" i="172"/>
  <c r="H53" i="172"/>
  <c r="B53" i="172"/>
  <c r="F53" i="172"/>
  <c r="N46" i="317"/>
  <c r="N52" i="317" s="1"/>
  <c r="F39" i="177"/>
  <c r="A1" i="241"/>
  <c r="A1" i="330"/>
  <c r="A1" i="182"/>
  <c r="A1" i="177"/>
  <c r="A1" i="178"/>
  <c r="D64" i="100"/>
  <c r="A1" i="251"/>
  <c r="B61" i="100"/>
  <c r="J52" i="317"/>
  <c r="J54" i="317" s="1"/>
  <c r="J66" i="317" s="1"/>
  <c r="N21" i="317"/>
  <c r="N33" i="317" s="1"/>
  <c r="E43" i="267"/>
  <c r="F106" i="318"/>
  <c r="I46" i="318"/>
  <c r="J46" i="318" s="1"/>
  <c r="J31" i="182"/>
  <c r="E18" i="267"/>
  <c r="E19" i="267" s="1"/>
  <c r="H9" i="267"/>
  <c r="I9" i="267" s="1"/>
  <c r="H10" i="267"/>
  <c r="I10" i="267" s="1"/>
  <c r="F11" i="267"/>
  <c r="G38" i="182"/>
  <c r="G42" i="182" s="1"/>
  <c r="G44" i="182" s="1"/>
  <c r="G46" i="182" s="1"/>
  <c r="G48" i="182" s="1"/>
  <c r="E11" i="267"/>
  <c r="G27" i="174"/>
  <c r="G26" i="174"/>
  <c r="G28" i="174"/>
  <c r="G17" i="174"/>
  <c r="H6" i="267"/>
  <c r="I6" i="267" s="1"/>
  <c r="G53" i="182"/>
  <c r="F38" i="182"/>
  <c r="F42" i="182" s="1"/>
  <c r="F44" i="182" s="1"/>
  <c r="F46" i="182" s="1"/>
  <c r="F48" i="182" s="1"/>
  <c r="I264" i="324"/>
  <c r="I32" i="268" s="1"/>
  <c r="I253" i="324"/>
  <c r="J253" i="324" s="1"/>
  <c r="F341" i="324"/>
  <c r="F343" i="324" s="1"/>
  <c r="G341" i="324"/>
  <c r="G33" i="268"/>
  <c r="F27" i="268"/>
  <c r="F39" i="268" s="1"/>
  <c r="F40" i="268" s="1"/>
  <c r="E28" i="267" s="1"/>
  <c r="G27" i="268"/>
  <c r="I209" i="324"/>
  <c r="I27" i="268" s="1"/>
  <c r="J27" i="268" s="1"/>
  <c r="H32" i="267"/>
  <c r="I32" i="267" s="1"/>
  <c r="F33" i="267"/>
  <c r="E33" i="267"/>
  <c r="F74" i="268"/>
  <c r="G74" i="268"/>
  <c r="I74" i="268" s="1"/>
  <c r="J74" i="268" s="1"/>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G166" i="242" s="1"/>
  <c r="I27" i="242"/>
  <c r="J27" i="242" s="1"/>
  <c r="I17" i="242"/>
  <c r="J17" i="242" s="1"/>
  <c r="F7" i="242"/>
  <c r="F166" i="242" s="1"/>
  <c r="C39" i="177"/>
  <c r="C41" i="177" s="1"/>
  <c r="B46" i="267" s="1"/>
  <c r="E7" i="335"/>
  <c r="E166" i="335" s="1"/>
  <c r="G151" i="333"/>
  <c r="I151" i="333" s="1"/>
  <c r="J151" i="333" s="1"/>
  <c r="I149" i="333"/>
  <c r="J149" i="333" s="1"/>
  <c r="G69" i="333"/>
  <c r="I69" i="333" s="1"/>
  <c r="J69" i="333" s="1"/>
  <c r="G13" i="333"/>
  <c r="I13" i="333" s="1"/>
  <c r="J13" i="333" s="1"/>
  <c r="G8" i="333"/>
  <c r="I8" i="333" s="1"/>
  <c r="J8" i="333" s="1"/>
  <c r="H7" i="333"/>
  <c r="E7" i="333"/>
  <c r="E166" i="333" s="1"/>
  <c r="E75" i="325"/>
  <c r="H138" i="325"/>
  <c r="I138" i="325" s="1"/>
  <c r="J138" i="325" s="1"/>
  <c r="I76" i="325"/>
  <c r="J76" i="325" s="1"/>
  <c r="E7" i="325"/>
  <c r="H117" i="242"/>
  <c r="H75" i="242"/>
  <c r="I75" i="242" s="1"/>
  <c r="J75" i="242" s="1"/>
  <c r="E7" i="242"/>
  <c r="H38" i="181"/>
  <c r="H42" i="181" s="1"/>
  <c r="I42" i="181" s="1"/>
  <c r="J42" i="181" s="1"/>
  <c r="E106" i="318"/>
  <c r="E102" i="318"/>
  <c r="E68" i="318"/>
  <c r="H49" i="318"/>
  <c r="I14" i="318"/>
  <c r="J14" i="318" s="1"/>
  <c r="E49" i="318"/>
  <c r="I8" i="270"/>
  <c r="J8" i="270" s="1"/>
  <c r="I41" i="270"/>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I21" i="241"/>
  <c r="E74" i="330"/>
  <c r="E10" i="241"/>
  <c r="E27" i="330"/>
  <c r="I12" i="241"/>
  <c r="J12" i="241" s="1"/>
  <c r="I50" i="330"/>
  <c r="J50" i="330" s="1"/>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F41" i="178"/>
  <c r="I65" i="317"/>
  <c r="I54" i="317"/>
  <c r="I66" i="317" s="1"/>
  <c r="G117" i="325"/>
  <c r="G75" i="325"/>
  <c r="F7" i="325"/>
  <c r="F166" i="325" s="1"/>
  <c r="G7" i="325"/>
  <c r="F75" i="333"/>
  <c r="F7" i="333"/>
  <c r="I18" i="333"/>
  <c r="J18" i="333" s="1"/>
  <c r="F31" i="183"/>
  <c r="G31" i="183"/>
  <c r="I30" i="318"/>
  <c r="J30" i="318" s="1"/>
  <c r="F49" i="318"/>
  <c r="F104" i="318" s="1"/>
  <c r="H102" i="318"/>
  <c r="I102" i="318" s="1"/>
  <c r="J102" i="318" s="1"/>
  <c r="I99" i="318"/>
  <c r="H106" i="318"/>
  <c r="I8" i="269"/>
  <c r="J8" i="269" s="1"/>
  <c r="I35" i="269"/>
  <c r="F46" i="267" l="1"/>
  <c r="F7" i="178"/>
  <c r="G54" i="269"/>
  <c r="N65" i="317"/>
  <c r="I151" i="330"/>
  <c r="J151" i="330" s="1"/>
  <c r="C249" i="330"/>
  <c r="C259" i="330" s="1"/>
  <c r="K223" i="330"/>
  <c r="C250" i="330"/>
  <c r="D249" i="330"/>
  <c r="D259" i="330" s="1"/>
  <c r="D126" i="330"/>
  <c r="G126" i="330"/>
  <c r="G258" i="330" s="1"/>
  <c r="C341" i="324"/>
  <c r="C343" i="324" s="1"/>
  <c r="H26" i="268"/>
  <c r="D343" i="324"/>
  <c r="K39" i="272"/>
  <c r="K171" i="323"/>
  <c r="K341" i="323" s="1"/>
  <c r="D40" i="272"/>
  <c r="D341" i="323"/>
  <c r="I49" i="318"/>
  <c r="J49" i="318" s="1"/>
  <c r="H52" i="268"/>
  <c r="E47" i="268"/>
  <c r="E63" i="268" s="1"/>
  <c r="H74" i="330"/>
  <c r="I74" i="330" s="1"/>
  <c r="J74" i="330" s="1"/>
  <c r="I75" i="330"/>
  <c r="J75" i="330" s="1"/>
  <c r="K26" i="175"/>
  <c r="K27" i="175" s="1"/>
  <c r="G166" i="335"/>
  <c r="I75" i="335"/>
  <c r="J75" i="335" s="1"/>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H46" i="267" s="1"/>
  <c r="I46" i="267" s="1"/>
  <c r="I117" i="242"/>
  <c r="J117" i="242" s="1"/>
  <c r="H171" i="323"/>
  <c r="I171" i="323" s="1"/>
  <c r="J171" i="323" s="1"/>
  <c r="J198" i="324"/>
  <c r="H39" i="268"/>
  <c r="H40" i="268" s="1"/>
  <c r="G28" i="267" s="1"/>
  <c r="I76" i="335"/>
  <c r="J76" i="335" s="1"/>
  <c r="I117" i="335"/>
  <c r="J117" i="335" s="1"/>
  <c r="F341" i="323"/>
  <c r="G249" i="330"/>
  <c r="G259" i="330" s="1"/>
  <c r="I160" i="323"/>
  <c r="J160" i="323" s="1"/>
  <c r="I8" i="272"/>
  <c r="J8" i="272" s="1"/>
  <c r="K11" i="241"/>
  <c r="K10" i="241" s="1"/>
  <c r="F71" i="270"/>
  <c r="D71" i="270"/>
  <c r="D166" i="325"/>
  <c r="K166" i="333"/>
  <c r="G166" i="326"/>
  <c r="E166" i="242"/>
  <c r="I118" i="335"/>
  <c r="J118" i="335" s="1"/>
  <c r="F166" i="335"/>
  <c r="G343" i="324"/>
  <c r="E166" i="326"/>
  <c r="H71" i="270"/>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E166" i="325"/>
  <c r="F39" i="174"/>
  <c r="H129" i="330"/>
  <c r="I10" i="330"/>
  <c r="J10" i="330" s="1"/>
  <c r="E249" i="330"/>
  <c r="E259" i="330" s="1"/>
  <c r="H7" i="242"/>
  <c r="I7" i="242" s="1"/>
  <c r="J7" i="242" s="1"/>
  <c r="H7" i="326"/>
  <c r="I7" i="326" s="1"/>
  <c r="J7" i="326" s="1"/>
  <c r="F166" i="326"/>
  <c r="J231" i="324"/>
  <c r="D171" i="335"/>
  <c r="K75" i="242"/>
  <c r="K166" i="242" s="1"/>
  <c r="I75" i="333"/>
  <c r="J75" i="333" s="1"/>
  <c r="H117" i="326"/>
  <c r="I117" i="326" s="1"/>
  <c r="J117" i="326" s="1"/>
  <c r="I229" i="323"/>
  <c r="J229" i="323" s="1"/>
  <c r="I185" i="323"/>
  <c r="J185" i="323" s="1"/>
  <c r="H100" i="330"/>
  <c r="H18" i="241"/>
  <c r="I18" i="241" s="1"/>
  <c r="J18" i="241" s="1"/>
  <c r="H28" i="174"/>
  <c r="G39" i="268"/>
  <c r="I31" i="268"/>
  <c r="J31" i="268" s="1"/>
  <c r="I30" i="268"/>
  <c r="J30" i="268" s="1"/>
  <c r="J220" i="324"/>
  <c r="G71" i="270"/>
  <c r="H75" i="325"/>
  <c r="I75" i="325" s="1"/>
  <c r="J75" i="325" s="1"/>
  <c r="I117" i="325"/>
  <c r="J117" i="325" s="1"/>
  <c r="D54" i="269"/>
  <c r="H7" i="335"/>
  <c r="I7" i="335" s="1"/>
  <c r="J7" i="335" s="1"/>
  <c r="G7" i="333"/>
  <c r="H166" i="333"/>
  <c r="J264" i="324"/>
  <c r="H54" i="269"/>
  <c r="I38" i="270"/>
  <c r="J38" i="270" s="1"/>
  <c r="I18" i="177"/>
  <c r="J18" i="177" s="1"/>
  <c r="H18" i="267"/>
  <c r="I18" i="267" s="1"/>
  <c r="G20" i="267"/>
  <c r="G23" i="267" s="1"/>
  <c r="G25" i="267" s="1"/>
  <c r="H11" i="267"/>
  <c r="I11" i="267" s="1"/>
  <c r="I251" i="323"/>
  <c r="J251" i="323" s="1"/>
  <c r="H150" i="330"/>
  <c r="I150" i="330" s="1"/>
  <c r="J150" i="330" s="1"/>
  <c r="I105" i="330"/>
  <c r="H6" i="330"/>
  <c r="I31" i="183"/>
  <c r="J31" i="183" s="1"/>
  <c r="K166" i="325"/>
  <c r="H33" i="267"/>
  <c r="I33" i="267" s="1"/>
  <c r="A1" i="272"/>
  <c r="A1" i="324"/>
  <c r="D171" i="242"/>
  <c r="C20" i="267"/>
  <c r="C23" i="267" s="1"/>
  <c r="C25" i="267" s="1"/>
  <c r="K21" i="272"/>
  <c r="K40" i="272" s="1"/>
  <c r="H20" i="241"/>
  <c r="C40" i="268"/>
  <c r="D46" i="174" s="1"/>
  <c r="D8" i="174" s="1"/>
  <c r="H17" i="174"/>
  <c r="F54" i="269"/>
  <c r="I33" i="268"/>
  <c r="J33" i="268" s="1"/>
  <c r="K39" i="268"/>
  <c r="K40" i="268" s="1"/>
  <c r="J28" i="267" s="1"/>
  <c r="K341" i="324"/>
  <c r="K343" i="324" s="1"/>
  <c r="E56" i="317"/>
  <c r="F55" i="317" s="1"/>
  <c r="F56" i="317" s="1"/>
  <c r="G55" i="317" s="1"/>
  <c r="G56" i="317" s="1"/>
  <c r="H55" i="317" s="1"/>
  <c r="H56" i="317" s="1"/>
  <c r="I55" i="317" s="1"/>
  <c r="I56" i="317" s="1"/>
  <c r="J55" i="317" s="1"/>
  <c r="J56" i="317" s="1"/>
  <c r="K55" i="317" s="1"/>
  <c r="K56" i="317" s="1"/>
  <c r="L55" i="317" s="1"/>
  <c r="L56" i="317" s="1"/>
  <c r="M55" i="317" s="1"/>
  <c r="M56" i="317" s="1"/>
  <c r="N55" i="317" s="1"/>
  <c r="E66" i="317"/>
  <c r="I114" i="242"/>
  <c r="J114" i="242" s="1"/>
  <c r="H110" i="242"/>
  <c r="I110" i="242" s="1"/>
  <c r="J110" i="242" s="1"/>
  <c r="G66" i="317"/>
  <c r="D171" i="326"/>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G250" i="330"/>
  <c r="I273" i="323"/>
  <c r="J273" i="323" s="1"/>
  <c r="I6" i="272"/>
  <c r="J6" i="272" s="1"/>
  <c r="G21" i="272"/>
  <c r="G40" i="272" s="1"/>
  <c r="K150" i="330"/>
  <c r="K34" i="241"/>
  <c r="K33" i="241" s="1"/>
  <c r="D258" i="330"/>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E46" i="174"/>
  <c r="E8" i="174" s="1"/>
  <c r="D86" i="268"/>
  <c r="C28" i="267"/>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C258" i="330"/>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N54" i="317"/>
  <c r="N66" i="317" s="1"/>
  <c r="A1" i="326"/>
  <c r="A1" i="180"/>
  <c r="A1" i="334"/>
  <c r="A1" i="270"/>
  <c r="A1" i="238"/>
  <c r="A1" i="175"/>
  <c r="A1" i="174"/>
  <c r="A1" i="325"/>
  <c r="A1" i="183"/>
  <c r="A1" i="242"/>
  <c r="A1" i="317"/>
  <c r="A1" i="335"/>
  <c r="A1" i="318"/>
  <c r="A1" i="269"/>
  <c r="A1" i="173"/>
  <c r="A1" i="333"/>
  <c r="A1" i="181"/>
  <c r="E20" i="267"/>
  <c r="E23" i="267" s="1"/>
  <c r="E25" i="267" s="1"/>
  <c r="F86" i="268"/>
  <c r="J209" i="324"/>
  <c r="F171" i="326"/>
  <c r="I38" i="181"/>
  <c r="J38" i="181" s="1"/>
  <c r="H44" i="181"/>
  <c r="I44" i="181" s="1"/>
  <c r="J44" i="181" s="1"/>
  <c r="H104" i="318"/>
  <c r="I104" i="318" s="1"/>
  <c r="J104" i="318" s="1"/>
  <c r="E50" i="318"/>
  <c r="E104" i="318"/>
  <c r="E105" i="318" s="1"/>
  <c r="I69" i="270"/>
  <c r="J41" i="270"/>
  <c r="J32" i="268"/>
  <c r="J26" i="268"/>
  <c r="J43" i="268"/>
  <c r="D20" i="267"/>
  <c r="D23" i="267" s="1"/>
  <c r="D25" i="267" s="1"/>
  <c r="E341" i="323"/>
  <c r="E40" i="272"/>
  <c r="J9" i="272"/>
  <c r="E49" i="241"/>
  <c r="E50" i="241" s="1"/>
  <c r="E126" i="330"/>
  <c r="J21" i="241"/>
  <c r="I20" i="241"/>
  <c r="F19" i="267"/>
  <c r="H19" i="267" s="1"/>
  <c r="I19" i="267" s="1"/>
  <c r="J36" i="182"/>
  <c r="I38" i="182"/>
  <c r="J38" i="182" s="1"/>
  <c r="F27" i="174"/>
  <c r="F26" i="174"/>
  <c r="F17" i="174"/>
  <c r="F28" i="174"/>
  <c r="G166" i="325"/>
  <c r="F166" i="333"/>
  <c r="I106" i="318"/>
  <c r="J106" i="318" s="1"/>
  <c r="J99" i="318"/>
  <c r="I52" i="269"/>
  <c r="J35" i="269"/>
  <c r="F13" i="178" l="1"/>
  <c r="G61" i="174"/>
  <c r="G54" i="174"/>
  <c r="G14" i="174"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H86" i="268"/>
  <c r="I341" i="324"/>
  <c r="J341" i="324" s="1"/>
  <c r="K171" i="326"/>
  <c r="K171" i="242"/>
  <c r="K171" i="335"/>
  <c r="H166" i="242"/>
  <c r="I166" i="242" s="1"/>
  <c r="J166" i="242" s="1"/>
  <c r="H13" i="174"/>
  <c r="H16" i="241"/>
  <c r="I16" i="241" s="1"/>
  <c r="J16" i="241" s="1"/>
  <c r="E250" i="330"/>
  <c r="J176" i="324"/>
  <c r="I24" i="268"/>
  <c r="J24" i="268"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I39" i="268"/>
  <c r="J39" i="268" s="1"/>
  <c r="K49" i="241"/>
  <c r="C171" i="326"/>
  <c r="C86" i="268"/>
  <c r="I21" i="272"/>
  <c r="C50" i="241"/>
  <c r="C171" i="335"/>
  <c r="N56" i="317"/>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J69" i="270"/>
  <c r="I71" i="270"/>
  <c r="J71" i="270" s="1"/>
  <c r="E258" i="330"/>
  <c r="I54" i="269"/>
  <c r="J54" i="269" s="1"/>
  <c r="J52" i="269"/>
  <c r="G52" i="174" l="1"/>
  <c r="G13" i="174" s="1"/>
  <c r="F26" i="178"/>
  <c r="F36" i="267"/>
  <c r="K50" i="241"/>
  <c r="H63" i="268"/>
  <c r="I47" i="268"/>
  <c r="G171" i="242"/>
  <c r="G171" i="335"/>
  <c r="K250" i="330"/>
  <c r="G86" i="268"/>
  <c r="F28" i="267"/>
  <c r="H28" i="267" s="1"/>
  <c r="I28" i="267" s="1"/>
  <c r="G171" i="326"/>
  <c r="H171" i="326"/>
  <c r="H171" i="335"/>
  <c r="H40" i="272"/>
  <c r="J21" i="272"/>
  <c r="H258" i="330"/>
  <c r="I126" i="330"/>
  <c r="H250" i="330"/>
  <c r="I250" i="330" s="1"/>
  <c r="J250" i="330" s="1"/>
  <c r="I40" i="268"/>
  <c r="J40" i="268" s="1"/>
  <c r="H20" i="267"/>
  <c r="I20" i="267" s="1"/>
  <c r="C32" i="172"/>
  <c r="G11" i="180"/>
  <c r="H171" i="242"/>
  <c r="J46" i="241"/>
  <c r="I43" i="241"/>
  <c r="J43" i="241" s="1"/>
  <c r="I29" i="241"/>
  <c r="H49" i="241"/>
  <c r="B31" i="172"/>
  <c r="F10" i="180"/>
  <c r="J9" i="180"/>
  <c r="H9" i="180"/>
  <c r="I9" i="180" s="1"/>
  <c r="I10" i="241"/>
  <c r="H26" i="241"/>
  <c r="J223" i="330"/>
  <c r="I249" i="330"/>
  <c r="I39" i="272"/>
  <c r="J24" i="272"/>
  <c r="F25" i="267"/>
  <c r="H25" i="267" s="1"/>
  <c r="I25" i="267" s="1"/>
  <c r="H23" i="267"/>
  <c r="I23" i="267" s="1"/>
  <c r="G39" i="174" l="1"/>
  <c r="F43" i="178"/>
  <c r="F54" i="17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alcChain>
</file>

<file path=xl/sharedStrings.xml><?xml version="1.0" encoding="utf-8"?>
<sst xmlns="http://schemas.openxmlformats.org/spreadsheetml/2006/main" count="3070" uniqueCount="1635">
  <si>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</si>
  <si>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</si>
  <si>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</si>
  <si>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</si>
  <si>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</si>
  <si>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</si>
  <si>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</si>
  <si>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</si>
  <si>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</si>
  <si>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</si>
  <si>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</si>
  <si>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</si>
  <si>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</si>
  <si>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</si>
  <si>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</si>
  <si>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</si>
  <si>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</si>
  <si>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</si>
  <si>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</si>
  <si>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</si>
  <si>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</si>
  <si>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</si>
  <si>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</si>
  <si>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</si>
  <si>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</si>
  <si>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</si>
  <si>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</si>
  <si>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</si>
  <si>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</si>
  <si>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</si>
  <si>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</si>
  <si>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</si>
  <si>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</si>
  <si>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</si>
  <si>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</si>
  <si>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</si>
  <si>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</si>
  <si>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</si>
  <si>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</si>
  <si>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</si>
  <si>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</si>
  <si>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</si>
  <si>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</si>
  <si>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</si>
  <si>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</si>
  <si>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</si>
  <si>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</si>
  <si>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</si>
  <si>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</si>
  <si>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</si>
  <si>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</si>
  <si>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</si>
  <si>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</si>
  <si>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</si>
  <si>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</si>
  <si>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</si>
  <si>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</si>
  <si>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</si>
  <si>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</si>
  <si>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</si>
  <si>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</si>
  <si>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</si>
  <si>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</si>
  <si>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</si>
  <si>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</si>
  <si>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</si>
  <si>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</si>
  <si>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</si>
  <si>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</si>
  <si>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</si>
  <si>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</si>
  <si>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</si>
  <si>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</si>
  <si>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</si>
  <si>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</si>
  <si>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</si>
  <si>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</si>
  <si>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</si>
  <si>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</si>
  <si>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</si>
  <si>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</si>
  <si>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</si>
  <si>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</si>
  <si>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</si>
  <si>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</si>
  <si>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</si>
  <si>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</si>
  <si>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</si>
  <si>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</si>
  <si>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</si>
  <si>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</si>
  <si>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</si>
  <si>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</si>
  <si>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</si>
  <si>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</si>
  <si>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</si>
  <si>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</si>
  <si>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</si>
  <si>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</si>
  <si>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</si>
  <si>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</si>
  <si>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</si>
  <si>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</si>
  <si>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</si>
  <si>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</si>
  <si>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</si>
  <si>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</si>
  <si>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</si>
  <si>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</si>
  <si>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</si>
  <si>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</si>
  <si>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</si>
  <si>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</si>
  <si>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</si>
  <si>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</si>
  <si>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</si>
  <si>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</si>
  <si>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</si>
  <si>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</si>
  <si>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</si>
  <si>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</si>
  <si>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</si>
  <si>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</si>
  <si>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</si>
  <si>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</si>
  <si>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</si>
  <si>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</si>
  <si>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</si>
  <si>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</si>
  <si>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</si>
  <si>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</si>
  <si>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</si>
  <si>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</si>
  <si>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</si>
  <si>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</si>
  <si>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</si>
  <si>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</si>
  <si>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</si>
  <si>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</si>
  <si>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</si>
  <si>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</si>
  <si>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</si>
  <si>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</si>
  <si>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</si>
  <si>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</si>
  <si>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</si>
  <si>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</si>
  <si>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</si>
  <si>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</si>
  <si>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</si>
  <si>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</si>
  <si>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</si>
  <si>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</si>
  <si>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</si>
  <si>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</si>
  <si>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</si>
  <si>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</si>
  <si>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</si>
  <si>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</si>
  <si>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</si>
  <si>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</si>
  <si>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</si>
  <si>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</si>
  <si>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</si>
  <si>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</si>
  <si>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</si>
  <si>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</si>
  <si>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</si>
  <si>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</si>
  <si>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</si>
  <si>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</si>
  <si>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</si>
  <si>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</si>
  <si>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</si>
  <si>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</si>
  <si>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</si>
  <si>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</si>
  <si>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</si>
  <si>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</si>
  <si>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</si>
  <si>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</si>
  <si>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</si>
  <si>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</si>
  <si>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</si>
  <si>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</si>
  <si>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</si>
  <si>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</si>
  <si>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</si>
  <si>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</si>
  <si>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</si>
  <si>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</si>
  <si>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</si>
  <si>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</si>
  <si>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</si>
  <si>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</si>
  <si>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</si>
  <si>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</si>
  <si>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</si>
  <si>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</si>
  <si>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</si>
  <si>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</si>
  <si>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</si>
  <si>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</si>
  <si>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</si>
  <si>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</si>
  <si>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</si>
  <si>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</si>
  <si>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</si>
  <si>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</si>
  <si>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</si>
  <si>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</si>
  <si>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</si>
  <si>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</si>
  <si>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</si>
  <si>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</si>
  <si>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</si>
  <si>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</si>
  <si>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</si>
  <si>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</si>
  <si>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</si>
  <si>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</si>
  <si>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</si>
  <si>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</si>
  <si>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</si>
  <si>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</si>
  <si>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</si>
  <si>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</si>
  <si>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</si>
  <si>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</si>
  <si>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</si>
  <si>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</si>
  <si>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</si>
  <si>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</si>
  <si>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</si>
  <si>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</si>
  <si>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</si>
  <si>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</si>
  <si>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</si>
  <si>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</si>
  <si>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</si>
  <si>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</si>
  <si>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</si>
  <si>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</si>
  <si>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</si>
  <si>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</si>
  <si>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</si>
  <si>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</si>
  <si>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</si>
  <si>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</si>
  <si>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</si>
  <si>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</si>
  <si>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</si>
  <si>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</si>
  <si>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</si>
  <si>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</si>
  <si>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</si>
  <si>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</si>
  <si>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</si>
  <si>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</si>
  <si>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</si>
  <si>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</si>
  <si>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</si>
  <si>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</si>
  <si>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</si>
  <si>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</si>
  <si>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</si>
  <si>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</si>
  <si>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</si>
  <si>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</si>
  <si>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</si>
  <si>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</si>
  <si>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</si>
  <si>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</si>
  <si>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</si>
  <si>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</si>
  <si>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</si>
  <si>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</si>
  <si>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</si>
  <si>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</si>
  <si>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</si>
  <si>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</si>
  <si>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</si>
  <si>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</si>
  <si>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</si>
  <si>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</si>
  <si>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</si>
  <si>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</si>
  <si>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</si>
  <si>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</si>
  <si>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</si>
  <si>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</si>
  <si>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</si>
  <si>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</si>
  <si>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</si>
  <si>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</si>
  <si>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</si>
  <si>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</si>
  <si>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</si>
  <si>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</si>
  <si>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</si>
  <si>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</si>
  <si>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</si>
  <si>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</si>
  <si>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</si>
  <si>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</si>
  <si>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</si>
  <si>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</si>
  <si>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</si>
  <si>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</si>
  <si>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</si>
  <si>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</si>
  <si>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</si>
  <si>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</si>
  <si>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</si>
  <si>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</si>
  <si>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</si>
  <si>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</si>
  <si>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</si>
  <si>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</si>
  <si>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</si>
  <si>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</si>
  <si>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</si>
  <si>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</si>
  <si>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</si>
  <si>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</si>
  <si>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</si>
  <si>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</si>
  <si>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</si>
  <si>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</si>
  <si>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</si>
  <si>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</si>
  <si>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</si>
  <si>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</si>
  <si>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</si>
  <si>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</si>
  <si>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</si>
  <si>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</si>
  <si>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</si>
  <si>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</si>
  <si>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</si>
  <si>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</si>
  <si>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</si>
  <si>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</si>
  <si>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</si>
  <si>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</si>
  <si>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</si>
  <si>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</si>
  <si>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</si>
  <si>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</si>
  <si>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</si>
  <si>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</si>
  <si>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</si>
  <si>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</si>
  <si>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</si>
  <si>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</si>
  <si>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</si>
  <si>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</si>
  <si>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</si>
  <si>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</si>
  <si>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</si>
  <si>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</si>
  <si>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</si>
  <si>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</si>
  <si>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</si>
  <si>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</si>
  <si>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</si>
  <si>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</si>
  <si>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</si>
  <si>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</si>
  <si>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</si>
  <si>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</si>
  <si>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</si>
  <si>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</si>
  <si>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</si>
  <si>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</si>
  <si>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</si>
  <si>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</si>
  <si>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</si>
  <si>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</si>
  <si>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</si>
  <si>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</si>
  <si>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</si>
  <si>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</si>
  <si>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</si>
  <si>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</si>
  <si>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</si>
  <si>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</si>
  <si>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</si>
  <si>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</si>
  <si>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</si>
  <si>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</si>
  <si>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</si>
  <si>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</si>
  <si>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</si>
  <si>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</si>
  <si>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</si>
  <si>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</si>
  <si>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</si>
  <si>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</si>
  <si>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</si>
  <si>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</si>
  <si>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</si>
  <si>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</si>
  <si>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</si>
  <si>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</si>
  <si>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</si>
  <si>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</si>
  <si>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</si>
  <si>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</si>
  <si>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</si>
  <si>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</si>
  <si>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</si>
  <si>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</si>
  <si>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</si>
  <si>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</si>
  <si>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</si>
  <si>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</si>
  <si>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</si>
  <si>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</si>
  <si>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</si>
  <si>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</si>
  <si>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</si>
  <si>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</si>
  <si>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</si>
  <si>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</si>
  <si>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</si>
  <si>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</si>
  <si>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</si>
  <si>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</si>
  <si>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</si>
  <si>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</si>
  <si>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</si>
  <si>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</si>
  <si>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</si>
  <si>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</si>
  <si>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</si>
  <si>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</si>
  <si>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</si>
  <si>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</si>
  <si>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</si>
  <si>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</si>
  <si>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</si>
  <si>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</si>
  <si>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</si>
  <si>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</si>
  <si>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</si>
  <si>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</si>
  <si>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</si>
  <si>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</si>
  <si>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</si>
  <si>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</si>
  <si>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</si>
  <si>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</si>
  <si>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</si>
  <si>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</si>
  <si>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</si>
  <si>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</si>
  <si>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</si>
  <si>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</si>
  <si>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</si>
  <si>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</si>
  <si>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</si>
  <si>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</si>
  <si>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</si>
  <si>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</si>
  <si>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</si>
  <si>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</si>
  <si>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</si>
  <si>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</si>
  <si>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</si>
  <si>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</si>
  <si>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</si>
  <si>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</si>
  <si>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</si>
  <si>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</si>
  <si>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</si>
  <si>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</si>
  <si>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</si>
  <si>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</si>
  <si>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</si>
  <si>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</si>
  <si>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</si>
  <si>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</si>
  <si>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</si>
  <si>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</si>
  <si>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</si>
  <si>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</si>
  <si>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</si>
  <si>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</si>
  <si>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</si>
  <si>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</si>
  <si>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</si>
  <si>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</si>
  <si>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</si>
  <si>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</si>
  <si>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</si>
  <si>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</si>
  <si>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</si>
  <si>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</si>
  <si>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</si>
  <si>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</si>
  <si>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</si>
  <si>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</si>
  <si>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</si>
  <si>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</si>
  <si>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</si>
  <si>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</si>
  <si>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</si>
  <si>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</si>
  <si>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</si>
  <si>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</si>
  <si>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</si>
  <si>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</si>
  <si>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</si>
  <si>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</si>
  <si>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</si>
  <si>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</si>
  <si>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</si>
  <si>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</si>
  <si>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</si>
  <si>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</si>
  <si>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</si>
  <si>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</si>
  <si>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</si>
  <si>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</si>
  <si>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</si>
  <si>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</si>
  <si>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</si>
  <si>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</si>
  <si>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</si>
  <si>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</si>
  <si>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</si>
  <si>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</si>
  <si>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</si>
  <si>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</si>
  <si>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</si>
  <si>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</si>
  <si>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</si>
  <si>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</si>
  <si>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</si>
  <si>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</si>
  <si>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</si>
  <si>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</si>
  <si>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</si>
  <si>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</si>
  <si>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</si>
  <si>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</si>
  <si>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</si>
  <si>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</si>
  <si>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</si>
  <si>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</si>
  <si>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</si>
  <si>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</si>
  <si>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</si>
  <si>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</si>
  <si>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</si>
  <si>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</si>
  <si>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</si>
  <si>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</si>
  <si>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</si>
  <si>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</si>
  <si>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</si>
  <si>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</si>
  <si>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</si>
  <si>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</si>
  <si>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</si>
  <si>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</si>
  <si>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</si>
  <si>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</si>
  <si>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</si>
  <si>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</si>
  <si>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</si>
  <si>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</si>
  <si>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</si>
  <si>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</si>
  <si>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</si>
  <si>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</si>
  <si>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</si>
  <si>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</si>
  <si>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</si>
  <si>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</si>
  <si>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</si>
  <si>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</si>
  <si>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</si>
  <si>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</si>
  <si>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</si>
  <si>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</si>
  <si>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</si>
  <si>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</si>
  <si>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</si>
  <si>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</si>
  <si>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</si>
  <si>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</si>
  <si>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</si>
  <si>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</si>
  <si>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</si>
  <si>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</si>
  <si>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</si>
  <si>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</si>
  <si>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</si>
  <si>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</si>
  <si>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</si>
  <si>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</si>
  <si>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</si>
  <si>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</si>
  <si>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</si>
  <si>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</si>
  <si>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</si>
  <si>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</si>
  <si>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</si>
  <si>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</si>
  <si>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</si>
  <si>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</si>
  <si>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</si>
  <si>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</si>
  <si>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</si>
  <si>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</si>
  <si>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</si>
  <si>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</si>
  <si>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</si>
  <si>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</si>
  <si>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</si>
  <si>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</si>
  <si>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</si>
  <si>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</si>
  <si>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</si>
  <si>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</si>
  <si>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</si>
  <si>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</si>
  <si>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</si>
  <si>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</si>
  <si>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</si>
  <si>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</si>
  <si>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</si>
  <si>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</si>
  <si>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</si>
  <si>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</si>
  <si>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</si>
  <si>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</si>
  <si>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</si>
  <si>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</si>
  <si>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</si>
  <si>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</si>
  <si>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</si>
  <si>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</si>
  <si>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</si>
  <si>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</si>
  <si>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</si>
  <si>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</si>
  <si>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</si>
  <si>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</si>
  <si>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</si>
  <si>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</si>
  <si>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</si>
  <si>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</si>
  <si>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</si>
  <si>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</si>
  <si>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</si>
  <si>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</si>
  <si>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</si>
  <si>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</si>
  <si>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</si>
  <si>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</si>
  <si>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</si>
  <si>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</si>
  <si>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</si>
  <si>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</si>
  <si>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</si>
  <si>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</si>
  <si>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</si>
  <si>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</si>
  <si>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</si>
  <si>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</si>
  <si>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</si>
  <si>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</si>
  <si>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</si>
  <si>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</si>
  <si>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</si>
  <si>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</si>
  <si>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</si>
  <si>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</si>
  <si>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</si>
  <si>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</si>
  <si>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</si>
  <si>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</si>
  <si>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</si>
  <si>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</si>
  <si>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</si>
  <si>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</si>
  <si>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</si>
  <si>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</si>
  <si>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</si>
  <si>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</si>
  <si>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</si>
  <si>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</si>
  <si>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</si>
  <si>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</si>
  <si>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</si>
  <si>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</si>
  <si>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</si>
  <si>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</si>
  <si>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</si>
  <si>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</si>
  <si>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</si>
  <si>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</si>
  <si>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</si>
  <si>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</si>
  <si>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</si>
  <si>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</si>
  <si>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</si>
  <si>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</si>
  <si>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</si>
  <si>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</si>
  <si>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</si>
  <si>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</si>
  <si>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</si>
  <si>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</si>
  <si>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</si>
  <si>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</si>
  <si>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</si>
  <si>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</si>
  <si>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</si>
  <si>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</si>
  <si>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</si>
  <si>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</si>
  <si>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</si>
  <si>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</si>
  <si>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</si>
  <si>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</si>
  <si>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</si>
  <si>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</si>
  <si>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</si>
  <si>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</si>
  <si>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</si>
  <si>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</si>
  <si>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</si>
  <si>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</si>
  <si>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</si>
  <si>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</si>
  <si>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</si>
  <si>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</si>
  <si>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</si>
  <si>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</si>
  <si>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</si>
  <si>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</si>
  <si>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</si>
  <si>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</si>
  <si>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</si>
  <si>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</si>
  <si>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</si>
  <si>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</si>
  <si>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</si>
  <si>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</si>
  <si>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</si>
  <si>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</si>
  <si>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</si>
  <si>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</si>
  <si>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</si>
  <si>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</si>
  <si>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</si>
  <si>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</si>
  <si>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</si>
  <si>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</si>
  <si>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</si>
  <si>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</si>
  <si>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</si>
  <si>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</si>
  <si>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</si>
  <si>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</si>
  <si>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</si>
  <si>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</si>
  <si>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</si>
  <si>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</si>
  <si>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</si>
  <si>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</si>
  <si>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</si>
  <si>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</si>
  <si>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</si>
  <si>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</si>
  <si>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</si>
  <si>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</si>
  <si>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</si>
  <si>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</si>
  <si>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</si>
  <si>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</si>
  <si>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</si>
  <si>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</si>
  <si>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</si>
  <si>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</si>
  <si>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</si>
  <si>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</si>
  <si>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</si>
  <si>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</si>
  <si>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</si>
  <si>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</si>
  <si>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</si>
  <si>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</si>
  <si>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</si>
  <si>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</si>
  <si>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</si>
  <si>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</si>
  <si>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</si>
  <si>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</si>
  <si>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</si>
  <si>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</si>
  <si>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</si>
  <si>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</si>
  <si>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</si>
  <si>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</si>
  <si>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</si>
  <si>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</si>
  <si>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</si>
  <si>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</si>
  <si>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</si>
  <si>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</si>
  <si>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</si>
  <si>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</si>
  <si>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</si>
  <si>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</si>
  <si>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</si>
  <si>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</si>
  <si>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</si>
  <si>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</si>
  <si>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</si>
  <si>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</si>
  <si>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</si>
  <si>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</si>
  <si>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</si>
  <si>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</si>
  <si>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</si>
  <si>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</si>
  <si>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</si>
  <si>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</si>
  <si>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</si>
  <si>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</si>
  <si>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</si>
  <si>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</si>
  <si>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</si>
  <si>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</si>
  <si>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</si>
  <si>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</si>
  <si>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</si>
  <si>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</si>
  <si>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</si>
  <si>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</si>
  <si>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</si>
  <si>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</si>
  <si>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</si>
  <si>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</si>
  <si>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</si>
  <si>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</si>
  <si>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</si>
  <si>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</si>
  <si>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</si>
  <si>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</si>
  <si>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</si>
  <si>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</si>
  <si>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</si>
  <si>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</si>
  <si>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</si>
  <si>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</si>
  <si>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</si>
  <si>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</si>
  <si>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</si>
  <si>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</si>
  <si>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</si>
  <si>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</si>
  <si>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</si>
  <si>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</si>
  <si>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</si>
  <si>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</si>
  <si>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</si>
  <si>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</si>
  <si>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</si>
  <si>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</si>
  <si>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</si>
  <si>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</si>
  <si>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</si>
  <si>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</si>
  <si>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</si>
  <si>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</si>
  <si>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</si>
  <si>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</si>
  <si>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</si>
  <si>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</si>
  <si>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</si>
  <si>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</si>
  <si>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</si>
  <si>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</si>
  <si>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</si>
  <si>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</si>
  <si>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</si>
  <si>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</si>
  <si>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</si>
  <si>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</si>
  <si>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</si>
  <si>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</si>
  <si>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</si>
  <si>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</si>
  <si>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</si>
  <si>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</si>
  <si>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</si>
  <si>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</si>
  <si>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</si>
  <si>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</si>
  <si>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</si>
  <si>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</si>
  <si>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</si>
  <si>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</si>
  <si>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</si>
  <si>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</si>
  <si>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</si>
  <si>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</si>
  <si>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</si>
  <si>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</si>
  <si>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</si>
  <si>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</si>
  <si>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</si>
  <si>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</si>
  <si>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</si>
  <si>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</si>
  <si>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</si>
  <si>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</si>
  <si>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</si>
  <si>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</si>
  <si>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</si>
  <si>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</si>
  <si>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</si>
  <si>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</si>
  <si>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</si>
  <si>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</si>
  <si>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</si>
  <si>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</si>
  <si>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</si>
  <si>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</si>
  <si>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</si>
  <si>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</si>
  <si>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</si>
  <si>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</si>
  <si>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</si>
  <si>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</si>
  <si>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</si>
  <si>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</si>
  <si>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</si>
  <si>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</si>
  <si>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</si>
  <si>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</si>
  <si>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</si>
  <si>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</si>
  <si>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</si>
  <si>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</si>
  <si>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</si>
  <si>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</si>
  <si>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</si>
  <si>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</si>
  <si>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</si>
  <si>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</si>
  <si>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</si>
  <si>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</si>
  <si>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</si>
  <si>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</si>
  <si>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</si>
  <si>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</si>
  <si>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</si>
  <si>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</si>
  <si>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</si>
  <si>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</si>
  <si>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</si>
  <si>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</si>
  <si>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</si>
  <si>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</si>
  <si>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</si>
  <si>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</si>
  <si>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</si>
  <si>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</si>
  <si>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</si>
  <si>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</si>
  <si>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</si>
  <si>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</si>
  <si>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</si>
  <si>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</si>
  <si>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</si>
  <si>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</si>
  <si>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</si>
  <si>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</si>
  <si>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</si>
  <si>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</si>
  <si>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</si>
  <si>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</si>
  <si>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</si>
  <si>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</si>
  <si>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</si>
  <si>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</si>
  <si>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</si>
  <si>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</si>
  <si>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</si>
  <si>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</si>
  <si>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</si>
  <si>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</si>
  <si>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</si>
  <si>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</si>
  <si>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</si>
  <si>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</si>
  <si>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</si>
  <si>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</si>
  <si>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</si>
  <si>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</si>
  <si>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</si>
  <si>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</si>
  <si>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</si>
  <si>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</si>
  <si>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</si>
  <si>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</si>
  <si>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</si>
  <si>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</si>
  <si>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</si>
  <si>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</si>
  <si>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</si>
  <si>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</si>
  <si>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</si>
  <si>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</si>
  <si>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</si>
  <si>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</si>
  <si>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</si>
  <si>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</si>
  <si>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</si>
  <si>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</si>
  <si>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</si>
  <si>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</si>
  <si>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</si>
  <si>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</si>
  <si>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</si>
  <si>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</si>
  <si>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</si>
  <si>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</si>
  <si>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</si>
  <si>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</si>
  <si>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</si>
  <si>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</si>
  <si>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</si>
  <si>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</si>
  <si>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</si>
  <si>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</si>
  <si>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</si>
  <si>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</si>
  <si>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</si>
  <si>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</si>
  <si>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</si>
  <si>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</si>
  <si>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</si>
  <si>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</si>
  <si>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</si>
  <si>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</si>
  <si>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</si>
  <si>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</si>
  <si>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</si>
  <si>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</si>
  <si>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</si>
  <si>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</si>
  <si>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</si>
  <si>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</si>
  <si>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</si>
  <si>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</si>
  <si>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</si>
  <si>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</si>
  <si>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</si>
  <si>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</si>
  <si>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</si>
  <si>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</si>
  <si>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</si>
  <si>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</si>
  <si>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</si>
  <si>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</si>
  <si>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</si>
  <si>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</si>
  <si>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</si>
  <si>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</si>
  <si>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</si>
  <si>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</si>
  <si>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</si>
  <si>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</si>
  <si>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</si>
  <si>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</si>
  <si>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</si>
  <si>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</si>
  <si>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</si>
  <si>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</si>
  <si>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</si>
  <si>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</si>
  <si>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</si>
  <si>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</si>
  <si>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</si>
  <si>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</si>
  <si>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</si>
  <si>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</si>
  <si>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</si>
  <si>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</si>
  <si>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</si>
  <si>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</si>
  <si>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</si>
  <si>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</si>
  <si>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</si>
  <si>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</si>
  <si>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</si>
  <si>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</si>
  <si>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</si>
  <si>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</si>
  <si>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</si>
  <si>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</si>
  <si>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</si>
  <si>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</si>
  <si>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</si>
  <si>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</si>
  <si>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</si>
  <si>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</si>
  <si>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</si>
  <si>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</si>
  <si>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</si>
  <si>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</si>
  <si>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</si>
  <si>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</si>
  <si>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</si>
  <si>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</si>
  <si>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</si>
  <si>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</si>
  <si>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</si>
  <si>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</si>
  <si>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</si>
  <si>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</si>
  <si>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</si>
  <si>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</si>
  <si>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</si>
  <si>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</si>
  <si>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</si>
  <si>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</si>
  <si>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</si>
  <si>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</si>
  <si>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</si>
  <si>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</si>
  <si>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</si>
  <si>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</si>
  <si>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</si>
  <si>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</si>
  <si>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</si>
  <si>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</si>
  <si>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</si>
  <si>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</si>
  <si>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</si>
  <si>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</si>
  <si>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</si>
  <si>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</si>
  <si>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</si>
  <si>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</si>
  <si>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</si>
  <si>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</si>
  <si>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</si>
  <si>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</si>
  <si>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</si>
  <si>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</si>
  <si>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</si>
  <si>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</si>
  <si>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</si>
  <si>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</si>
  <si>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</si>
  <si>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</si>
  <si>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</si>
  <si>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</si>
  <si>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</si>
  <si>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</si>
  <si>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</si>
  <si>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</si>
  <si>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</si>
  <si>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</si>
  <si>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</si>
  <si>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</si>
  <si>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</si>
  <si>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</si>
  <si>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</si>
  <si>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</si>
  <si>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</si>
  <si>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</si>
  <si>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</si>
  <si>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</si>
  <si>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</si>
  <si>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</si>
  <si>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</si>
  <si>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</si>
  <si>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</si>
  <si>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</si>
  <si>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</si>
  <si>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</si>
  <si>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</si>
  <si>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</si>
  <si>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</si>
  <si>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</si>
  <si>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</si>
  <si>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</si>
  <si>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</si>
  <si>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</si>
  <si>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</si>
  <si>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</si>
  <si>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</si>
  <si>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</si>
  <si>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</si>
  <si>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</si>
  <si>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</si>
  <si>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</si>
  <si>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</si>
  <si>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</si>
  <si>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</si>
  <si>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</si>
  <si>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</si>
  <si>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</si>
  <si>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</si>
  <si>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</si>
  <si>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</si>
  <si>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</si>
  <si>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</si>
  <si>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</si>
  <si>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</si>
  <si>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</si>
  <si>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</si>
  <si>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</si>
  <si>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</si>
  <si>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</si>
  <si>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</si>
  <si>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</si>
  <si>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</si>
  <si>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</si>
  <si>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</si>
  <si>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</si>
  <si>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</si>
  <si>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</si>
  <si>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</si>
  <si>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</si>
  <si>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</si>
  <si>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</si>
  <si>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</si>
  <si>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</si>
  <si>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</si>
  <si>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</si>
  <si>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</si>
  <si>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</si>
  <si>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</si>
  <si>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</si>
  <si>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</si>
  <si>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</si>
  <si>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</si>
  <si>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</si>
  <si>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</si>
  <si>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</si>
  <si>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</si>
  <si>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</si>
  <si>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</si>
  <si>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</si>
  <si>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</si>
  <si>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</si>
  <si>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</si>
  <si>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</si>
  <si>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</si>
  <si>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</si>
  <si>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</si>
  <si>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</si>
  <si>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</si>
  <si>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</si>
  <si>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</si>
  <si>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</si>
  <si>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</si>
  <si>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</si>
  <si>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</si>
  <si>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</si>
  <si>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</si>
  <si>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</si>
  <si>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</si>
  <si>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</si>
  <si>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</si>
  <si>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</si>
  <si>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</si>
  <si>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</si>
  <si>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</si>
  <si>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</si>
  <si>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</si>
  <si>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</si>
  <si>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</si>
  <si>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</si>
  <si>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</si>
  <si>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</si>
  <si>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</si>
  <si>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</si>
  <si>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</si>
  <si>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</si>
  <si>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</si>
  <si>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</si>
  <si>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</si>
  <si>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</si>
  <si>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</si>
  <si>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</si>
  <si>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</si>
  <si>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</si>
  <si>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</si>
  <si>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</si>
  <si>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</si>
  <si>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</si>
  <si>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</si>
  <si>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</si>
  <si>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</si>
  <si>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</si>
  <si>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</si>
  <si>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</si>
  <si>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</si>
  <si>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</si>
  <si>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</si>
  <si>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</si>
  <si>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</si>
  <si>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</si>
  <si>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</si>
  <si>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</si>
  <si>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</si>
  <si>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</si>
  <si>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</si>
  <si>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</si>
  <si>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</si>
  <si>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</si>
  <si>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</si>
  <si>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</si>
  <si>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</si>
  <si>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</si>
  <si>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</si>
  <si>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</si>
  <si>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</si>
  <si>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</si>
  <si>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</si>
  <si>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</si>
  <si>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</si>
  <si>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</si>
  <si>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</si>
  <si>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</si>
  <si>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</si>
  <si>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</si>
  <si>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</si>
  <si>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</si>
  <si>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</si>
  <si>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</si>
  <si>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</si>
  <si>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</si>
  <si>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</si>
  <si>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</si>
  <si>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</si>
  <si>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</si>
  <si>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</si>
  <si>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</si>
  <si>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</si>
  <si>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</si>
  <si>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</si>
  <si>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</si>
  <si>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</si>
  <si>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</si>
  <si>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</si>
  <si>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</si>
  <si>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</si>
  <si>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</si>
  <si>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</si>
  <si>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</si>
  <si>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</si>
  <si>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</si>
  <si>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</si>
  <si>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</si>
  <si>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</si>
  <si>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</si>
  <si>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</si>
  <si>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</si>
  <si>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</si>
  <si>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</si>
  <si>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</si>
  <si>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</si>
  <si>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</si>
  <si>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</si>
  <si>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</si>
  <si>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</si>
  <si>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</si>
  <si>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</si>
  <si>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</si>
  <si>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</si>
  <si>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</si>
  <si>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</si>
  <si>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</si>
  <si>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</si>
  <si>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</si>
  <si>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</si>
  <si>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</si>
  <si>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</si>
  <si>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</si>
  <si>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</si>
  <si>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</si>
  <si>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</si>
  <si>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</si>
  <si>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</si>
  <si>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</si>
  <si>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</si>
  <si>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</si>
  <si>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</si>
  <si>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</si>
  <si>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</si>
  <si>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</si>
  <si>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</si>
  <si>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</si>
  <si>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</si>
  <si>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</si>
  <si>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</si>
  <si>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</si>
  <si>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</si>
  <si>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</si>
  <si>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</si>
  <si>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</si>
  <si>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</si>
  <si>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</si>
  <si>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</si>
  <si>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</si>
  <si>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</si>
  <si>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</si>
  <si>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</si>
  <si>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</si>
  <si>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</si>
  <si>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</si>
  <si>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</si>
  <si>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</si>
  <si>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</si>
  <si>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</si>
  <si>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</si>
  <si>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</si>
  <si>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</si>
  <si>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</si>
  <si>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</si>
  <si>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</si>
  <si>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</si>
  <si>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</si>
  <si>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Municipal Demarcation Transition Grant</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</si>
  <si>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</si>
  <si>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</si>
  <si>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</si>
  <si>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</si>
  <si>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</si>
  <si>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</si>
  <si>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</si>
  <si>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</si>
  <si>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</si>
  <si>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</si>
  <si>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</si>
  <si>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</si>
  <si>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</si>
  <si>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</si>
  <si>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</si>
  <si>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</si>
  <si>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</si>
  <si>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</si>
  <si>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</si>
  <si>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</si>
  <si>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</si>
  <si>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</si>
  <si>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</si>
  <si>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</si>
  <si>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</si>
  <si>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</si>
  <si>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</si>
  <si>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</si>
  <si>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</si>
  <si>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The high variance is due to PTNG and RBIG plegde projects not yet being implemented.</t>
  </si>
  <si>
    <t xml:space="preserve">Under spending includes non-cash provisions which will </t>
  </si>
  <si>
    <t>Over expenditure due to needs of maintentance when required</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</si>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</sst>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14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7" fillId="23" borderId="7" applyNumberFormat="0" applyFont="0" applyAlignment="0" applyProtection="0"/>
    <xf numFmtId="0" fontId="36" fillId="20" borderId="8" applyNumberFormat="0" applyAlignment="0" applyProtection="0"/>
    <xf numFmtId="9" fontId="7" fillId="0" borderId="0" applyFont="0" applyFill="0" applyBorder="0" applyAlignment="0" applyProtection="0"/>
    <xf numFmtId="9" fontId="4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0" fontId="59" fillId="0" borderId="0" applyNumberFormat="0" applyFill="0" applyBorder="0" applyAlignment="0" applyProtection="0">
      <alignment vertical="top"/>
      <protection locked="0"/>
    </xf>
    <xf numFmtId="0" fontId="5" fillId="0" borderId="0"/>
    <xf numFmtId="0" fontId="7" fillId="0" borderId="0"/>
    <xf numFmtId="0" fontId="5" fillId="0" borderId="0"/>
    <xf numFmtId="9" fontId="5" fillId="0" borderId="0" applyFont="0" applyFill="0" applyBorder="0" applyAlignment="0" applyProtection="0"/>
    <xf numFmtId="0" fontId="5" fillId="0" borderId="0"/>
    <xf numFmtId="165" fontId="23" fillId="0" borderId="0" applyFont="0" applyFill="0" applyBorder="0" applyAlignment="0" applyProtection="0"/>
    <xf numFmtId="165" fontId="23" fillId="0" borderId="0" applyFont="0" applyFill="0" applyBorder="0" applyAlignment="0" applyProtection="0"/>
    <xf numFmtId="0" fontId="60" fillId="35" borderId="91" applyNumberFormat="0" applyAlignment="0" applyProtection="0"/>
    <xf numFmtId="0" fontId="7" fillId="0" borderId="0"/>
    <xf numFmtId="43" fontId="23"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2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2"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cellStyleXfs>
  <cellXfs count="1067">
    <xf numFmtId="0" fontId="0" fillId="0" borderId="0" xfId="0"/>
    <xf numFmtId="0" fontId="8" fillId="0" borderId="0" xfId="0" applyFont="1"/>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Border="1"/>
    <xf numFmtId="0" fontId="10" fillId="0" borderId="0" xfId="0" applyFont="1" applyBorder="1"/>
    <xf numFmtId="0" fontId="8" fillId="0" borderId="0" xfId="0" applyFont="1" applyAlignment="1">
      <alignment horizontal="center"/>
    </xf>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8" fillId="0" borderId="11" xfId="0" quotePrefix="1" applyFont="1" applyBorder="1"/>
    <xf numFmtId="0" fontId="8" fillId="0" borderId="0" xfId="0" quotePrefix="1" applyFont="1" applyBorder="1"/>
    <xf numFmtId="0" fontId="9" fillId="24" borderId="18" xfId="0" applyFont="1" applyFill="1" applyBorder="1" applyAlignment="1">
      <alignment horizontal="center"/>
    </xf>
    <xf numFmtId="0" fontId="13" fillId="0" borderId="19" xfId="0" applyFont="1" applyFill="1" applyBorder="1" applyAlignment="1">
      <alignment horizontal="center" vertical="top" wrapText="1"/>
    </xf>
    <xf numFmtId="0" fontId="13" fillId="0" borderId="15" xfId="0" applyFont="1" applyFill="1" applyBorder="1" applyAlignment="1">
      <alignment horizontal="center" vertical="center"/>
    </xf>
    <xf numFmtId="0" fontId="16" fillId="0" borderId="0" xfId="0" applyFont="1" applyBorder="1" applyAlignment="1">
      <alignment horizontal="left" vertical="top" wrapText="1"/>
    </xf>
    <xf numFmtId="0" fontId="16" fillId="0" borderId="0" xfId="0" applyFont="1" applyFill="1" applyBorder="1" applyAlignment="1">
      <alignment horizontal="left"/>
    </xf>
    <xf numFmtId="0" fontId="16" fillId="0" borderId="0" xfId="0" quotePrefix="1" applyFont="1" applyBorder="1" applyAlignment="1">
      <alignment horizontal="left" wrapText="1"/>
    </xf>
    <xf numFmtId="0" fontId="13" fillId="0" borderId="20" xfId="0" applyFont="1" applyFill="1" applyBorder="1" applyAlignment="1">
      <alignment horizontal="center" vertical="center" wrapText="1"/>
    </xf>
    <xf numFmtId="0" fontId="12" fillId="0" borderId="0" xfId="0" applyFont="1"/>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12" fillId="0" borderId="22" xfId="0" applyNumberFormat="1" applyFont="1" applyBorder="1"/>
    <xf numFmtId="172" fontId="12" fillId="0" borderId="23" xfId="0" applyNumberFormat="1" applyFont="1" applyBorder="1"/>
    <xf numFmtId="0" fontId="12" fillId="0" borderId="17" xfId="0" applyFont="1" applyBorder="1"/>
    <xf numFmtId="172" fontId="12" fillId="0" borderId="24" xfId="0" applyNumberFormat="1" applyFont="1" applyBorder="1"/>
    <xf numFmtId="0" fontId="16" fillId="0" borderId="0" xfId="0" applyFont="1" applyAlignment="1">
      <alignment horizontal="left"/>
    </xf>
    <xf numFmtId="0" fontId="13" fillId="0" borderId="16" xfId="0" applyFont="1" applyFill="1" applyBorder="1" applyAlignment="1">
      <alignment horizontal="left" vertical="center"/>
    </xf>
    <xf numFmtId="0" fontId="15" fillId="0" borderId="11" xfId="0" applyFont="1" applyBorder="1"/>
    <xf numFmtId="0" fontId="13" fillId="0" borderId="23" xfId="0" applyFont="1" applyBorder="1" applyAlignment="1">
      <alignment horizontal="center"/>
    </xf>
    <xf numFmtId="0" fontId="13" fillId="0" borderId="25" xfId="0" applyFont="1" applyBorder="1" applyAlignment="1">
      <alignment horizontal="center"/>
    </xf>
    <xf numFmtId="0" fontId="13" fillId="0" borderId="10" xfId="0" applyFont="1" applyBorder="1" applyAlignment="1">
      <alignment horizontal="center"/>
    </xf>
    <xf numFmtId="0" fontId="12" fillId="0" borderId="11" xfId="0" applyFont="1" applyBorder="1" applyAlignment="1">
      <alignment horizontal="left" indent="1"/>
    </xf>
    <xf numFmtId="170" fontId="12" fillId="0" borderId="10" xfId="0" applyNumberFormat="1" applyFont="1" applyBorder="1"/>
    <xf numFmtId="0" fontId="13" fillId="0" borderId="11" xfId="0" applyFont="1" applyBorder="1" applyAlignment="1">
      <alignment horizontal="left"/>
    </xf>
    <xf numFmtId="0" fontId="12" fillId="0" borderId="11" xfId="0" applyFont="1" applyBorder="1"/>
    <xf numFmtId="173" fontId="12" fillId="0" borderId="0" xfId="0" applyNumberFormat="1" applyFont="1" applyBorder="1"/>
    <xf numFmtId="173" fontId="12" fillId="0" borderId="22" xfId="0" applyNumberFormat="1" applyFont="1" applyBorder="1"/>
    <xf numFmtId="173" fontId="12" fillId="0" borderId="13" xfId="0" applyNumberFormat="1" applyFont="1" applyBorder="1"/>
    <xf numFmtId="173" fontId="12" fillId="0" borderId="26" xfId="0" applyNumberFormat="1" applyFont="1" applyBorder="1"/>
    <xf numFmtId="173" fontId="12" fillId="0" borderId="22" xfId="0" applyNumberFormat="1" applyFont="1" applyFill="1" applyBorder="1"/>
    <xf numFmtId="170" fontId="12" fillId="0" borderId="13" xfId="0" applyNumberFormat="1" applyFont="1" applyFill="1" applyBorder="1"/>
    <xf numFmtId="173" fontId="13" fillId="0" borderId="0" xfId="0" applyNumberFormat="1" applyFont="1" applyBorder="1"/>
    <xf numFmtId="173" fontId="13" fillId="0" borderId="22" xfId="0" applyNumberFormat="1" applyFont="1" applyBorder="1"/>
    <xf numFmtId="173" fontId="13" fillId="0" borderId="26" xfId="0" applyNumberFormat="1" applyFont="1" applyBorder="1"/>
    <xf numFmtId="170" fontId="13" fillId="0" borderId="10" xfId="0" applyNumberFormat="1" applyFont="1" applyBorder="1"/>
    <xf numFmtId="0" fontId="13" fillId="0" borderId="27" xfId="0" applyFont="1" applyBorder="1"/>
    <xf numFmtId="173" fontId="13" fillId="0" borderId="28" xfId="0" applyNumberFormat="1" applyFont="1" applyBorder="1"/>
    <xf numFmtId="173" fontId="13" fillId="0" borderId="29" xfId="0" applyNumberFormat="1" applyFont="1" applyBorder="1"/>
    <xf numFmtId="173" fontId="13" fillId="0" borderId="30" xfId="0" applyNumberFormat="1" applyFont="1" applyBorder="1"/>
    <xf numFmtId="0" fontId="17" fillId="0" borderId="0" xfId="0" applyFont="1" applyBorder="1"/>
    <xf numFmtId="0" fontId="12" fillId="0" borderId="0" xfId="0" applyFont="1" applyBorder="1" applyAlignment="1">
      <alignment horizontal="center"/>
    </xf>
    <xf numFmtId="170" fontId="13" fillId="0" borderId="0" xfId="0" applyNumberFormat="1" applyFont="1" applyFill="1" applyBorder="1"/>
    <xf numFmtId="0" fontId="16" fillId="0" borderId="0" xfId="0" quotePrefix="1" applyFont="1" applyBorder="1"/>
    <xf numFmtId="0" fontId="13" fillId="0" borderId="0" xfId="0" applyFont="1" applyBorder="1"/>
    <xf numFmtId="170" fontId="13" fillId="0" borderId="0" xfId="0" applyNumberFormat="1" applyFont="1" applyBorder="1"/>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166" fontId="12" fillId="0" borderId="0" xfId="28" applyNumberFormat="1" applyFont="1"/>
    <xf numFmtId="0" fontId="12" fillId="0" borderId="0" xfId="0" applyFont="1" applyBorder="1"/>
    <xf numFmtId="0" fontId="12" fillId="0" borderId="0" xfId="0" applyFont="1" applyAlignment="1">
      <alignment horizontal="center"/>
    </xf>
    <xf numFmtId="166" fontId="12" fillId="0" borderId="0" xfId="28" applyNumberFormat="1" applyFont="1" applyAlignment="1">
      <alignment horizontal="center"/>
    </xf>
    <xf numFmtId="169" fontId="12" fillId="0" borderId="0" xfId="42" applyNumberFormat="1" applyFont="1" applyAlignment="1">
      <alignment horizontal="center"/>
    </xf>
    <xf numFmtId="166" fontId="12" fillId="0" borderId="0" xfId="0" applyNumberFormat="1" applyFont="1"/>
    <xf numFmtId="169" fontId="12" fillId="0" borderId="0" xfId="0" applyNumberFormat="1" applyFont="1"/>
    <xf numFmtId="173" fontId="13" fillId="0" borderId="31" xfId="0" applyNumberFormat="1" applyFont="1" applyBorder="1"/>
    <xf numFmtId="173" fontId="13" fillId="0" borderId="32" xfId="0" applyNumberFormat="1" applyFont="1" applyBorder="1"/>
    <xf numFmtId="169" fontId="12" fillId="0" borderId="0" xfId="0" applyNumberFormat="1" applyFont="1" applyAlignment="1">
      <alignment horizontal="center"/>
    </xf>
    <xf numFmtId="173" fontId="13" fillId="0" borderId="24" xfId="0" applyNumberFormat="1" applyFont="1" applyBorder="1"/>
    <xf numFmtId="173" fontId="13" fillId="0" borderId="33" xfId="0" applyNumberFormat="1" applyFont="1" applyBorder="1"/>
    <xf numFmtId="0" fontId="17" fillId="0" borderId="0" xfId="0" applyFont="1" applyBorder="1" applyAlignment="1">
      <alignment horizontal="left"/>
    </xf>
    <xf numFmtId="170" fontId="14" fillId="0" borderId="0" xfId="0" applyNumberFormat="1" applyFont="1" applyBorder="1"/>
    <xf numFmtId="0" fontId="16" fillId="0" borderId="0" xfId="0" applyFont="1" applyBorder="1"/>
    <xf numFmtId="0" fontId="16" fillId="0" borderId="11" xfId="0" applyFont="1" applyBorder="1" applyAlignment="1">
      <alignment horizontal="right"/>
    </xf>
    <xf numFmtId="0" fontId="12" fillId="0" borderId="24" xfId="0" applyFont="1" applyFill="1" applyBorder="1" applyAlignment="1">
      <alignment horizontal="center" vertical="center"/>
    </xf>
    <xf numFmtId="173" fontId="13" fillId="0" borderId="34" xfId="0" applyNumberFormat="1" applyFont="1" applyBorder="1"/>
    <xf numFmtId="170" fontId="12" fillId="0" borderId="0" xfId="0" applyNumberFormat="1" applyFont="1" applyBorder="1"/>
    <xf numFmtId="170" fontId="12" fillId="0" borderId="0" xfId="0" applyNumberFormat="1" applyFont="1"/>
    <xf numFmtId="0" fontId="12" fillId="0" borderId="11" xfId="0" applyFont="1" applyFill="1" applyBorder="1" applyAlignment="1">
      <alignment horizontal="left" indent="1"/>
    </xf>
    <xf numFmtId="0" fontId="13" fillId="0" borderId="11" xfId="0" applyFont="1" applyBorder="1"/>
    <xf numFmtId="0" fontId="13" fillId="0" borderId="11" xfId="0" applyFont="1" applyFill="1" applyBorder="1"/>
    <xf numFmtId="0" fontId="16" fillId="0" borderId="11" xfId="0" applyFont="1" applyBorder="1"/>
    <xf numFmtId="168" fontId="13" fillId="0" borderId="0" xfId="0" applyNumberFormat="1" applyFont="1" applyBorder="1"/>
    <xf numFmtId="0" fontId="12" fillId="0" borderId="16" xfId="0" applyFont="1" applyBorder="1"/>
    <xf numFmtId="0" fontId="13" fillId="0" borderId="35" xfId="0" applyFont="1" applyBorder="1"/>
    <xf numFmtId="165" fontId="12" fillId="0" borderId="0" xfId="28" applyFont="1" applyBorder="1"/>
    <xf numFmtId="0" fontId="13" fillId="0" borderId="16" xfId="0" applyFont="1" applyBorder="1"/>
    <xf numFmtId="0" fontId="17" fillId="0" borderId="0" xfId="0" applyFont="1"/>
    <xf numFmtId="0" fontId="12" fillId="0" borderId="0" xfId="0" applyFont="1" applyFill="1" applyBorder="1"/>
    <xf numFmtId="170" fontId="12" fillId="0" borderId="0" xfId="0" applyNumberFormat="1" applyFont="1" applyFill="1" applyBorder="1"/>
    <xf numFmtId="9" fontId="12" fillId="0" borderId="0" xfId="42" applyFont="1"/>
    <xf numFmtId="173" fontId="12" fillId="0" borderId="36" xfId="0" applyNumberFormat="1" applyFont="1" applyBorder="1"/>
    <xf numFmtId="0" fontId="12" fillId="0" borderId="0" xfId="0" applyFont="1" applyFill="1"/>
    <xf numFmtId="173" fontId="12" fillId="0" borderId="36" xfId="0" applyNumberFormat="1" applyFont="1" applyFill="1" applyBorder="1"/>
    <xf numFmtId="173" fontId="13" fillId="0" borderId="22" xfId="0" applyNumberFormat="1" applyFont="1" applyFill="1" applyBorder="1"/>
    <xf numFmtId="170" fontId="12" fillId="0" borderId="22" xfId="0" applyNumberFormat="1" applyFont="1" applyBorder="1"/>
    <xf numFmtId="170" fontId="12" fillId="0" borderId="26" xfId="0" applyNumberFormat="1" applyFont="1" applyBorder="1"/>
    <xf numFmtId="0" fontId="12" fillId="0" borderId="11" xfId="0" applyFont="1" applyFill="1" applyBorder="1"/>
    <xf numFmtId="0" fontId="13" fillId="0" borderId="11" xfId="0" applyFont="1" applyBorder="1" applyAlignment="1">
      <alignment horizontal="left" indent="1"/>
    </xf>
    <xf numFmtId="0" fontId="12" fillId="0" borderId="11" xfId="0" applyFont="1" applyBorder="1" applyAlignment="1">
      <alignment horizontal="left" indent="2"/>
    </xf>
    <xf numFmtId="173" fontId="12" fillId="0" borderId="37" xfId="0" applyNumberFormat="1" applyFont="1" applyBorder="1"/>
    <xf numFmtId="173" fontId="13" fillId="0" borderId="10" xfId="0" applyNumberFormat="1" applyFont="1" applyBorder="1"/>
    <xf numFmtId="173" fontId="13" fillId="0" borderId="37" xfId="0" applyNumberFormat="1" applyFont="1" applyBorder="1"/>
    <xf numFmtId="0" fontId="12" fillId="0" borderId="11" xfId="0" applyFont="1" applyBorder="1" applyAlignment="1">
      <alignment horizontal="left" wrapText="1" indent="1"/>
    </xf>
    <xf numFmtId="173" fontId="13" fillId="0" borderId="38" xfId="0" applyNumberFormat="1" applyFont="1" applyBorder="1"/>
    <xf numFmtId="0" fontId="13" fillId="0" borderId="27" xfId="0" applyFont="1" applyFill="1" applyBorder="1"/>
    <xf numFmtId="0" fontId="12" fillId="0" borderId="0" xfId="0" applyFont="1" applyFill="1" applyBorder="1" applyAlignment="1">
      <alignment horizontal="center"/>
    </xf>
    <xf numFmtId="173" fontId="12" fillId="0" borderId="24" xfId="0" applyNumberFormat="1" applyFont="1" applyBorder="1"/>
    <xf numFmtId="173" fontId="12" fillId="0" borderId="33" xfId="0" applyNumberFormat="1" applyFont="1" applyBorder="1"/>
    <xf numFmtId="170" fontId="12" fillId="0" borderId="0" xfId="28" applyNumberFormat="1" applyFont="1" applyBorder="1"/>
    <xf numFmtId="166" fontId="12" fillId="0" borderId="0" xfId="28" applyNumberFormat="1" applyFont="1" applyBorder="1"/>
    <xf numFmtId="0" fontId="12" fillId="0" borderId="19" xfId="0" applyFont="1" applyBorder="1" applyAlignment="1">
      <alignment horizontal="center"/>
    </xf>
    <xf numFmtId="169" fontId="12" fillId="0" borderId="10" xfId="42" applyNumberFormat="1" applyFont="1" applyFill="1" applyBorder="1" applyAlignment="1">
      <alignment horizontal="center" vertical="top" wrapText="1"/>
    </xf>
    <xf numFmtId="0" fontId="16" fillId="0" borderId="0" xfId="0" applyFont="1"/>
    <xf numFmtId="0" fontId="15" fillId="0" borderId="15" xfId="0" applyFont="1" applyBorder="1" applyAlignment="1">
      <alignment horizontal="left" wrapText="1"/>
    </xf>
    <xf numFmtId="0" fontId="12" fillId="0" borderId="11" xfId="0" applyFont="1" applyBorder="1" applyAlignment="1">
      <alignment horizontal="left" vertical="top" wrapText="1"/>
    </xf>
    <xf numFmtId="169" fontId="12" fillId="0" borderId="22" xfId="42" applyNumberFormat="1" applyFont="1" applyFill="1" applyBorder="1" applyAlignment="1">
      <alignment horizontal="center" vertical="top" wrapText="1"/>
    </xf>
    <xf numFmtId="169" fontId="12" fillId="0" borderId="0" xfId="42" applyNumberFormat="1" applyFont="1" applyFill="1" applyBorder="1" applyAlignment="1">
      <alignment horizontal="center" vertical="top" wrapText="1"/>
    </xf>
    <xf numFmtId="0" fontId="12" fillId="0" borderId="11" xfId="0" applyFont="1" applyBorder="1" applyAlignment="1">
      <alignment horizontal="left" vertical="top" wrapText="1" indent="1"/>
    </xf>
    <xf numFmtId="0" fontId="15" fillId="0" borderId="11" xfId="0" applyFont="1" applyBorder="1" applyAlignment="1">
      <alignment horizontal="left" wrapText="1"/>
    </xf>
    <xf numFmtId="0" fontId="15" fillId="0" borderId="11" xfId="0" applyFont="1" applyBorder="1" applyAlignment="1">
      <alignment horizontal="left" vertical="top" wrapText="1"/>
    </xf>
    <xf numFmtId="0" fontId="12" fillId="0" borderId="16" xfId="0" applyFont="1" applyBorder="1" applyAlignment="1">
      <alignment horizontal="left" indent="1"/>
    </xf>
    <xf numFmtId="0" fontId="12" fillId="0" borderId="39"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9" fontId="12" fillId="0" borderId="24" xfId="42" applyFont="1" applyBorder="1" applyAlignment="1">
      <alignment horizontal="center"/>
    </xf>
    <xf numFmtId="173" fontId="12" fillId="0" borderId="10" xfId="0" applyNumberFormat="1" applyFont="1" applyBorder="1"/>
    <xf numFmtId="166" fontId="12" fillId="0" borderId="0" xfId="28" applyNumberFormat="1" applyFont="1" applyFill="1" applyBorder="1"/>
    <xf numFmtId="0" fontId="15" fillId="0" borderId="40" xfId="0" applyFont="1" applyBorder="1"/>
    <xf numFmtId="0" fontId="13" fillId="0" borderId="41" xfId="0" applyFont="1" applyFill="1" applyBorder="1" applyAlignment="1">
      <alignment horizontal="centerContinuous" vertical="center" wrapText="1"/>
    </xf>
    <xf numFmtId="0" fontId="13" fillId="0" borderId="20" xfId="0" applyFont="1" applyFill="1" applyBorder="1" applyAlignment="1">
      <alignment horizontal="centerContinuous" vertical="center" wrapText="1"/>
    </xf>
    <xf numFmtId="0" fontId="13" fillId="0" borderId="42" xfId="0" applyFont="1" applyFill="1" applyBorder="1" applyAlignment="1">
      <alignment horizontal="centerContinuous"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173" fontId="12" fillId="0" borderId="46" xfId="0" applyNumberFormat="1" applyFont="1" applyBorder="1"/>
    <xf numFmtId="173" fontId="13" fillId="0" borderId="47" xfId="0" applyNumberFormat="1" applyFont="1" applyBorder="1"/>
    <xf numFmtId="9" fontId="13" fillId="0" borderId="22" xfId="42" applyFont="1" applyBorder="1" applyAlignment="1">
      <alignment horizontal="center"/>
    </xf>
    <xf numFmtId="9" fontId="13" fillId="0" borderId="0" xfId="42" applyFont="1" applyBorder="1" applyAlignment="1">
      <alignment horizontal="center"/>
    </xf>
    <xf numFmtId="0" fontId="16" fillId="0" borderId="0" xfId="0" applyFont="1" applyFill="1" applyAlignment="1">
      <alignment horizontal="center"/>
    </xf>
    <xf numFmtId="0" fontId="13" fillId="0" borderId="4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39" xfId="0" applyNumberFormat="1" applyFont="1" applyBorder="1"/>
    <xf numFmtId="0" fontId="12" fillId="0" borderId="10" xfId="0" applyNumberFormat="1" applyFont="1" applyBorder="1" applyAlignment="1">
      <alignment horizontal="left" indent="1"/>
    </xf>
    <xf numFmtId="0" fontId="13" fillId="0" borderId="10" xfId="0" applyNumberFormat="1" applyFont="1" applyBorder="1"/>
    <xf numFmtId="0" fontId="12" fillId="0" borderId="19" xfId="0" applyNumberFormat="1" applyFont="1" applyBorder="1"/>
    <xf numFmtId="0" fontId="15" fillId="0" borderId="10" xfId="0" applyNumberFormat="1" applyFont="1" applyBorder="1"/>
    <xf numFmtId="171" fontId="12" fillId="0" borderId="0" xfId="0" applyNumberFormat="1" applyFont="1"/>
    <xf numFmtId="0" fontId="12" fillId="0" borderId="19" xfId="0" applyFont="1" applyBorder="1"/>
    <xf numFmtId="0" fontId="13" fillId="0" borderId="42" xfId="0" applyFont="1" applyFill="1" applyBorder="1" applyAlignment="1">
      <alignment horizontal="center" vertical="center" wrapText="1"/>
    </xf>
    <xf numFmtId="0" fontId="13" fillId="0" borderId="10" xfId="0" applyFont="1" applyFill="1" applyBorder="1" applyAlignment="1">
      <alignment horizontal="center" vertical="center" wrapText="1"/>
    </xf>
    <xf numFmtId="173" fontId="12" fillId="0" borderId="38" xfId="0" applyNumberFormat="1" applyFont="1" applyBorder="1"/>
    <xf numFmtId="173" fontId="12" fillId="0" borderId="31" xfId="0" applyNumberFormat="1" applyFont="1" applyBorder="1"/>
    <xf numFmtId="0" fontId="11" fillId="0" borderId="0" xfId="0" applyFont="1" applyFill="1" applyBorder="1" applyAlignment="1">
      <alignment horizontal="left"/>
    </xf>
    <xf numFmtId="0" fontId="13" fillId="0" borderId="37"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2" fillId="0" borderId="22" xfId="0" applyFont="1" applyBorder="1"/>
    <xf numFmtId="0" fontId="12" fillId="0" borderId="10" xfId="0" applyFont="1" applyBorder="1"/>
    <xf numFmtId="0" fontId="13" fillId="0" borderId="0" xfId="0" applyFont="1"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xf numFmtId="0" fontId="13" fillId="0" borderId="39" xfId="0" applyFont="1" applyBorder="1" applyAlignment="1">
      <alignment horizontal="center"/>
    </xf>
    <xf numFmtId="0" fontId="12" fillId="0" borderId="10" xfId="0" applyFont="1" applyFill="1" applyBorder="1" applyAlignment="1">
      <alignment horizontal="center"/>
    </xf>
    <xf numFmtId="0" fontId="12" fillId="0" borderId="10" xfId="0" applyFont="1" applyFill="1" applyBorder="1"/>
    <xf numFmtId="9" fontId="13" fillId="0" borderId="10" xfId="42" applyFont="1" applyBorder="1" applyAlignment="1">
      <alignment horizontal="center"/>
    </xf>
    <xf numFmtId="0" fontId="12" fillId="0" borderId="10" xfId="0" applyFont="1" applyBorder="1" applyAlignment="1">
      <alignment horizontal="left" vertical="top" wrapText="1"/>
    </xf>
    <xf numFmtId="0" fontId="18" fillId="0" borderId="10" xfId="0" applyFont="1" applyBorder="1" applyAlignment="1">
      <alignment horizontal="center"/>
    </xf>
    <xf numFmtId="170" fontId="12" fillId="0" borderId="19" xfId="0" applyNumberFormat="1" applyFont="1" applyBorder="1"/>
    <xf numFmtId="0" fontId="12" fillId="0" borderId="19" xfId="0" applyFont="1" applyFill="1" applyBorder="1"/>
    <xf numFmtId="0" fontId="12" fillId="0" borderId="19" xfId="0" applyFont="1" applyBorder="1" applyAlignment="1">
      <alignment horizontal="left" vertical="top" wrapText="1"/>
    </xf>
    <xf numFmtId="0" fontId="12" fillId="0" borderId="39" xfId="0" applyFont="1" applyBorder="1"/>
    <xf numFmtId="0" fontId="15" fillId="0" borderId="39" xfId="0" applyFont="1" applyBorder="1"/>
    <xf numFmtId="170" fontId="13" fillId="0" borderId="10" xfId="0" applyNumberFormat="1" applyFont="1" applyFill="1" applyBorder="1"/>
    <xf numFmtId="0" fontId="15" fillId="0" borderId="15" xfId="0" applyFont="1" applyBorder="1"/>
    <xf numFmtId="0" fontId="12" fillId="0" borderId="0" xfId="0" applyFont="1" applyBorder="1" applyAlignment="1">
      <alignment horizontal="left"/>
    </xf>
    <xf numFmtId="0" fontId="12" fillId="0" borderId="13" xfId="0" applyFont="1" applyBorder="1"/>
    <xf numFmtId="0" fontId="12" fillId="0" borderId="11" xfId="0" applyFont="1" applyBorder="1" applyAlignment="1"/>
    <xf numFmtId="0" fontId="12" fillId="0" borderId="39" xfId="0" applyFont="1" applyBorder="1" applyAlignment="1">
      <alignment horizontal="center"/>
    </xf>
    <xf numFmtId="0" fontId="12" fillId="0" borderId="19"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46" xfId="0" applyFont="1" applyFill="1" applyBorder="1" applyAlignment="1">
      <alignment horizontal="center" vertical="center" wrapText="1"/>
    </xf>
    <xf numFmtId="173" fontId="12" fillId="0" borderId="50" xfId="0" applyNumberFormat="1" applyFont="1" applyBorder="1"/>
    <xf numFmtId="0" fontId="12" fillId="0" borderId="26" xfId="0" applyFont="1" applyFill="1" applyBorder="1"/>
    <xf numFmtId="0" fontId="12" fillId="0" borderId="22" xfId="0" applyFont="1" applyFill="1" applyBorder="1"/>
    <xf numFmtId="0" fontId="12" fillId="0" borderId="46" xfId="0" applyFont="1" applyFill="1" applyBorder="1"/>
    <xf numFmtId="173" fontId="13" fillId="0" borderId="46" xfId="0" applyNumberFormat="1" applyFont="1" applyBorder="1"/>
    <xf numFmtId="173" fontId="12" fillId="0" borderId="51" xfId="0" applyNumberFormat="1" applyFont="1" applyBorder="1"/>
    <xf numFmtId="172" fontId="12" fillId="0" borderId="26" xfId="0" applyNumberFormat="1" applyFont="1" applyBorder="1"/>
    <xf numFmtId="172" fontId="12" fillId="0" borderId="10" xfId="0" applyNumberFormat="1" applyFont="1" applyBorder="1"/>
    <xf numFmtId="171" fontId="12" fillId="0" borderId="19" xfId="0" applyNumberFormat="1" applyFont="1" applyFill="1" applyBorder="1"/>
    <xf numFmtId="0" fontId="13" fillId="0" borderId="52" xfId="0" applyFont="1" applyFill="1" applyBorder="1" applyAlignment="1">
      <alignment horizontal="center" vertical="center" wrapText="1"/>
    </xf>
    <xf numFmtId="9" fontId="12" fillId="0" borderId="22" xfId="42" applyFont="1" applyFill="1" applyBorder="1" applyAlignment="1">
      <alignment horizontal="center"/>
    </xf>
    <xf numFmtId="172" fontId="12" fillId="0" borderId="46" xfId="0" applyNumberFormat="1" applyFont="1" applyBorder="1"/>
    <xf numFmtId="171" fontId="12" fillId="0" borderId="33" xfId="0" applyNumberFormat="1" applyFont="1" applyFill="1" applyBorder="1"/>
    <xf numFmtId="171" fontId="12" fillId="0" borderId="24" xfId="0" applyNumberFormat="1" applyFont="1" applyFill="1" applyBorder="1"/>
    <xf numFmtId="171" fontId="12" fillId="0" borderId="50" xfId="0" applyNumberFormat="1" applyFont="1" applyFill="1" applyBorder="1"/>
    <xf numFmtId="9" fontId="13" fillId="0" borderId="43" xfId="42" applyFont="1" applyFill="1" applyBorder="1" applyAlignment="1">
      <alignment horizontal="center" vertical="center" wrapText="1"/>
    </xf>
    <xf numFmtId="174" fontId="13" fillId="0" borderId="22" xfId="42" applyNumberFormat="1" applyFont="1" applyBorder="1"/>
    <xf numFmtId="174" fontId="12" fillId="0" borderId="22" xfId="42" applyNumberFormat="1" applyFont="1" applyBorder="1"/>
    <xf numFmtId="174" fontId="12" fillId="0" borderId="36" xfId="42" applyNumberFormat="1" applyFont="1" applyBorder="1"/>
    <xf numFmtId="172" fontId="12" fillId="0" borderId="19" xfId="0" applyNumberFormat="1" applyFont="1" applyBorder="1"/>
    <xf numFmtId="172" fontId="12" fillId="0" borderId="33" xfId="0" applyNumberFormat="1" applyFont="1" applyBorder="1"/>
    <xf numFmtId="174" fontId="12" fillId="0" borderId="24" xfId="42" applyNumberFormat="1" applyFont="1" applyBorder="1"/>
    <xf numFmtId="172" fontId="12" fillId="0" borderId="50" xfId="0" applyNumberFormat="1" applyFont="1" applyBorder="1"/>
    <xf numFmtId="172" fontId="12" fillId="0" borderId="39" xfId="0" applyNumberFormat="1" applyFont="1" applyBorder="1"/>
    <xf numFmtId="172" fontId="12" fillId="0" borderId="25" xfId="0" applyNumberFormat="1" applyFont="1" applyBorder="1"/>
    <xf numFmtId="174" fontId="12" fillId="0" borderId="23" xfId="42" applyNumberFormat="1" applyFont="1" applyBorder="1"/>
    <xf numFmtId="172" fontId="12" fillId="0" borderId="53" xfId="0" applyNumberFormat="1" applyFont="1" applyBorder="1"/>
    <xf numFmtId="172" fontId="12" fillId="25" borderId="22" xfId="0" applyNumberFormat="1" applyFont="1" applyFill="1" applyBorder="1"/>
    <xf numFmtId="172" fontId="12" fillId="25" borderId="24" xfId="0" applyNumberFormat="1" applyFont="1" applyFill="1" applyBorder="1"/>
    <xf numFmtId="174" fontId="12" fillId="25" borderId="22" xfId="42" applyNumberFormat="1" applyFont="1" applyFill="1" applyBorder="1"/>
    <xf numFmtId="174" fontId="12" fillId="25" borderId="24" xfId="42" applyNumberFormat="1" applyFont="1" applyFill="1" applyBorder="1"/>
    <xf numFmtId="0" fontId="16" fillId="0" borderId="0" xfId="0" applyFont="1" applyFill="1"/>
    <xf numFmtId="0" fontId="12" fillId="0" borderId="33" xfId="0" applyFont="1" applyFill="1" applyBorder="1" applyAlignment="1">
      <alignment horizontal="center" vertical="center"/>
    </xf>
    <xf numFmtId="0" fontId="12" fillId="0" borderId="50" xfId="0" applyFont="1" applyFill="1" applyBorder="1" applyAlignment="1">
      <alignment horizontal="center" vertical="center"/>
    </xf>
    <xf numFmtId="0" fontId="13" fillId="0" borderId="11" xfId="0" applyFont="1" applyFill="1" applyBorder="1" applyAlignment="1">
      <alignment horizontal="left" vertical="center"/>
    </xf>
    <xf numFmtId="173" fontId="12" fillId="0" borderId="19" xfId="0" applyNumberFormat="1" applyFont="1" applyBorder="1"/>
    <xf numFmtId="0" fontId="13" fillId="0" borderId="53" xfId="0" applyFont="1" applyBorder="1" applyAlignment="1">
      <alignment horizontal="center"/>
    </xf>
    <xf numFmtId="9" fontId="13" fillId="0" borderId="22" xfId="42" applyFont="1" applyFill="1" applyBorder="1" applyAlignment="1">
      <alignment horizontal="center" vertical="center" wrapText="1"/>
    </xf>
    <xf numFmtId="0" fontId="12" fillId="0" borderId="26" xfId="0" applyFont="1" applyBorder="1"/>
    <xf numFmtId="0" fontId="13" fillId="0" borderId="21" xfId="0" applyFont="1" applyFill="1" applyBorder="1" applyAlignment="1">
      <alignment horizontal="centerContinuous" vertical="center" wrapText="1"/>
    </xf>
    <xf numFmtId="0" fontId="13" fillId="0" borderId="44" xfId="0" applyFont="1" applyFill="1" applyBorder="1" applyAlignment="1">
      <alignment horizontal="centerContinuous" vertical="center" wrapText="1"/>
    </xf>
    <xf numFmtId="0" fontId="13" fillId="0" borderId="48" xfId="0" applyFont="1" applyFill="1" applyBorder="1" applyAlignment="1">
      <alignment horizontal="centerContinuous" vertical="center" wrapText="1"/>
    </xf>
    <xf numFmtId="0" fontId="12" fillId="0" borderId="54" xfId="0" applyNumberFormat="1" applyFont="1" applyBorder="1" applyAlignment="1">
      <alignment horizontal="left" indent="1"/>
    </xf>
    <xf numFmtId="0" fontId="12" fillId="0" borderId="55" xfId="0" applyFont="1" applyBorder="1" applyAlignment="1">
      <alignment horizontal="center"/>
    </xf>
    <xf numFmtId="173" fontId="13" fillId="0" borderId="50" xfId="0" applyNumberFormat="1" applyFont="1" applyBorder="1"/>
    <xf numFmtId="173" fontId="13" fillId="0" borderId="56" xfId="0" applyNumberFormat="1" applyFont="1" applyBorder="1"/>
    <xf numFmtId="0" fontId="12" fillId="0" borderId="38" xfId="0" applyFont="1" applyBorder="1" applyAlignment="1">
      <alignment horizontal="center"/>
    </xf>
    <xf numFmtId="0" fontId="13" fillId="0" borderId="26" xfId="0" applyFont="1" applyBorder="1" applyAlignment="1">
      <alignment horizontal="center"/>
    </xf>
    <xf numFmtId="0" fontId="13" fillId="0" borderId="22" xfId="0" applyFont="1" applyBorder="1" applyAlignment="1">
      <alignment horizontal="center"/>
    </xf>
    <xf numFmtId="0" fontId="13" fillId="0" borderId="46" xfId="0" applyFont="1" applyBorder="1" applyAlignment="1">
      <alignment horizontal="center"/>
    </xf>
    <xf numFmtId="0" fontId="12" fillId="0" borderId="33" xfId="0" applyFont="1" applyBorder="1"/>
    <xf numFmtId="0" fontId="12" fillId="0" borderId="24" xfId="0" applyFont="1" applyBorder="1"/>
    <xf numFmtId="9" fontId="13" fillId="0" borderId="24" xfId="42" applyFont="1" applyFill="1" applyBorder="1" applyAlignment="1">
      <alignment horizontal="center" vertical="center"/>
    </xf>
    <xf numFmtId="173" fontId="13" fillId="0" borderId="55" xfId="0" applyNumberFormat="1" applyFont="1" applyBorder="1"/>
    <xf numFmtId="173" fontId="13" fillId="0" borderId="19" xfId="0" applyNumberFormat="1" applyFont="1" applyBorder="1"/>
    <xf numFmtId="0" fontId="13" fillId="0" borderId="57" xfId="0" applyFont="1" applyFill="1" applyBorder="1" applyAlignment="1">
      <alignment horizontal="centerContinuous" vertical="center" wrapText="1"/>
    </xf>
    <xf numFmtId="0" fontId="12" fillId="0" borderId="58" xfId="0" applyFont="1" applyBorder="1"/>
    <xf numFmtId="0" fontId="12" fillId="0" borderId="59" xfId="0" applyFont="1" applyBorder="1" applyAlignment="1">
      <alignment horizontal="left" indent="1"/>
    </xf>
    <xf numFmtId="0" fontId="12" fillId="0" borderId="54" xfId="0" applyFont="1" applyBorder="1" applyAlignment="1">
      <alignment horizontal="center"/>
    </xf>
    <xf numFmtId="173" fontId="12" fillId="0" borderId="54" xfId="0" applyNumberFormat="1" applyFont="1" applyBorder="1"/>
    <xf numFmtId="0" fontId="13" fillId="0" borderId="11" xfId="0" applyFont="1" applyBorder="1" applyAlignment="1">
      <alignment vertical="top" wrapText="1"/>
    </xf>
    <xf numFmtId="0" fontId="12" fillId="0" borderId="10" xfId="0" applyFont="1" applyBorder="1" applyAlignment="1">
      <alignment horizontal="center" vertical="top"/>
    </xf>
    <xf numFmtId="173" fontId="13" fillId="0" borderId="10" xfId="0" applyNumberFormat="1" applyFont="1" applyBorder="1" applyAlignment="1">
      <alignment vertical="top"/>
    </xf>
    <xf numFmtId="173" fontId="13" fillId="0" borderId="26" xfId="0" applyNumberFormat="1" applyFont="1" applyBorder="1" applyAlignment="1">
      <alignment vertical="top"/>
    </xf>
    <xf numFmtId="173" fontId="13" fillId="0" borderId="22" xfId="0" applyNumberFormat="1" applyFont="1" applyBorder="1" applyAlignment="1">
      <alignment vertical="top"/>
    </xf>
    <xf numFmtId="173" fontId="13" fillId="0" borderId="46" xfId="0" applyNumberFormat="1" applyFont="1" applyBorder="1" applyAlignment="1">
      <alignment vertical="top"/>
    </xf>
    <xf numFmtId="0" fontId="12" fillId="0" borderId="59" xfId="0" applyFont="1" applyBorder="1" applyAlignment="1">
      <alignment horizontal="left" wrapText="1" indent="1"/>
    </xf>
    <xf numFmtId="0" fontId="13" fillId="0" borderId="60" xfId="0" applyFont="1" applyFill="1" applyBorder="1" applyAlignment="1">
      <alignment horizontal="center" vertical="center" wrapText="1"/>
    </xf>
    <xf numFmtId="173" fontId="12" fillId="0" borderId="45" xfId="0" applyNumberFormat="1" applyFont="1" applyBorder="1"/>
    <xf numFmtId="173" fontId="13" fillId="0" borderId="45" xfId="0" applyNumberFormat="1" applyFont="1" applyBorder="1"/>
    <xf numFmtId="173" fontId="13" fillId="0" borderId="61" xfId="0" applyNumberFormat="1" applyFont="1" applyBorder="1"/>
    <xf numFmtId="173" fontId="12" fillId="0" borderId="55" xfId="0" applyNumberFormat="1" applyFont="1" applyBorder="1"/>
    <xf numFmtId="173" fontId="12" fillId="0" borderId="61" xfId="0" applyNumberFormat="1" applyFont="1" applyBorder="1"/>
    <xf numFmtId="173" fontId="12" fillId="0" borderId="47" xfId="0" applyNumberFormat="1" applyFont="1" applyBorder="1"/>
    <xf numFmtId="173" fontId="12" fillId="0" borderId="62" xfId="0" applyNumberFormat="1" applyFont="1" applyBorder="1"/>
    <xf numFmtId="173" fontId="13" fillId="0" borderId="58" xfId="0" applyNumberFormat="1" applyFont="1" applyBorder="1"/>
    <xf numFmtId="170" fontId="12" fillId="0" borderId="46" xfId="0" applyNumberFormat="1" applyFont="1" applyBorder="1"/>
    <xf numFmtId="0" fontId="13" fillId="0" borderId="63" xfId="0" applyFont="1" applyBorder="1" applyAlignment="1">
      <alignment horizontal="center"/>
    </xf>
    <xf numFmtId="170" fontId="12" fillId="0" borderId="45" xfId="0" applyNumberFormat="1" applyFont="1" applyBorder="1"/>
    <xf numFmtId="0" fontId="13" fillId="0" borderId="39" xfId="0" applyFont="1" applyFill="1" applyBorder="1" applyAlignment="1">
      <alignment horizontal="centerContinuous" vertical="center" wrapText="1"/>
    </xf>
    <xf numFmtId="0" fontId="13" fillId="0" borderId="15" xfId="0" applyFont="1" applyFill="1" applyBorder="1" applyAlignment="1">
      <alignment horizontal="center" vertical="center" wrapText="1"/>
    </xf>
    <xf numFmtId="173" fontId="13" fillId="0" borderId="64" xfId="0" applyNumberFormat="1" applyFont="1" applyBorder="1"/>
    <xf numFmtId="0" fontId="13" fillId="0" borderId="15" xfId="0" applyFont="1" applyBorder="1"/>
    <xf numFmtId="173" fontId="12" fillId="25" borderId="22" xfId="0" applyNumberFormat="1" applyFont="1" applyFill="1" applyBorder="1"/>
    <xf numFmtId="173" fontId="12" fillId="25" borderId="24" xfId="0" applyNumberFormat="1" applyFont="1" applyFill="1" applyBorder="1"/>
    <xf numFmtId="0" fontId="13" fillId="0" borderId="65" xfId="0" applyFont="1" applyFill="1" applyBorder="1" applyAlignment="1">
      <alignment horizontal="centerContinuous" vertical="center" wrapText="1"/>
    </xf>
    <xf numFmtId="169" fontId="12" fillId="0" borderId="46" xfId="42" applyNumberFormat="1" applyFont="1" applyFill="1" applyBorder="1" applyAlignment="1">
      <alignment horizontal="center" vertical="top" wrapText="1"/>
    </xf>
    <xf numFmtId="0" fontId="12" fillId="0" borderId="16" xfId="0" applyFont="1" applyBorder="1" applyAlignment="1">
      <alignment horizontal="left" vertical="top" wrapText="1" indent="1"/>
    </xf>
    <xf numFmtId="9" fontId="12" fillId="0" borderId="63" xfId="0" applyNumberFormat="1" applyFont="1" applyBorder="1" applyAlignment="1">
      <alignment horizontal="center" vertical="top"/>
    </xf>
    <xf numFmtId="9" fontId="12" fillId="0" borderId="23" xfId="0" applyNumberFormat="1" applyFont="1" applyBorder="1" applyAlignment="1">
      <alignment horizontal="center" vertical="top"/>
    </xf>
    <xf numFmtId="9" fontId="12" fillId="0" borderId="53" xfId="0" applyNumberFormat="1" applyFont="1" applyBorder="1" applyAlignment="1">
      <alignment horizontal="center" vertical="top"/>
    </xf>
    <xf numFmtId="0" fontId="15" fillId="0" borderId="11" xfId="0" applyFont="1" applyBorder="1" applyAlignment="1">
      <alignment horizontal="left" vertical="top"/>
    </xf>
    <xf numFmtId="169" fontId="12" fillId="0" borderId="45" xfId="42" applyNumberFormat="1" applyFont="1" applyFill="1" applyBorder="1" applyAlignment="1">
      <alignment horizontal="center" vertical="top" wrapText="1"/>
    </xf>
    <xf numFmtId="0" fontId="15" fillId="0" borderId="10" xfId="0" applyFont="1" applyBorder="1" applyAlignment="1">
      <alignment horizontal="left" vertical="top" wrapText="1"/>
    </xf>
    <xf numFmtId="0" fontId="13" fillId="0" borderId="0" xfId="0" applyFont="1" applyFill="1" applyBorder="1" applyAlignment="1">
      <alignment horizontal="centerContinuous" vertical="center" wrapText="1"/>
    </xf>
    <xf numFmtId="0" fontId="13" fillId="0" borderId="38" xfId="0" applyFont="1" applyBorder="1" applyAlignment="1">
      <alignment horizontal="center"/>
    </xf>
    <xf numFmtId="0" fontId="12" fillId="0" borderId="46" xfId="0" applyFont="1" applyBorder="1"/>
    <xf numFmtId="0" fontId="12" fillId="0" borderId="37" xfId="0" applyFont="1" applyBorder="1"/>
    <xf numFmtId="0" fontId="12" fillId="0" borderId="45" xfId="0" applyFont="1" applyBorder="1"/>
    <xf numFmtId="171" fontId="12" fillId="0" borderId="0" xfId="0" applyNumberFormat="1" applyFont="1" applyFill="1" applyBorder="1"/>
    <xf numFmtId="174" fontId="12" fillId="0" borderId="0" xfId="42" applyNumberFormat="1" applyFont="1" applyBorder="1"/>
    <xf numFmtId="173" fontId="13" fillId="25" borderId="29" xfId="0" applyNumberFormat="1" applyFont="1" applyFill="1" applyBorder="1"/>
    <xf numFmtId="169" fontId="13" fillId="0" borderId="29" xfId="42" applyNumberFormat="1" applyFont="1" applyFill="1" applyBorder="1" applyAlignment="1">
      <alignment horizontal="center" vertical="top" wrapText="1"/>
    </xf>
    <xf numFmtId="0" fontId="13" fillId="0" borderId="59" xfId="0" applyFont="1" applyFill="1" applyBorder="1" applyAlignment="1">
      <alignment horizontal="left" vertical="center"/>
    </xf>
    <xf numFmtId="0" fontId="12" fillId="0" borderId="54" xfId="0" applyFont="1" applyFill="1" applyBorder="1" applyAlignment="1">
      <alignment horizontal="center" vertical="center"/>
    </xf>
    <xf numFmtId="0" fontId="12" fillId="0" borderId="66" xfId="0" applyFont="1" applyBorder="1"/>
    <xf numFmtId="0" fontId="12" fillId="0" borderId="36" xfId="0" applyFont="1" applyBorder="1"/>
    <xf numFmtId="0" fontId="12" fillId="0" borderId="36" xfId="0" applyFont="1" applyFill="1" applyBorder="1" applyAlignment="1">
      <alignment horizontal="center" vertical="center"/>
    </xf>
    <xf numFmtId="9" fontId="13" fillId="0" borderId="36" xfId="42" applyFont="1" applyFill="1" applyBorder="1" applyAlignment="1">
      <alignment horizontal="center" vertical="center"/>
    </xf>
    <xf numFmtId="0" fontId="12" fillId="0" borderId="51" xfId="0" applyFont="1" applyFill="1" applyBorder="1" applyAlignment="1">
      <alignment horizontal="center" vertical="center"/>
    </xf>
    <xf numFmtId="0" fontId="12" fillId="0" borderId="62" xfId="0" applyFont="1" applyBorder="1"/>
    <xf numFmtId="173" fontId="12" fillId="0" borderId="58" xfId="0" applyNumberFormat="1" applyFont="1" applyBorder="1"/>
    <xf numFmtId="170" fontId="13" fillId="0" borderId="26" xfId="0" applyNumberFormat="1" applyFont="1" applyBorder="1"/>
    <xf numFmtId="170" fontId="13" fillId="0" borderId="22" xfId="0" applyNumberFormat="1" applyFont="1" applyBorder="1"/>
    <xf numFmtId="170" fontId="13" fillId="0" borderId="46" xfId="0" applyNumberFormat="1" applyFont="1" applyBorder="1"/>
    <xf numFmtId="169" fontId="13" fillId="0" borderId="22" xfId="42" applyNumberFormat="1" applyFont="1" applyFill="1" applyBorder="1" applyAlignment="1">
      <alignment horizontal="center" vertical="top" wrapText="1"/>
    </xf>
    <xf numFmtId="169" fontId="13" fillId="0" borderId="31" xfId="42" applyNumberFormat="1" applyFont="1" applyFill="1" applyBorder="1" applyAlignment="1">
      <alignment horizontal="center" vertical="top" wrapText="1"/>
    </xf>
    <xf numFmtId="173" fontId="12" fillId="0" borderId="30" xfId="0" applyNumberFormat="1" applyFont="1" applyBorder="1"/>
    <xf numFmtId="173" fontId="12" fillId="0" borderId="29" xfId="0" applyNumberFormat="1" applyFont="1" applyBorder="1"/>
    <xf numFmtId="169" fontId="12" fillId="0" borderId="29" xfId="42" applyNumberFormat="1" applyFont="1" applyFill="1" applyBorder="1" applyAlignment="1">
      <alignment horizontal="center" vertical="top" wrapText="1"/>
    </xf>
    <xf numFmtId="173" fontId="12" fillId="0" borderId="56" xfId="0" applyNumberFormat="1" applyFont="1" applyBorder="1"/>
    <xf numFmtId="0" fontId="12" fillId="0" borderId="67" xfId="0" applyFont="1" applyBorder="1" applyAlignment="1">
      <alignment horizontal="center"/>
    </xf>
    <xf numFmtId="9" fontId="13" fillId="0" borderId="26" xfId="42" applyFont="1" applyBorder="1" applyAlignment="1">
      <alignment horizontal="center"/>
    </xf>
    <xf numFmtId="9" fontId="13" fillId="0" borderId="46" xfId="42" applyFont="1" applyBorder="1" applyAlignment="1">
      <alignment horizontal="center"/>
    </xf>
    <xf numFmtId="169" fontId="13" fillId="0" borderId="46" xfId="42" applyNumberFormat="1" applyFont="1" applyFill="1" applyBorder="1" applyAlignment="1">
      <alignment horizontal="center" vertical="top" wrapText="1"/>
    </xf>
    <xf numFmtId="0" fontId="13" fillId="0" borderId="68" xfId="0" applyFont="1" applyBorder="1"/>
    <xf numFmtId="0" fontId="13" fillId="0" borderId="11" xfId="0" applyFont="1" applyFill="1" applyBorder="1" applyAlignment="1">
      <alignment horizontal="left"/>
    </xf>
    <xf numFmtId="0" fontId="13" fillId="0" borderId="11" xfId="0" applyFont="1" applyFill="1" applyBorder="1" applyAlignment="1">
      <alignment vertical="center" wrapText="1"/>
    </xf>
    <xf numFmtId="0" fontId="13" fillId="0" borderId="37" xfId="0" applyFont="1" applyBorder="1" applyAlignment="1">
      <alignment horizontal="center"/>
    </xf>
    <xf numFmtId="173" fontId="12" fillId="0" borderId="69" xfId="0" applyNumberFormat="1" applyFont="1" applyBorder="1"/>
    <xf numFmtId="0" fontId="13" fillId="0" borderId="35" xfId="0" applyFont="1" applyFill="1" applyBorder="1"/>
    <xf numFmtId="170" fontId="13" fillId="0" borderId="55" xfId="0" applyNumberFormat="1" applyFont="1" applyBorder="1"/>
    <xf numFmtId="173" fontId="13" fillId="0" borderId="70" xfId="0" applyNumberFormat="1" applyFont="1" applyBorder="1"/>
    <xf numFmtId="0" fontId="12" fillId="0" borderId="16" xfId="0" applyFont="1" applyFill="1" applyBorder="1" applyAlignment="1">
      <alignment horizontal="left" indent="1"/>
    </xf>
    <xf numFmtId="0" fontId="16" fillId="0" borderId="11" xfId="0" quotePrefix="1" applyFont="1" applyBorder="1" applyAlignment="1">
      <alignment horizontal="left"/>
    </xf>
    <xf numFmtId="0" fontId="12" fillId="0" borderId="38" xfId="0" applyFont="1" applyFill="1" applyBorder="1" applyAlignment="1">
      <alignment horizontal="center"/>
    </xf>
    <xf numFmtId="169" fontId="12" fillId="0" borderId="36" xfId="42" applyNumberFormat="1" applyFont="1" applyFill="1" applyBorder="1" applyAlignment="1">
      <alignment horizontal="center" vertical="top" wrapText="1"/>
    </xf>
    <xf numFmtId="170" fontId="12" fillId="0" borderId="0" xfId="28" applyNumberFormat="1" applyFont="1" applyFill="1" applyBorder="1"/>
    <xf numFmtId="0" fontId="13" fillId="0" borderId="67" xfId="0" applyFont="1" applyFill="1" applyBorder="1" applyAlignment="1">
      <alignment horizontal="center" vertical="center" wrapText="1"/>
    </xf>
    <xf numFmtId="173" fontId="13" fillId="25" borderId="22" xfId="0" applyNumberFormat="1" applyFont="1" applyFill="1" applyBorder="1"/>
    <xf numFmtId="173" fontId="12" fillId="25" borderId="36" xfId="0" applyNumberFormat="1" applyFont="1" applyFill="1" applyBorder="1"/>
    <xf numFmtId="173" fontId="13" fillId="25" borderId="22" xfId="0" applyNumberFormat="1" applyFont="1" applyFill="1" applyBorder="1" applyAlignment="1">
      <alignment vertical="top"/>
    </xf>
    <xf numFmtId="9" fontId="12" fillId="0" borderId="22" xfId="42" applyFont="1" applyBorder="1" applyAlignment="1">
      <alignment horizontal="center"/>
    </xf>
    <xf numFmtId="9" fontId="13" fillId="0" borderId="31" xfId="42" applyFont="1" applyBorder="1" applyAlignment="1">
      <alignment horizontal="center"/>
    </xf>
    <xf numFmtId="9" fontId="13" fillId="0" borderId="29" xfId="42" applyFont="1" applyBorder="1" applyAlignment="1">
      <alignment horizontal="center"/>
    </xf>
    <xf numFmtId="9" fontId="13" fillId="0" borderId="24" xfId="42" applyFont="1" applyBorder="1" applyAlignment="1">
      <alignment horizontal="center"/>
    </xf>
    <xf numFmtId="173" fontId="13" fillId="25" borderId="24" xfId="0" applyNumberFormat="1" applyFont="1" applyFill="1" applyBorder="1"/>
    <xf numFmtId="9" fontId="12" fillId="0" borderId="36" xfId="42" applyFont="1" applyBorder="1" applyAlignment="1">
      <alignment horizontal="center"/>
    </xf>
    <xf numFmtId="0" fontId="12" fillId="0" borderId="12" xfId="0" applyFont="1" applyBorder="1"/>
    <xf numFmtId="0" fontId="12" fillId="0" borderId="14" xfId="0" applyFont="1" applyBorder="1"/>
    <xf numFmtId="0" fontId="18" fillId="0" borderId="15" xfId="0" applyFont="1" applyBorder="1"/>
    <xf numFmtId="0" fontId="12" fillId="0" borderId="65" xfId="0" applyFont="1" applyBorder="1"/>
    <xf numFmtId="170" fontId="12" fillId="0" borderId="13" xfId="28" applyNumberFormat="1" applyFont="1" applyFill="1" applyBorder="1"/>
    <xf numFmtId="2" fontId="12" fillId="0" borderId="0" xfId="0" applyNumberFormat="1" applyFont="1"/>
    <xf numFmtId="0" fontId="13" fillId="0" borderId="11" xfId="0" quotePrefix="1" applyFont="1" applyBorder="1" applyAlignment="1">
      <alignment horizontal="left" indent="1"/>
    </xf>
    <xf numFmtId="169" fontId="13" fillId="0" borderId="22" xfId="42" applyNumberFormat="1" applyFont="1" applyFill="1" applyBorder="1" applyAlignment="1">
      <alignment horizontal="center" wrapText="1"/>
    </xf>
    <xf numFmtId="9" fontId="13" fillId="0" borderId="22" xfId="42" applyFont="1" applyFill="1" applyBorder="1" applyAlignment="1">
      <alignment horizontal="center" vertical="top" wrapText="1"/>
    </xf>
    <xf numFmtId="0" fontId="15" fillId="0" borderId="10" xfId="0" applyFont="1" applyFill="1" applyBorder="1"/>
    <xf numFmtId="0" fontId="11" fillId="0" borderId="14" xfId="0" applyFont="1" applyFill="1" applyBorder="1" applyAlignment="1"/>
    <xf numFmtId="0" fontId="13" fillId="0" borderId="10" xfId="0" applyNumberFormat="1" applyFont="1" applyBorder="1" applyAlignment="1">
      <alignment wrapText="1"/>
    </xf>
    <xf numFmtId="0" fontId="12" fillId="0" borderId="10" xfId="0" applyNumberFormat="1" applyFont="1" applyBorder="1" applyAlignment="1">
      <alignment horizontal="left" wrapText="1" indent="1"/>
    </xf>
    <xf numFmtId="0" fontId="13" fillId="0" borderId="19" xfId="0" applyNumberFormat="1" applyFont="1" applyBorder="1"/>
    <xf numFmtId="0" fontId="13" fillId="0" borderId="59" xfId="0" applyFont="1" applyBorder="1"/>
    <xf numFmtId="9" fontId="13" fillId="0" borderId="54" xfId="42" applyFont="1" applyBorder="1" applyAlignment="1">
      <alignment horizontal="center"/>
    </xf>
    <xf numFmtId="9" fontId="13" fillId="0" borderId="66" xfId="42" applyFont="1" applyBorder="1" applyAlignment="1">
      <alignment horizontal="center"/>
    </xf>
    <xf numFmtId="9" fontId="13" fillId="0" borderId="36" xfId="42" applyFont="1" applyBorder="1" applyAlignment="1">
      <alignment horizontal="center"/>
    </xf>
    <xf numFmtId="9" fontId="13" fillId="0" borderId="51" xfId="42" applyFont="1" applyBorder="1" applyAlignment="1">
      <alignment horizontal="center"/>
    </xf>
    <xf numFmtId="0" fontId="13" fillId="0" borderId="39" xfId="0" applyFont="1" applyFill="1" applyBorder="1" applyAlignment="1">
      <alignment horizontal="center" vertical="center"/>
    </xf>
    <xf numFmtId="173" fontId="12" fillId="0" borderId="14" xfId="0" applyNumberFormat="1" applyFont="1" applyBorder="1"/>
    <xf numFmtId="173" fontId="12" fillId="0" borderId="17" xfId="0" applyNumberFormat="1" applyFont="1" applyBorder="1"/>
    <xf numFmtId="0" fontId="13" fillId="0" borderId="71" xfId="0" applyFont="1" applyBorder="1"/>
    <xf numFmtId="0" fontId="13" fillId="0" borderId="18" xfId="0" applyFont="1" applyBorder="1"/>
    <xf numFmtId="0" fontId="12" fillId="0" borderId="15" xfId="0" applyFont="1" applyBorder="1"/>
    <xf numFmtId="173" fontId="12" fillId="0" borderId="12" xfId="0" applyNumberFormat="1" applyFont="1" applyBorder="1"/>
    <xf numFmtId="173" fontId="12" fillId="0" borderId="65" xfId="0" applyNumberFormat="1" applyFont="1" applyBorder="1"/>
    <xf numFmtId="0" fontId="12" fillId="0" borderId="71" xfId="0" applyFont="1" applyBorder="1"/>
    <xf numFmtId="0" fontId="12" fillId="0" borderId="18" xfId="0" applyFont="1" applyBorder="1"/>
    <xf numFmtId="0" fontId="11" fillId="0" borderId="15" xfId="0" applyFont="1" applyBorder="1"/>
    <xf numFmtId="0" fontId="11" fillId="0" borderId="68" xfId="0" applyFont="1" applyBorder="1"/>
    <xf numFmtId="0" fontId="13" fillId="0" borderId="72" xfId="0" applyFont="1" applyBorder="1" applyAlignment="1">
      <alignment horizontal="center"/>
    </xf>
    <xf numFmtId="173" fontId="13" fillId="0" borderId="18" xfId="0" applyNumberFormat="1" applyFont="1" applyBorder="1"/>
    <xf numFmtId="0" fontId="9" fillId="24" borderId="71" xfId="0" applyFont="1" applyFill="1" applyBorder="1" applyAlignment="1">
      <alignment horizontal="center"/>
    </xf>
    <xf numFmtId="0" fontId="13" fillId="0" borderId="0" xfId="0" applyFont="1"/>
    <xf numFmtId="0" fontId="9" fillId="0" borderId="0" xfId="0" applyFont="1"/>
    <xf numFmtId="0" fontId="8" fillId="0" borderId="0" xfId="0" applyFont="1" applyProtection="1"/>
    <xf numFmtId="0" fontId="20" fillId="26" borderId="15" xfId="0" applyFont="1" applyFill="1" applyBorder="1"/>
    <xf numFmtId="0" fontId="20" fillId="26" borderId="12" xfId="0" applyFont="1" applyFill="1" applyBorder="1" applyAlignment="1">
      <alignment horizontal="left"/>
    </xf>
    <xf numFmtId="0" fontId="20" fillId="26" borderId="39" xfId="0" applyFont="1" applyFill="1" applyBorder="1" applyAlignment="1">
      <alignment horizontal="left"/>
    </xf>
    <xf numFmtId="0" fontId="20" fillId="26" borderId="15" xfId="0" applyFont="1" applyFill="1" applyBorder="1" applyAlignment="1">
      <alignment horizontal="left"/>
    </xf>
    <xf numFmtId="0" fontId="9" fillId="27" borderId="0" xfId="0" applyFont="1" applyFill="1"/>
    <xf numFmtId="0" fontId="8" fillId="0" borderId="10" xfId="0" applyFont="1" applyBorder="1"/>
    <xf numFmtId="0" fontId="21" fillId="0" borderId="0" xfId="0" applyFont="1"/>
    <xf numFmtId="17" fontId="8" fillId="0" borderId="10" xfId="0" quotePrefix="1" applyNumberFormat="1" applyFont="1" applyBorder="1"/>
    <xf numFmtId="0" fontId="8" fillId="0" borderId="10" xfId="0" quotePrefix="1" applyFont="1" applyBorder="1"/>
    <xf numFmtId="174" fontId="13" fillId="0" borderId="36" xfId="42" applyNumberFormat="1" applyFont="1" applyBorder="1"/>
    <xf numFmtId="173" fontId="12" fillId="28" borderId="26" xfId="0" applyNumberFormat="1" applyFont="1" applyFill="1" applyBorder="1" applyProtection="1">
      <protection locked="0"/>
    </xf>
    <xf numFmtId="173" fontId="12" fillId="28" borderId="22" xfId="0" applyNumberFormat="1" applyFont="1" applyFill="1" applyBorder="1" applyProtection="1">
      <protection locked="0"/>
    </xf>
    <xf numFmtId="173" fontId="12" fillId="0" borderId="46" xfId="0" applyNumberFormat="1" applyFont="1" applyFill="1" applyBorder="1"/>
    <xf numFmtId="0" fontId="15" fillId="0" borderId="10" xfId="0" applyFont="1" applyBorder="1" applyProtection="1"/>
    <xf numFmtId="0" fontId="12" fillId="0" borderId="10" xfId="0" applyFont="1" applyBorder="1" applyProtection="1"/>
    <xf numFmtId="0" fontId="12" fillId="0" borderId="10" xfId="0" applyFont="1" applyBorder="1" applyAlignment="1" applyProtection="1">
      <alignment horizontal="center"/>
    </xf>
    <xf numFmtId="9" fontId="12" fillId="0" borderId="39" xfId="0" applyNumberFormat="1" applyFont="1" applyBorder="1" applyAlignment="1" applyProtection="1">
      <alignment horizontal="center" vertical="top"/>
      <protection locked="0"/>
    </xf>
    <xf numFmtId="169" fontId="12" fillId="0" borderId="10" xfId="42" applyNumberFormat="1" applyFont="1" applyFill="1" applyBorder="1" applyAlignment="1" applyProtection="1">
      <alignment horizontal="center" vertical="top" wrapText="1"/>
    </xf>
    <xf numFmtId="169" fontId="12" fillId="0" borderId="45" xfId="42" applyNumberFormat="1" applyFont="1" applyFill="1" applyBorder="1" applyAlignment="1" applyProtection="1">
      <alignment horizontal="center" vertical="top" wrapText="1"/>
    </xf>
    <xf numFmtId="169" fontId="12" fillId="0" borderId="22" xfId="42" applyNumberFormat="1" applyFont="1" applyFill="1" applyBorder="1" applyAlignment="1" applyProtection="1">
      <alignment horizontal="center" vertical="top" wrapText="1"/>
    </xf>
    <xf numFmtId="169" fontId="12" fillId="0" borderId="46" xfId="42" applyNumberFormat="1" applyFont="1" applyFill="1" applyBorder="1" applyAlignment="1" applyProtection="1">
      <alignment horizontal="center" vertical="top" wrapText="1"/>
    </xf>
    <xf numFmtId="173" fontId="12" fillId="28" borderId="37" xfId="0" applyNumberFormat="1" applyFont="1" applyFill="1" applyBorder="1" applyProtection="1">
      <protection locked="0"/>
    </xf>
    <xf numFmtId="173" fontId="12" fillId="28" borderId="13" xfId="0" applyNumberFormat="1" applyFont="1" applyFill="1" applyBorder="1" applyProtection="1">
      <protection locked="0"/>
    </xf>
    <xf numFmtId="0" fontId="12" fillId="0" borderId="11" xfId="0" quotePrefix="1" applyFont="1" applyFill="1" applyBorder="1" applyAlignment="1">
      <alignment horizontal="left" indent="2"/>
    </xf>
    <xf numFmtId="0" fontId="13" fillId="0" borderId="11" xfId="0" quotePrefix="1" applyFont="1" applyFill="1" applyBorder="1" applyAlignment="1">
      <alignment horizontal="left" indent="1"/>
    </xf>
    <xf numFmtId="0" fontId="16" fillId="0" borderId="11" xfId="0" quotePrefix="1" applyFont="1" applyFill="1" applyBorder="1" applyAlignment="1">
      <alignment horizontal="left" indent="2"/>
    </xf>
    <xf numFmtId="9" fontId="13" fillId="25" borderId="10" xfId="42" applyFont="1" applyFill="1" applyBorder="1" applyAlignment="1">
      <alignment horizontal="center"/>
    </xf>
    <xf numFmtId="170" fontId="12" fillId="25" borderId="10" xfId="0" applyNumberFormat="1" applyFont="1" applyFill="1" applyBorder="1"/>
    <xf numFmtId="169" fontId="13" fillId="25" borderId="22" xfId="42" applyNumberFormat="1" applyFont="1" applyFill="1" applyBorder="1" applyAlignment="1">
      <alignment horizontal="center" vertical="top" wrapText="1"/>
    </xf>
    <xf numFmtId="170" fontId="12" fillId="25" borderId="22" xfId="0" applyNumberFormat="1" applyFont="1" applyFill="1" applyBorder="1"/>
    <xf numFmtId="9" fontId="13" fillId="25" borderId="22" xfId="42" applyFont="1" applyFill="1" applyBorder="1" applyAlignment="1">
      <alignment horizontal="center" vertical="top" wrapText="1"/>
    </xf>
    <xf numFmtId="9" fontId="12" fillId="25" borderId="22" xfId="42" applyFont="1" applyFill="1" applyBorder="1" applyAlignment="1">
      <alignment horizontal="center"/>
    </xf>
    <xf numFmtId="173" fontId="12" fillId="0" borderId="0" xfId="0" applyNumberFormat="1" applyFont="1" applyFill="1" applyBorder="1" applyProtection="1"/>
    <xf numFmtId="0" fontId="11" fillId="0" borderId="0" xfId="0" applyFont="1" applyFill="1" applyBorder="1" applyAlignment="1"/>
    <xf numFmtId="0" fontId="12" fillId="0" borderId="11" xfId="0" applyFont="1" applyFill="1" applyBorder="1" applyAlignment="1" applyProtection="1">
      <alignment horizontal="left" indent="1"/>
    </xf>
    <xf numFmtId="173" fontId="12" fillId="0" borderId="22" xfId="0" applyNumberFormat="1" applyFont="1" applyFill="1" applyBorder="1" applyProtection="1"/>
    <xf numFmtId="173" fontId="12" fillId="0" borderId="36" xfId="0" applyNumberFormat="1" applyFont="1" applyFill="1" applyBorder="1" applyProtection="1"/>
    <xf numFmtId="169" fontId="13" fillId="25" borderId="24" xfId="42" applyNumberFormat="1" applyFont="1" applyFill="1" applyBorder="1" applyAlignment="1">
      <alignment horizontal="center" vertical="top" wrapText="1"/>
    </xf>
    <xf numFmtId="0" fontId="12" fillId="0" borderId="0" xfId="0" quotePrefix="1" applyFont="1" applyBorder="1"/>
    <xf numFmtId="0" fontId="8" fillId="0" borderId="0" xfId="0" applyFont="1" applyBorder="1" applyAlignment="1">
      <alignment horizontal="left"/>
    </xf>
    <xf numFmtId="0" fontId="13" fillId="0" borderId="24" xfId="0" applyFont="1" applyFill="1" applyBorder="1" applyAlignment="1">
      <alignment horizontal="center" vertical="top" wrapText="1"/>
    </xf>
    <xf numFmtId="0" fontId="14" fillId="0" borderId="11" xfId="0" applyNumberFormat="1" applyFont="1" applyFill="1" applyBorder="1" applyAlignment="1" applyProtection="1">
      <alignment horizontal="left" indent="1"/>
    </xf>
    <xf numFmtId="0" fontId="12" fillId="0" borderId="22" xfId="0" applyNumberFormat="1" applyFont="1" applyBorder="1" applyAlignment="1" applyProtection="1">
      <alignment horizontal="center"/>
    </xf>
    <xf numFmtId="0" fontId="12" fillId="0" borderId="11" xfId="0" applyNumberFormat="1" applyFont="1" applyFill="1" applyBorder="1" applyAlignment="1" applyProtection="1">
      <alignment horizontal="left" indent="2"/>
    </xf>
    <xf numFmtId="0" fontId="12" fillId="0" borderId="22" xfId="0" applyNumberFormat="1" applyFont="1" applyFill="1" applyBorder="1" applyAlignment="1" applyProtection="1">
      <alignment horizontal="center"/>
    </xf>
    <xf numFmtId="0" fontId="12" fillId="0" borderId="50" xfId="0" applyFont="1" applyBorder="1" applyAlignment="1">
      <alignment horizontal="center"/>
    </xf>
    <xf numFmtId="0" fontId="12" fillId="0" borderId="46" xfId="0" applyFont="1" applyBorder="1" applyAlignment="1">
      <alignment horizontal="center"/>
    </xf>
    <xf numFmtId="0" fontId="18" fillId="0" borderId="46" xfId="0" applyFont="1" applyBorder="1" applyAlignment="1">
      <alignment horizontal="center"/>
    </xf>
    <xf numFmtId="0" fontId="12" fillId="0" borderId="46" xfId="0" applyFont="1" applyFill="1" applyBorder="1" applyAlignment="1">
      <alignment horizontal="center"/>
    </xf>
    <xf numFmtId="0" fontId="13" fillId="0" borderId="47" xfId="0" applyFont="1" applyBorder="1" applyAlignment="1">
      <alignment horizontal="center"/>
    </xf>
    <xf numFmtId="0" fontId="12" fillId="0" borderId="17" xfId="0" applyFont="1" applyFill="1" applyBorder="1" applyAlignment="1">
      <alignment horizontal="center" vertical="center"/>
    </xf>
    <xf numFmtId="0" fontId="13" fillId="0" borderId="13" xfId="0" applyFont="1" applyBorder="1" applyAlignment="1">
      <alignment horizontal="center"/>
    </xf>
    <xf numFmtId="0" fontId="12" fillId="0" borderId="24" xfId="0" applyFont="1" applyBorder="1" applyAlignment="1">
      <alignment horizontal="center"/>
    </xf>
    <xf numFmtId="0" fontId="12" fillId="0" borderId="22" xfId="0" applyFont="1" applyBorder="1" applyAlignment="1">
      <alignment horizontal="center"/>
    </xf>
    <xf numFmtId="0" fontId="18" fillId="0" borderId="22" xfId="0" applyFont="1" applyBorder="1" applyAlignment="1">
      <alignment horizontal="center"/>
    </xf>
    <xf numFmtId="0" fontId="12" fillId="0" borderId="22" xfId="0" applyFont="1" applyFill="1" applyBorder="1" applyAlignment="1">
      <alignment horizontal="center"/>
    </xf>
    <xf numFmtId="0" fontId="13" fillId="0" borderId="24" xfId="0" applyFont="1" applyBorder="1" applyAlignment="1">
      <alignment horizontal="center"/>
    </xf>
    <xf numFmtId="173" fontId="13" fillId="0" borderId="43" xfId="0" applyNumberFormat="1" applyFont="1" applyBorder="1"/>
    <xf numFmtId="9" fontId="13" fillId="0" borderId="43" xfId="42" applyFont="1" applyBorder="1" applyAlignment="1">
      <alignment horizontal="center"/>
    </xf>
    <xf numFmtId="0" fontId="13" fillId="0" borderId="45" xfId="0" applyFont="1" applyBorder="1" applyAlignment="1">
      <alignment horizontal="center"/>
    </xf>
    <xf numFmtId="0" fontId="11" fillId="0" borderId="14" xfId="0" applyFont="1" applyFill="1" applyBorder="1" applyAlignment="1" applyProtection="1">
      <alignment horizontal="left"/>
    </xf>
    <xf numFmtId="0" fontId="22" fillId="0" borderId="0" xfId="0" applyFont="1"/>
    <xf numFmtId="0" fontId="13" fillId="0" borderId="25" xfId="0" applyFont="1" applyFill="1" applyBorder="1" applyAlignment="1" applyProtection="1">
      <alignment horizontal="center" vertical="center"/>
    </xf>
    <xf numFmtId="0" fontId="13" fillId="0" borderId="23" xfId="0" applyFont="1" applyFill="1" applyBorder="1" applyAlignment="1" applyProtection="1">
      <alignment vertical="center"/>
    </xf>
    <xf numFmtId="0" fontId="13" fillId="0" borderId="16" xfId="0" applyFont="1" applyFill="1" applyBorder="1" applyAlignment="1" applyProtection="1">
      <alignment horizontal="left" vertical="center"/>
    </xf>
    <xf numFmtId="0" fontId="13" fillId="0" borderId="24" xfId="0" applyFont="1" applyFill="1" applyBorder="1" applyAlignment="1" applyProtection="1">
      <alignment vertical="center"/>
    </xf>
    <xf numFmtId="0" fontId="15" fillId="0" borderId="11" xfId="0" applyFont="1" applyBorder="1" applyProtection="1"/>
    <xf numFmtId="0" fontId="13" fillId="0" borderId="22" xfId="0" applyNumberFormat="1" applyFont="1" applyBorder="1" applyAlignment="1" applyProtection="1">
      <alignment horizontal="center"/>
      <protection locked="0"/>
    </xf>
    <xf numFmtId="173" fontId="13" fillId="0" borderId="22" xfId="0" applyNumberFormat="1" applyFont="1" applyBorder="1" applyAlignment="1">
      <alignment horizontal="right"/>
    </xf>
    <xf numFmtId="173" fontId="13" fillId="0" borderId="13" xfId="0" applyNumberFormat="1" applyFont="1" applyBorder="1" applyAlignment="1">
      <alignment horizontal="right"/>
    </xf>
    <xf numFmtId="173" fontId="13" fillId="0" borderId="0" xfId="0" applyNumberFormat="1" applyFont="1" applyBorder="1" applyAlignment="1">
      <alignment horizontal="right"/>
    </xf>
    <xf numFmtId="173" fontId="13" fillId="0" borderId="26" xfId="0" applyNumberFormat="1" applyFont="1" applyBorder="1" applyAlignment="1">
      <alignment horizontal="right"/>
    </xf>
    <xf numFmtId="0" fontId="12" fillId="0" borderId="22" xfId="0" applyNumberFormat="1" applyFont="1" applyBorder="1" applyAlignment="1" applyProtection="1">
      <alignment horizontal="center"/>
      <protection locked="0"/>
    </xf>
    <xf numFmtId="170" fontId="12" fillId="0" borderId="13" xfId="0" applyNumberFormat="1" applyFont="1" applyBorder="1"/>
    <xf numFmtId="0" fontId="13" fillId="0" borderId="11" xfId="0" applyFont="1" applyBorder="1" applyAlignment="1" applyProtection="1">
      <alignment horizontal="left"/>
    </xf>
    <xf numFmtId="173" fontId="13" fillId="0" borderId="43" xfId="0" applyNumberFormat="1" applyFont="1" applyBorder="1" applyAlignment="1" applyProtection="1">
      <alignment horizontal="right"/>
    </xf>
    <xf numFmtId="173" fontId="13" fillId="0" borderId="73" xfId="0" applyNumberFormat="1" applyFont="1" applyBorder="1" applyAlignment="1" applyProtection="1">
      <alignment horizontal="right"/>
    </xf>
    <xf numFmtId="173" fontId="13" fillId="0" borderId="74" xfId="0" applyNumberFormat="1" applyFont="1" applyBorder="1" applyAlignment="1" applyProtection="1">
      <alignment horizontal="right"/>
    </xf>
    <xf numFmtId="173" fontId="13" fillId="0" borderId="52" xfId="0" applyNumberFormat="1" applyFont="1" applyBorder="1" applyAlignment="1" applyProtection="1">
      <alignment horizontal="right"/>
    </xf>
    <xf numFmtId="170" fontId="13" fillId="0" borderId="18" xfId="0" applyNumberFormat="1" applyFont="1" applyBorder="1"/>
    <xf numFmtId="170" fontId="13" fillId="0" borderId="72" xfId="0" applyNumberFormat="1" applyFont="1" applyBorder="1"/>
    <xf numFmtId="0" fontId="12" fillId="0" borderId="16" xfId="0" applyFont="1" applyBorder="1" applyProtection="1"/>
    <xf numFmtId="0" fontId="12" fillId="0" borderId="24" xfId="0" applyNumberFormat="1" applyFont="1" applyBorder="1" applyAlignment="1" applyProtection="1">
      <alignment horizontal="center"/>
    </xf>
    <xf numFmtId="173" fontId="12" fillId="0" borderId="24" xfId="0" applyNumberFormat="1" applyFont="1" applyBorder="1" applyProtection="1"/>
    <xf numFmtId="173" fontId="12" fillId="0" borderId="17" xfId="0" applyNumberFormat="1" applyFont="1" applyBorder="1" applyProtection="1"/>
    <xf numFmtId="173" fontId="12" fillId="0" borderId="14" xfId="0" applyNumberFormat="1" applyFont="1" applyBorder="1" applyProtection="1"/>
    <xf numFmtId="173" fontId="12" fillId="0" borderId="33" xfId="0" applyNumberFormat="1" applyFont="1" applyBorder="1" applyProtection="1"/>
    <xf numFmtId="0" fontId="15" fillId="0" borderId="15" xfId="0" applyFont="1" applyBorder="1" applyProtection="1"/>
    <xf numFmtId="0" fontId="12" fillId="0" borderId="23" xfId="0" applyNumberFormat="1" applyFont="1" applyBorder="1" applyAlignment="1" applyProtection="1">
      <alignment horizontal="center"/>
    </xf>
    <xf numFmtId="173" fontId="12" fillId="0" borderId="23" xfId="0" applyNumberFormat="1" applyFont="1" applyBorder="1" applyProtection="1"/>
    <xf numFmtId="173" fontId="12" fillId="0" borderId="65" xfId="0" applyNumberFormat="1" applyFont="1" applyBorder="1" applyProtection="1"/>
    <xf numFmtId="173" fontId="12" fillId="0" borderId="12" xfId="0" applyNumberFormat="1" applyFont="1" applyBorder="1" applyProtection="1"/>
    <xf numFmtId="173" fontId="12" fillId="0" borderId="25" xfId="0" applyNumberFormat="1" applyFont="1" applyBorder="1" applyProtection="1"/>
    <xf numFmtId="0" fontId="13" fillId="0" borderId="11" xfId="0" applyFont="1" applyFill="1" applyBorder="1" applyAlignment="1" applyProtection="1">
      <alignment horizontal="left" indent="1"/>
    </xf>
    <xf numFmtId="0" fontId="13" fillId="0" borderId="22" xfId="0" applyNumberFormat="1" applyFont="1" applyBorder="1" applyAlignment="1" applyProtection="1">
      <alignment horizontal="center"/>
    </xf>
    <xf numFmtId="173" fontId="13" fillId="0" borderId="22" xfId="0" applyNumberFormat="1" applyFont="1" applyBorder="1" applyAlignment="1" applyProtection="1">
      <alignment horizontal="right"/>
    </xf>
    <xf numFmtId="173" fontId="13" fillId="0" borderId="13" xfId="0" applyNumberFormat="1" applyFont="1" applyBorder="1" applyAlignment="1" applyProtection="1">
      <alignment horizontal="right"/>
    </xf>
    <xf numFmtId="173" fontId="13" fillId="0" borderId="0" xfId="0" applyNumberFormat="1" applyFont="1" applyBorder="1" applyAlignment="1" applyProtection="1">
      <alignment horizontal="right"/>
    </xf>
    <xf numFmtId="173" fontId="13" fillId="0" borderId="26" xfId="0" applyNumberFormat="1" applyFont="1" applyBorder="1" applyAlignment="1" applyProtection="1">
      <alignment horizontal="right"/>
    </xf>
    <xf numFmtId="173" fontId="12" fillId="28" borderId="0" xfId="0" applyNumberFormat="1" applyFont="1" applyFill="1" applyBorder="1" applyProtection="1">
      <protection locked="0"/>
    </xf>
    <xf numFmtId="170" fontId="12" fillId="0" borderId="10" xfId="0" applyNumberFormat="1" applyFont="1" applyFill="1" applyBorder="1"/>
    <xf numFmtId="173" fontId="13" fillId="0" borderId="74" xfId="0" applyNumberFormat="1" applyFont="1" applyBorder="1"/>
    <xf numFmtId="173" fontId="13" fillId="0" borderId="52" xfId="0" applyNumberFormat="1" applyFont="1" applyBorder="1"/>
    <xf numFmtId="170" fontId="13" fillId="0" borderId="13" xfId="0" applyNumberFormat="1" applyFont="1" applyBorder="1"/>
    <xf numFmtId="0" fontId="12" fillId="0" borderId="29" xfId="0" applyNumberFormat="1" applyFont="1" applyBorder="1" applyAlignment="1" applyProtection="1">
      <alignment horizontal="center"/>
      <protection locked="0"/>
    </xf>
    <xf numFmtId="173" fontId="13" fillId="0" borderId="29" xfId="0" applyNumberFormat="1" applyFont="1" applyFill="1" applyBorder="1"/>
    <xf numFmtId="173" fontId="13" fillId="0" borderId="75" xfId="0" applyNumberFormat="1" applyFont="1" applyBorder="1"/>
    <xf numFmtId="170" fontId="13" fillId="0" borderId="76" xfId="0" applyNumberFormat="1" applyFont="1" applyBorder="1"/>
    <xf numFmtId="170" fontId="13" fillId="0" borderId="77" xfId="0" applyNumberFormat="1" applyFont="1" applyBorder="1"/>
    <xf numFmtId="0" fontId="17" fillId="0" borderId="0" xfId="0" applyFont="1" applyBorder="1" applyProtection="1"/>
    <xf numFmtId="0" fontId="12" fillId="0" borderId="0" xfId="0" applyFont="1" applyBorder="1" applyAlignment="1" applyProtection="1">
      <alignment horizontal="center"/>
      <protection locked="0"/>
    </xf>
    <xf numFmtId="0" fontId="16" fillId="0" borderId="0" xfId="0" applyFont="1" applyFill="1" applyBorder="1" applyProtection="1">
      <protection locked="0"/>
    </xf>
    <xf numFmtId="170" fontId="13" fillId="0" borderId="0" xfId="0" applyNumberFormat="1" applyFont="1" applyFill="1" applyBorder="1" applyProtection="1">
      <protection locked="0"/>
    </xf>
    <xf numFmtId="0" fontId="12" fillId="0" borderId="0" xfId="0" applyFont="1" applyProtection="1">
      <protection locked="0"/>
    </xf>
    <xf numFmtId="0" fontId="16" fillId="0" borderId="0" xfId="0" quotePrefix="1" applyFont="1" applyBorder="1" applyProtection="1"/>
    <xf numFmtId="0" fontId="13" fillId="0" borderId="0" xfId="0" applyFont="1" applyBorder="1" applyProtection="1">
      <protection locked="0"/>
    </xf>
    <xf numFmtId="170" fontId="13" fillId="0" borderId="0" xfId="0" applyNumberFormat="1" applyFont="1" applyBorder="1" applyProtection="1">
      <protection locked="0"/>
    </xf>
    <xf numFmtId="0" fontId="16" fillId="0" borderId="0" xfId="0" applyFont="1" applyBorder="1" applyAlignment="1" applyProtection="1">
      <alignment horizontal="left"/>
    </xf>
    <xf numFmtId="0" fontId="16" fillId="0" borderId="0" xfId="0" applyFont="1" applyBorder="1" applyAlignment="1" applyProtection="1">
      <alignment horizontal="center"/>
      <protection locked="0"/>
    </xf>
    <xf numFmtId="0" fontId="16" fillId="0" borderId="0" xfId="0" applyFont="1" applyBorder="1" applyAlignment="1" applyProtection="1">
      <alignment horizontal="right"/>
      <protection locked="0"/>
    </xf>
    <xf numFmtId="166" fontId="12" fillId="0" borderId="0" xfId="28" applyNumberFormat="1" applyFont="1" applyProtection="1">
      <protection locked="0"/>
    </xf>
    <xf numFmtId="0" fontId="12" fillId="0" borderId="0" xfId="0" applyFont="1" applyAlignment="1" applyProtection="1">
      <alignment horizontal="center"/>
      <protection locked="0"/>
    </xf>
    <xf numFmtId="0" fontId="16" fillId="0" borderId="0" xfId="0" applyFont="1" applyBorder="1" applyAlignment="1" applyProtection="1">
      <alignment horizontal="right"/>
    </xf>
    <xf numFmtId="0" fontId="13" fillId="0" borderId="11" xfId="0" applyFont="1" applyFill="1" applyBorder="1" applyAlignment="1" applyProtection="1">
      <alignment horizontal="left" vertical="center"/>
    </xf>
    <xf numFmtId="0" fontId="13" fillId="0" borderId="22" xfId="0" applyFont="1" applyFill="1" applyBorder="1" applyAlignment="1" applyProtection="1">
      <alignment vertical="center"/>
    </xf>
    <xf numFmtId="0" fontId="12" fillId="0" borderId="3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9" fontId="13" fillId="0" borderId="22" xfId="42" applyFont="1" applyFill="1" applyBorder="1" applyAlignment="1">
      <alignment horizontal="center" vertical="center"/>
    </xf>
    <xf numFmtId="0" fontId="12" fillId="0" borderId="13" xfId="0" applyFont="1" applyFill="1" applyBorder="1" applyAlignment="1">
      <alignment horizontal="center" vertical="center"/>
    </xf>
    <xf numFmtId="173" fontId="13" fillId="0" borderId="37" xfId="0" applyNumberFormat="1" applyFont="1" applyBorder="1" applyAlignment="1">
      <alignment horizontal="right"/>
    </xf>
    <xf numFmtId="173" fontId="13" fillId="0" borderId="78" xfId="0" applyNumberFormat="1" applyFont="1" applyBorder="1" applyAlignment="1" applyProtection="1">
      <alignment horizontal="right"/>
    </xf>
    <xf numFmtId="173" fontId="12" fillId="0" borderId="69" xfId="0" applyNumberFormat="1" applyFont="1" applyBorder="1" applyProtection="1"/>
    <xf numFmtId="173" fontId="12" fillId="0" borderId="79" xfId="0" applyNumberFormat="1" applyFont="1" applyBorder="1" applyProtection="1"/>
    <xf numFmtId="173" fontId="13" fillId="0" borderId="37" xfId="0" applyNumberFormat="1" applyFont="1" applyBorder="1" applyAlignment="1" applyProtection="1">
      <alignment horizontal="right"/>
    </xf>
    <xf numFmtId="173" fontId="13" fillId="0" borderId="78" xfId="0" applyNumberFormat="1" applyFont="1" applyBorder="1"/>
    <xf numFmtId="173" fontId="13" fillId="0" borderId="34" xfId="0" applyNumberFormat="1" applyFont="1" applyFill="1" applyBorder="1"/>
    <xf numFmtId="0" fontId="12" fillId="0" borderId="25" xfId="0" applyFont="1" applyBorder="1"/>
    <xf numFmtId="0" fontId="12" fillId="0" borderId="23" xfId="0" applyFont="1" applyBorder="1"/>
    <xf numFmtId="173" fontId="13" fillId="0" borderId="30" xfId="0" applyNumberFormat="1" applyFont="1" applyFill="1" applyBorder="1"/>
    <xf numFmtId="173" fontId="13" fillId="0" borderId="49" xfId="0" applyNumberFormat="1" applyFont="1" applyBorder="1"/>
    <xf numFmtId="173" fontId="12" fillId="0" borderId="43" xfId="0" applyNumberFormat="1" applyFont="1" applyBorder="1"/>
    <xf numFmtId="9" fontId="12" fillId="0" borderId="43" xfId="42" applyFont="1" applyBorder="1" applyAlignment="1">
      <alignment horizontal="center"/>
    </xf>
    <xf numFmtId="173" fontId="13" fillId="0" borderId="67" xfId="0" applyNumberFormat="1" applyFont="1" applyBorder="1"/>
    <xf numFmtId="0" fontId="12" fillId="0" borderId="11" xfId="0" applyNumberFormat="1" applyFont="1" applyFill="1" applyBorder="1" applyAlignment="1">
      <alignment horizontal="left" indent="1"/>
    </xf>
    <xf numFmtId="0" fontId="12" fillId="0" borderId="11" xfId="0" applyNumberFormat="1" applyFont="1" applyBorder="1" applyAlignment="1">
      <alignment horizontal="left" indent="1"/>
    </xf>
    <xf numFmtId="0" fontId="12" fillId="0" borderId="53" xfId="0" applyFont="1" applyBorder="1" applyAlignment="1">
      <alignment horizontal="center"/>
    </xf>
    <xf numFmtId="0" fontId="12" fillId="0" borderId="51" xfId="0" applyFont="1" applyBorder="1" applyAlignment="1">
      <alignment horizontal="center"/>
    </xf>
    <xf numFmtId="0" fontId="12" fillId="0" borderId="46" xfId="0" applyFont="1" applyBorder="1" applyAlignment="1">
      <alignment horizontal="center" vertical="top"/>
    </xf>
    <xf numFmtId="173" fontId="13" fillId="0" borderId="55" xfId="0" applyNumberFormat="1" applyFont="1" applyBorder="1" applyAlignment="1">
      <alignment vertical="top"/>
    </xf>
    <xf numFmtId="173" fontId="13" fillId="0" borderId="32" xfId="0" applyNumberFormat="1" applyFont="1" applyBorder="1" applyAlignment="1">
      <alignment vertical="top"/>
    </xf>
    <xf numFmtId="173" fontId="13" fillId="0" borderId="31" xfId="0" applyNumberFormat="1" applyFont="1" applyBorder="1" applyAlignment="1">
      <alignment vertical="top"/>
    </xf>
    <xf numFmtId="9" fontId="13" fillId="0" borderId="31" xfId="42" applyFont="1" applyBorder="1" applyAlignment="1">
      <alignment horizontal="center" vertical="top"/>
    </xf>
    <xf numFmtId="173" fontId="13" fillId="0" borderId="47" xfId="0" applyNumberFormat="1" applyFont="1" applyBorder="1" applyAlignment="1">
      <alignment vertical="top"/>
    </xf>
    <xf numFmtId="0" fontId="13" fillId="0" borderId="11" xfId="0" applyNumberFormat="1" applyFont="1" applyBorder="1" applyAlignment="1">
      <alignment wrapText="1"/>
    </xf>
    <xf numFmtId="173" fontId="13" fillId="0" borderId="43" xfId="0" applyNumberFormat="1" applyFont="1" applyBorder="1" applyAlignment="1">
      <alignment vertical="top"/>
    </xf>
    <xf numFmtId="173" fontId="13" fillId="0" borderId="49" xfId="0" applyNumberFormat="1" applyFont="1" applyBorder="1" applyAlignment="1">
      <alignment vertical="top"/>
    </xf>
    <xf numFmtId="173" fontId="13" fillId="0" borderId="60" xfId="0" applyNumberFormat="1" applyFont="1" applyBorder="1" applyAlignment="1">
      <alignment vertical="top"/>
    </xf>
    <xf numFmtId="173" fontId="12" fillId="0" borderId="10" xfId="0" applyNumberFormat="1" applyFont="1" applyFill="1" applyBorder="1"/>
    <xf numFmtId="173" fontId="12" fillId="0" borderId="45" xfId="0" applyNumberFormat="1" applyFont="1" applyFill="1" applyBorder="1"/>
    <xf numFmtId="173" fontId="12" fillId="0" borderId="10" xfId="0" applyNumberFormat="1" applyFont="1" applyFill="1" applyBorder="1" applyProtection="1">
      <protection locked="0"/>
    </xf>
    <xf numFmtId="173" fontId="12" fillId="0" borderId="45" xfId="0" applyNumberFormat="1" applyFont="1" applyFill="1" applyBorder="1" applyProtection="1">
      <protection locked="0"/>
    </xf>
    <xf numFmtId="173" fontId="12" fillId="0" borderId="22" xfId="0" applyNumberFormat="1" applyFont="1" applyFill="1" applyBorder="1" applyProtection="1">
      <protection locked="0"/>
    </xf>
    <xf numFmtId="173" fontId="12" fillId="0" borderId="46" xfId="0" applyNumberFormat="1" applyFont="1" applyFill="1" applyBorder="1" applyProtection="1">
      <protection locked="0"/>
    </xf>
    <xf numFmtId="0" fontId="13" fillId="0" borderId="27" xfId="0" applyFont="1" applyBorder="1" applyAlignment="1">
      <alignment horizontal="left"/>
    </xf>
    <xf numFmtId="0" fontId="12" fillId="0" borderId="11" xfId="0" applyFont="1" applyFill="1" applyBorder="1" applyAlignment="1">
      <alignment horizontal="left" indent="2"/>
    </xf>
    <xf numFmtId="0" fontId="13" fillId="0" borderId="38" xfId="0" applyFont="1" applyBorder="1"/>
    <xf numFmtId="0" fontId="12" fillId="0" borderId="56" xfId="0" applyFont="1" applyBorder="1" applyAlignment="1">
      <alignment horizontal="center"/>
    </xf>
    <xf numFmtId="173" fontId="13" fillId="0" borderId="38" xfId="0" applyNumberFormat="1" applyFont="1" applyFill="1" applyBorder="1"/>
    <xf numFmtId="173" fontId="13" fillId="0" borderId="64" xfId="0" applyNumberFormat="1" applyFont="1" applyFill="1" applyBorder="1"/>
    <xf numFmtId="9" fontId="13" fillId="0" borderId="29" xfId="42" applyFont="1" applyFill="1" applyBorder="1" applyAlignment="1">
      <alignment horizontal="center"/>
    </xf>
    <xf numFmtId="173" fontId="13" fillId="0" borderId="56" xfId="0" applyNumberFormat="1" applyFont="1" applyFill="1" applyBorder="1"/>
    <xf numFmtId="173" fontId="13" fillId="0" borderId="60" xfId="0" applyNumberFormat="1" applyFont="1" applyBorder="1"/>
    <xf numFmtId="173" fontId="13" fillId="0" borderId="31" xfId="0" applyNumberFormat="1" applyFont="1" applyFill="1" applyBorder="1"/>
    <xf numFmtId="0" fontId="12" fillId="0" borderId="37" xfId="0" applyFont="1" applyFill="1" applyBorder="1" applyAlignment="1">
      <alignment horizontal="left" vertical="top" wrapText="1"/>
    </xf>
    <xf numFmtId="0" fontId="13" fillId="0" borderId="11" xfId="0" applyNumberFormat="1" applyFont="1" applyBorder="1"/>
    <xf numFmtId="0" fontId="12" fillId="0" borderId="11" xfId="0" applyNumberFormat="1" applyFont="1" applyBorder="1"/>
    <xf numFmtId="0" fontId="15" fillId="0" borderId="11" xfId="0" applyNumberFormat="1" applyFont="1" applyBorder="1"/>
    <xf numFmtId="0" fontId="13" fillId="0" borderId="38" xfId="0" applyNumberFormat="1" applyFont="1" applyBorder="1"/>
    <xf numFmtId="173" fontId="13" fillId="25" borderId="30" xfId="0" applyNumberFormat="1" applyFont="1" applyFill="1" applyBorder="1"/>
    <xf numFmtId="173" fontId="12" fillId="0" borderId="26" xfId="0" applyNumberFormat="1" applyFont="1" applyFill="1" applyBorder="1" applyProtection="1">
      <protection locked="0"/>
    </xf>
    <xf numFmtId="169" fontId="12" fillId="0" borderId="22" xfId="42" applyNumberFormat="1" applyFont="1" applyFill="1" applyBorder="1" applyAlignment="1" applyProtection="1">
      <alignment horizontal="center" vertical="top" wrapText="1"/>
      <protection locked="0"/>
    </xf>
    <xf numFmtId="173" fontId="12" fillId="0" borderId="43" xfId="0" applyNumberFormat="1" applyFont="1" applyFill="1" applyBorder="1" applyProtection="1">
      <protection locked="0"/>
    </xf>
    <xf numFmtId="169" fontId="12" fillId="0" borderId="43" xfId="42" applyNumberFormat="1" applyFont="1" applyFill="1" applyBorder="1" applyAlignment="1" applyProtection="1">
      <alignment horizontal="center" vertical="top" wrapText="1"/>
      <protection locked="0"/>
    </xf>
    <xf numFmtId="173" fontId="12" fillId="0" borderId="52" xfId="0" applyNumberFormat="1" applyFont="1" applyFill="1" applyBorder="1" applyProtection="1">
      <protection locked="0"/>
    </xf>
    <xf numFmtId="169" fontId="12" fillId="0" borderId="43" xfId="42" applyNumberFormat="1" applyFont="1" applyFill="1" applyBorder="1" applyAlignment="1">
      <alignment horizontal="center" vertical="top" wrapText="1"/>
    </xf>
    <xf numFmtId="169" fontId="13" fillId="0" borderId="43" xfId="42" applyNumberFormat="1" applyFont="1" applyFill="1" applyBorder="1" applyAlignment="1">
      <alignment horizontal="center" vertical="top" wrapText="1"/>
    </xf>
    <xf numFmtId="0" fontId="12" fillId="0" borderId="59" xfId="0" applyFont="1" applyBorder="1"/>
    <xf numFmtId="173" fontId="12" fillId="0" borderId="66" xfId="0" applyNumberFormat="1" applyFont="1" applyBorder="1"/>
    <xf numFmtId="0" fontId="13" fillId="0" borderId="27" xfId="0" applyNumberFormat="1" applyFont="1" applyBorder="1" applyAlignment="1">
      <alignment vertical="center"/>
    </xf>
    <xf numFmtId="0" fontId="13" fillId="0" borderId="40" xfId="0" applyNumberFormat="1" applyFont="1" applyBorder="1" applyAlignment="1">
      <alignment horizontal="left"/>
    </xf>
    <xf numFmtId="0" fontId="13" fillId="0" borderId="35" xfId="0" applyNumberFormat="1" applyFont="1" applyBorder="1" applyAlignment="1">
      <alignment vertical="center"/>
    </xf>
    <xf numFmtId="0" fontId="15" fillId="0" borderId="27" xfId="0" applyFont="1" applyBorder="1"/>
    <xf numFmtId="170" fontId="12" fillId="0" borderId="38" xfId="0" quotePrefix="1" applyNumberFormat="1" applyFont="1" applyBorder="1" applyAlignment="1">
      <alignment horizontal="center"/>
    </xf>
    <xf numFmtId="170" fontId="12" fillId="0" borderId="30" xfId="0" quotePrefix="1" applyNumberFormat="1" applyFont="1" applyBorder="1" applyAlignment="1">
      <alignment horizontal="center"/>
    </xf>
    <xf numFmtId="170" fontId="12" fillId="0" borderId="29" xfId="0" quotePrefix="1" applyNumberFormat="1" applyFont="1" applyBorder="1" applyAlignment="1">
      <alignment horizontal="center"/>
    </xf>
    <xf numFmtId="170" fontId="12" fillId="0" borderId="29" xfId="0" applyNumberFormat="1" applyFont="1" applyBorder="1" applyAlignment="1">
      <alignment horizontal="center"/>
    </xf>
    <xf numFmtId="170" fontId="12" fillId="0" borderId="56" xfId="0" quotePrefix="1" applyNumberFormat="1" applyFont="1" applyBorder="1" applyAlignment="1">
      <alignment horizontal="center"/>
    </xf>
    <xf numFmtId="0" fontId="13" fillId="0" borderId="11" xfId="0" applyNumberFormat="1" applyFont="1" applyBorder="1" applyAlignment="1">
      <alignment horizontal="left" indent="1"/>
    </xf>
    <xf numFmtId="0" fontId="15" fillId="0" borderId="11" xfId="0" applyFont="1" applyBorder="1" applyAlignment="1">
      <alignment horizontal="left"/>
    </xf>
    <xf numFmtId="0" fontId="13" fillId="0" borderId="27" xfId="0" applyNumberFormat="1" applyFont="1" applyBorder="1"/>
    <xf numFmtId="0" fontId="13" fillId="0" borderId="27" xfId="0" applyFont="1" applyBorder="1" applyAlignment="1">
      <alignment vertical="center" wrapText="1"/>
    </xf>
    <xf numFmtId="0" fontId="13" fillId="0" borderId="54" xfId="0" applyFont="1" applyBorder="1" applyAlignment="1">
      <alignment horizontal="center"/>
    </xf>
    <xf numFmtId="0" fontId="13" fillId="0" borderId="40" xfId="0" applyFont="1" applyBorder="1" applyAlignment="1">
      <alignment wrapText="1"/>
    </xf>
    <xf numFmtId="173" fontId="12" fillId="0" borderId="67" xfId="0" applyNumberFormat="1" applyFont="1" applyBorder="1"/>
    <xf numFmtId="173" fontId="12" fillId="0" borderId="52" xfId="0" applyNumberFormat="1" applyFont="1" applyBorder="1"/>
    <xf numFmtId="173" fontId="12" fillId="0" borderId="49" xfId="0" applyNumberFormat="1" applyFont="1" applyBorder="1"/>
    <xf numFmtId="0" fontId="16" fillId="0" borderId="11" xfId="0" applyNumberFormat="1" applyFont="1" applyBorder="1" applyAlignment="1">
      <alignment horizontal="left" indent="2"/>
    </xf>
    <xf numFmtId="169" fontId="13" fillId="0" borderId="37" xfId="42" applyNumberFormat="1" applyFont="1" applyFill="1" applyBorder="1" applyAlignment="1">
      <alignment horizontal="center" vertical="top" wrapText="1"/>
    </xf>
    <xf numFmtId="173" fontId="13" fillId="0" borderId="54" xfId="0" applyNumberFormat="1" applyFont="1" applyBorder="1"/>
    <xf numFmtId="173" fontId="13" fillId="0" borderId="62" xfId="0" applyNumberFormat="1" applyFont="1" applyBorder="1"/>
    <xf numFmtId="173" fontId="13" fillId="0" borderId="36" xfId="0" applyNumberFormat="1" applyFont="1" applyBorder="1"/>
    <xf numFmtId="169" fontId="13" fillId="0" borderId="36" xfId="42" applyNumberFormat="1" applyFont="1" applyFill="1" applyBorder="1" applyAlignment="1">
      <alignment horizontal="center" vertical="top" wrapText="1"/>
    </xf>
    <xf numFmtId="173" fontId="13" fillId="0" borderId="51" xfId="0" applyNumberFormat="1" applyFont="1" applyBorder="1"/>
    <xf numFmtId="0" fontId="12" fillId="0" borderId="10" xfId="0" applyFont="1" applyFill="1" applyBorder="1" applyAlignment="1">
      <alignment horizontal="left" indent="1"/>
    </xf>
    <xf numFmtId="0" fontId="13" fillId="0" borderId="10" xfId="0" applyFont="1" applyFill="1" applyBorder="1" applyAlignment="1">
      <alignment wrapText="1"/>
    </xf>
    <xf numFmtId="0" fontId="13" fillId="0" borderId="10" xfId="0" applyFont="1" applyFill="1" applyBorder="1"/>
    <xf numFmtId="0" fontId="16" fillId="0" borderId="0" xfId="0" applyFont="1" applyBorder="1" applyProtection="1"/>
    <xf numFmtId="0" fontId="12" fillId="0" borderId="31" xfId="0" applyFont="1" applyBorder="1" applyAlignment="1">
      <alignment horizontal="center"/>
    </xf>
    <xf numFmtId="0" fontId="13" fillId="0" borderId="35" xfId="0" applyNumberFormat="1" applyFont="1" applyBorder="1" applyAlignment="1">
      <alignment horizontal="left" wrapText="1"/>
    </xf>
    <xf numFmtId="0" fontId="12" fillId="0" borderId="47" xfId="0" applyFont="1" applyBorder="1" applyAlignment="1">
      <alignment horizontal="center"/>
    </xf>
    <xf numFmtId="0" fontId="0" fillId="0" borderId="0" xfId="0" applyProtection="1">
      <protection locked="0"/>
    </xf>
    <xf numFmtId="0" fontId="8" fillId="0" borderId="0" xfId="0" applyFont="1" applyProtection="1">
      <protection locked="0"/>
    </xf>
    <xf numFmtId="175" fontId="8" fillId="0" borderId="11" xfId="0" applyNumberFormat="1" applyFont="1" applyBorder="1" applyAlignment="1">
      <alignment horizontal="left"/>
    </xf>
    <xf numFmtId="174" fontId="12" fillId="0" borderId="45" xfId="42" applyNumberFormat="1" applyFont="1" applyBorder="1"/>
    <xf numFmtId="174" fontId="13" fillId="0" borderId="22" xfId="42" applyNumberFormat="1" applyFont="1" applyBorder="1" applyAlignment="1">
      <alignment vertical="top"/>
    </xf>
    <xf numFmtId="174" fontId="13" fillId="0" borderId="45" xfId="42" applyNumberFormat="1" applyFont="1" applyBorder="1" applyAlignment="1">
      <alignment vertical="top"/>
    </xf>
    <xf numFmtId="174" fontId="13" fillId="0" borderId="43" xfId="42" applyNumberFormat="1" applyFont="1" applyBorder="1"/>
    <xf numFmtId="172" fontId="13" fillId="25" borderId="22" xfId="0" applyNumberFormat="1" applyFont="1" applyFill="1" applyBorder="1"/>
    <xf numFmtId="174" fontId="13" fillId="25" borderId="22" xfId="42" applyNumberFormat="1" applyFont="1" applyFill="1" applyBorder="1"/>
    <xf numFmtId="173" fontId="13" fillId="0" borderId="47" xfId="0" applyNumberFormat="1" applyFont="1" applyFill="1" applyBorder="1"/>
    <xf numFmtId="173" fontId="13" fillId="0" borderId="61" xfId="0" applyNumberFormat="1" applyFont="1" applyFill="1" applyBorder="1"/>
    <xf numFmtId="9" fontId="13" fillId="0" borderId="31" xfId="42" applyFont="1" applyFill="1" applyBorder="1" applyAlignment="1">
      <alignment horizontal="center"/>
    </xf>
    <xf numFmtId="173" fontId="13" fillId="0" borderId="80" xfId="0" applyNumberFormat="1" applyFont="1" applyFill="1" applyBorder="1"/>
    <xf numFmtId="173" fontId="13" fillId="0" borderId="10" xfId="0" applyNumberFormat="1" applyFont="1" applyFill="1" applyBorder="1"/>
    <xf numFmtId="173" fontId="13" fillId="0" borderId="26" xfId="0" applyNumberFormat="1" applyFont="1" applyFill="1" applyBorder="1"/>
    <xf numFmtId="173" fontId="13" fillId="0" borderId="46" xfId="0" applyNumberFormat="1" applyFont="1" applyFill="1" applyBorder="1"/>
    <xf numFmtId="0" fontId="12" fillId="0" borderId="22" xfId="0" applyNumberFormat="1" applyFont="1" applyBorder="1" applyAlignment="1">
      <alignment horizontal="center"/>
    </xf>
    <xf numFmtId="173" fontId="13" fillId="0" borderId="31" xfId="0" applyNumberFormat="1" applyFont="1" applyFill="1" applyBorder="1" applyProtection="1"/>
    <xf numFmtId="173" fontId="13" fillId="0" borderId="47" xfId="0" applyNumberFormat="1" applyFont="1" applyFill="1" applyBorder="1" applyProtection="1"/>
    <xf numFmtId="0" fontId="12" fillId="0" borderId="26" xfId="0" applyNumberFormat="1" applyFont="1" applyFill="1" applyBorder="1" applyAlignment="1" applyProtection="1">
      <alignment horizontal="left" indent="2"/>
    </xf>
    <xf numFmtId="173" fontId="12" fillId="0" borderId="43" xfId="0" applyNumberFormat="1" applyFont="1" applyFill="1" applyBorder="1" applyProtection="1"/>
    <xf numFmtId="173" fontId="12" fillId="0" borderId="52" xfId="0" applyNumberFormat="1" applyFont="1" applyFill="1" applyBorder="1" applyProtection="1"/>
    <xf numFmtId="173" fontId="12" fillId="0" borderId="49" xfId="0" applyNumberFormat="1" applyFont="1" applyFill="1" applyBorder="1" applyProtection="1"/>
    <xf numFmtId="173" fontId="13" fillId="0" borderId="43" xfId="0" applyNumberFormat="1" applyFont="1" applyFill="1" applyBorder="1" applyProtection="1"/>
    <xf numFmtId="173" fontId="13" fillId="0" borderId="78"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0" fontId="13" fillId="0" borderId="11" xfId="0" applyNumberFormat="1" applyFont="1" applyBorder="1" applyProtection="1"/>
    <xf numFmtId="173" fontId="13" fillId="0" borderId="43" xfId="0" applyNumberFormat="1" applyFont="1" applyFill="1" applyBorder="1"/>
    <xf numFmtId="173" fontId="13" fillId="0" borderId="49" xfId="0" applyNumberFormat="1" applyFont="1" applyFill="1" applyBorder="1"/>
    <xf numFmtId="0" fontId="12" fillId="0" borderId="11" xfId="0" applyNumberFormat="1" applyFont="1" applyBorder="1" applyProtection="1"/>
    <xf numFmtId="0" fontId="15" fillId="0" borderId="11" xfId="0" applyNumberFormat="1" applyFont="1" applyBorder="1" applyProtection="1"/>
    <xf numFmtId="0" fontId="18" fillId="0" borderId="22" xfId="0" applyNumberFormat="1" applyFont="1" applyBorder="1" applyAlignment="1" applyProtection="1">
      <alignment horizontal="center"/>
    </xf>
    <xf numFmtId="0" fontId="13" fillId="0" borderId="27" xfId="0" applyNumberFormat="1" applyFont="1" applyBorder="1" applyProtection="1"/>
    <xf numFmtId="0" fontId="12" fillId="0" borderId="29" xfId="0" applyNumberFormat="1" applyFont="1" applyBorder="1" applyAlignment="1" applyProtection="1">
      <alignment horizontal="center"/>
    </xf>
    <xf numFmtId="0" fontId="17" fillId="0" borderId="0" xfId="0" applyFont="1" applyBorder="1" applyAlignment="1" applyProtection="1">
      <alignment horizontal="left"/>
    </xf>
    <xf numFmtId="0" fontId="16" fillId="0" borderId="0" xfId="0" applyFont="1" applyBorder="1" applyAlignment="1" applyProtection="1">
      <alignment horizontal="center"/>
    </xf>
    <xf numFmtId="170" fontId="14" fillId="0" borderId="0" xfId="0" applyNumberFormat="1" applyFont="1" applyBorder="1" applyProtection="1">
      <protection locked="0"/>
    </xf>
    <xf numFmtId="0" fontId="14" fillId="0" borderId="0" xfId="0" applyFont="1" applyBorder="1" applyProtection="1"/>
    <xf numFmtId="170" fontId="14" fillId="0" borderId="0" xfId="0" applyNumberFormat="1" applyFont="1" applyBorder="1" applyProtection="1"/>
    <xf numFmtId="166" fontId="16" fillId="0" borderId="0" xfId="28" applyNumberFormat="1" applyFont="1" applyBorder="1" applyAlignment="1">
      <alignment horizontal="right"/>
    </xf>
    <xf numFmtId="166" fontId="16" fillId="0" borderId="0" xfId="28" applyNumberFormat="1" applyFont="1" applyFill="1" applyBorder="1" applyAlignment="1">
      <alignment horizontal="right"/>
    </xf>
    <xf numFmtId="173" fontId="12" fillId="0" borderId="0" xfId="0" applyNumberFormat="1" applyFont="1"/>
    <xf numFmtId="0" fontId="13" fillId="0" borderId="23" xfId="0" applyFont="1" applyFill="1" applyBorder="1" applyAlignment="1">
      <alignment horizontal="center"/>
    </xf>
    <xf numFmtId="173" fontId="12" fillId="0" borderId="31" xfId="0" applyNumberFormat="1" applyFont="1" applyFill="1" applyBorder="1"/>
    <xf numFmtId="9" fontId="12" fillId="0" borderId="31" xfId="42" applyFont="1" applyFill="1" applyBorder="1" applyAlignment="1">
      <alignment horizontal="center"/>
    </xf>
    <xf numFmtId="173" fontId="13" fillId="0" borderId="24" xfId="0" applyNumberFormat="1" applyFont="1" applyFill="1" applyBorder="1"/>
    <xf numFmtId="170" fontId="14" fillId="0" borderId="0" xfId="0" applyNumberFormat="1" applyFont="1" applyFill="1" applyBorder="1" applyProtection="1">
      <protection locked="0"/>
    </xf>
    <xf numFmtId="170" fontId="14" fillId="0" borderId="0" xfId="0" applyNumberFormat="1" applyFont="1" applyFill="1" applyBorder="1" applyProtection="1"/>
    <xf numFmtId="173" fontId="13" fillId="0" borderId="22" xfId="0" applyNumberFormat="1" applyFont="1" applyFill="1" applyBorder="1" applyProtection="1"/>
    <xf numFmtId="9" fontId="13" fillId="0" borderId="24" xfId="42" applyFont="1" applyFill="1" applyBorder="1" applyAlignment="1">
      <alignment horizontal="center"/>
    </xf>
    <xf numFmtId="173" fontId="13" fillId="0" borderId="50" xfId="0" applyNumberFormat="1" applyFont="1" applyFill="1" applyBorder="1"/>
    <xf numFmtId="173" fontId="13" fillId="0" borderId="58" xfId="0" applyNumberFormat="1" applyFont="1" applyFill="1" applyBorder="1"/>
    <xf numFmtId="173" fontId="13" fillId="0" borderId="46" xfId="0" applyNumberFormat="1" applyFont="1" applyFill="1" applyBorder="1" applyProtection="1"/>
    <xf numFmtId="173" fontId="12" fillId="0" borderId="46" xfId="0" applyNumberFormat="1" applyFont="1" applyFill="1" applyBorder="1" applyProtection="1"/>
    <xf numFmtId="173" fontId="12" fillId="0" borderId="46" xfId="29" applyNumberFormat="1" applyFont="1" applyFill="1" applyBorder="1" applyProtection="1"/>
    <xf numFmtId="173" fontId="13" fillId="0" borderId="55" xfId="0" applyNumberFormat="1" applyFont="1" applyFill="1" applyBorder="1"/>
    <xf numFmtId="173" fontId="12" fillId="0" borderId="13" xfId="0" applyNumberFormat="1" applyFont="1" applyFill="1" applyBorder="1"/>
    <xf numFmtId="0" fontId="0" fillId="0" borderId="0" xfId="0" applyProtection="1"/>
    <xf numFmtId="0" fontId="9" fillId="29" borderId="72" xfId="0" applyFont="1" applyFill="1" applyBorder="1" applyAlignment="1" applyProtection="1">
      <alignment horizontal="center"/>
    </xf>
    <xf numFmtId="173" fontId="12" fillId="0" borderId="10" xfId="0" applyNumberFormat="1" applyFont="1" applyFill="1" applyBorder="1" applyProtection="1"/>
    <xf numFmtId="173" fontId="12" fillId="0" borderId="26" xfId="0" applyNumberFormat="1" applyFont="1" applyFill="1" applyBorder="1" applyProtection="1"/>
    <xf numFmtId="173" fontId="12" fillId="0" borderId="37" xfId="0" applyNumberFormat="1" applyFont="1" applyFill="1" applyBorder="1" applyProtection="1"/>
    <xf numFmtId="173" fontId="12" fillId="0" borderId="54" xfId="0" applyNumberFormat="1" applyFont="1" applyFill="1" applyBorder="1" applyProtection="1"/>
    <xf numFmtId="173" fontId="12" fillId="0" borderId="66" xfId="0" applyNumberFormat="1" applyFont="1" applyFill="1" applyBorder="1" applyProtection="1"/>
    <xf numFmtId="173" fontId="12" fillId="0" borderId="81" xfId="0" applyNumberFormat="1" applyFont="1" applyFill="1" applyBorder="1" applyProtection="1"/>
    <xf numFmtId="173" fontId="12" fillId="0" borderId="51" xfId="0" applyNumberFormat="1" applyFont="1" applyFill="1" applyBorder="1" applyProtection="1"/>
    <xf numFmtId="173" fontId="13" fillId="0" borderId="10" xfId="0" applyNumberFormat="1" applyFont="1" applyFill="1" applyBorder="1" applyAlignment="1" applyProtection="1">
      <alignment vertical="top"/>
    </xf>
    <xf numFmtId="173" fontId="13" fillId="0" borderId="26" xfId="0" applyNumberFormat="1" applyFont="1" applyFill="1" applyBorder="1" applyAlignment="1" applyProtection="1">
      <alignment vertical="top"/>
    </xf>
    <xf numFmtId="173" fontId="13" fillId="0" borderId="22" xfId="0" applyNumberFormat="1" applyFont="1" applyFill="1" applyBorder="1" applyAlignment="1" applyProtection="1">
      <alignment vertical="top"/>
    </xf>
    <xf numFmtId="173" fontId="13" fillId="0" borderId="37" xfId="0" applyNumberFormat="1" applyFont="1" applyFill="1" applyBorder="1" applyAlignment="1" applyProtection="1">
      <alignment vertical="top"/>
    </xf>
    <xf numFmtId="173" fontId="13" fillId="0" borderId="46" xfId="0" applyNumberFormat="1" applyFont="1" applyFill="1" applyBorder="1" applyAlignment="1" applyProtection="1">
      <alignment vertical="top"/>
    </xf>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3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67" xfId="0" applyNumberFormat="1" applyFont="1" applyFill="1" applyBorder="1" applyProtection="1"/>
    <xf numFmtId="173" fontId="13" fillId="0" borderId="45" xfId="0" applyNumberFormat="1" applyFont="1" applyFill="1" applyBorder="1" applyProtection="1"/>
    <xf numFmtId="173" fontId="12" fillId="0" borderId="45" xfId="0" applyNumberFormat="1" applyFont="1" applyFill="1" applyBorder="1" applyProtection="1"/>
    <xf numFmtId="173" fontId="12" fillId="0" borderId="45" xfId="28" applyNumberFormat="1" applyFont="1" applyFill="1" applyBorder="1" applyProtection="1"/>
    <xf numFmtId="173" fontId="12" fillId="0" borderId="22" xfId="28" applyNumberFormat="1" applyFont="1" applyFill="1" applyBorder="1" applyProtection="1"/>
    <xf numFmtId="173" fontId="12" fillId="0" borderId="46" xfId="28" applyNumberFormat="1" applyFont="1" applyFill="1" applyBorder="1" applyProtection="1"/>
    <xf numFmtId="9" fontId="12" fillId="0" borderId="46" xfId="42" applyFont="1" applyFill="1" applyBorder="1" applyAlignment="1" applyProtection="1">
      <alignment horizontal="center"/>
    </xf>
    <xf numFmtId="173" fontId="12" fillId="0" borderId="46" xfId="0" applyNumberFormat="1" applyFont="1" applyFill="1" applyBorder="1" applyAlignment="1" applyProtection="1">
      <alignment horizontal="center"/>
    </xf>
    <xf numFmtId="173" fontId="12" fillId="0" borderId="51" xfId="0" applyNumberFormat="1" applyFont="1" applyFill="1" applyBorder="1" applyAlignment="1" applyProtection="1">
      <alignment horizontal="center"/>
    </xf>
    <xf numFmtId="173" fontId="12" fillId="0" borderId="67" xfId="0" applyNumberFormat="1" applyFont="1" applyFill="1" applyBorder="1" applyProtection="1"/>
    <xf numFmtId="0" fontId="12" fillId="0" borderId="0" xfId="0" applyFont="1" applyFill="1" applyAlignment="1" applyProtection="1">
      <alignment horizontal="center"/>
    </xf>
    <xf numFmtId="166" fontId="12" fillId="0" borderId="0" xfId="28" applyNumberFormat="1" applyFont="1" applyFill="1" applyProtection="1"/>
    <xf numFmtId="0" fontId="0" fillId="28" borderId="0" xfId="0" applyFill="1" applyProtection="1">
      <protection locked="0"/>
    </xf>
    <xf numFmtId="0" fontId="19"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7" fillId="28" borderId="0" xfId="0" applyFont="1" applyFill="1" applyProtection="1">
      <protection locked="0"/>
    </xf>
    <xf numFmtId="0" fontId="40" fillId="0" borderId="14" xfId="0" applyFont="1" applyFill="1" applyBorder="1" applyAlignment="1" applyProtection="1">
      <alignment horizontal="left"/>
    </xf>
    <xf numFmtId="0" fontId="44" fillId="0" borderId="0" xfId="0" applyFont="1"/>
    <xf numFmtId="0" fontId="13" fillId="0" borderId="38" xfId="0" applyNumberFormat="1" applyFont="1" applyBorder="1" applyAlignment="1">
      <alignment horizontal="left"/>
    </xf>
    <xf numFmtId="0" fontId="45" fillId="0" borderId="0" xfId="0" applyFont="1" applyBorder="1" applyAlignment="1">
      <alignment horizontal="center"/>
    </xf>
    <xf numFmtId="166" fontId="16" fillId="0" borderId="0" xfId="28" applyNumberFormat="1" applyFont="1"/>
    <xf numFmtId="0" fontId="13" fillId="24" borderId="65" xfId="0" applyFont="1" applyFill="1" applyBorder="1" applyAlignment="1">
      <alignment horizontal="center" vertical="top" wrapText="1"/>
    </xf>
    <xf numFmtId="0" fontId="13" fillId="24" borderId="39" xfId="0" applyFont="1" applyFill="1" applyBorder="1" applyAlignment="1">
      <alignment horizontal="center" vertical="top" wrapText="1"/>
    </xf>
    <xf numFmtId="0" fontId="13" fillId="0" borderId="11" xfId="0" applyFont="1" applyFill="1" applyBorder="1" applyAlignment="1">
      <alignment horizontal="left" indent="1"/>
    </xf>
    <xf numFmtId="167" fontId="16" fillId="0" borderId="0" xfId="28" applyNumberFormat="1" applyFont="1"/>
    <xf numFmtId="0" fontId="16" fillId="0" borderId="0" xfId="0" applyFont="1" applyAlignment="1">
      <alignment horizontal="center"/>
    </xf>
    <xf numFmtId="0" fontId="43" fillId="0" borderId="26" xfId="0" applyFont="1" applyFill="1" applyBorder="1" applyAlignment="1">
      <alignment horizontal="left" vertical="top" wrapText="1" indent="3"/>
    </xf>
    <xf numFmtId="0" fontId="13" fillId="0" borderId="0" xfId="0" applyFont="1" applyFill="1" applyBorder="1" applyAlignment="1">
      <alignment horizontal="center"/>
    </xf>
    <xf numFmtId="0" fontId="12" fillId="0" borderId="0" xfId="0" applyFont="1" applyFill="1" applyAlignment="1">
      <alignment horizontal="right"/>
    </xf>
    <xf numFmtId="168" fontId="12" fillId="0" borderId="0" xfId="0" applyNumberFormat="1" applyFont="1" applyFill="1"/>
    <xf numFmtId="0" fontId="16" fillId="0" borderId="0" xfId="0" applyFont="1" applyFill="1" applyBorder="1" applyAlignment="1" applyProtection="1">
      <alignment horizontal="right"/>
    </xf>
    <xf numFmtId="169" fontId="13"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5" fillId="0" borderId="15" xfId="0" applyNumberFormat="1" applyFont="1" applyBorder="1"/>
    <xf numFmtId="0" fontId="16" fillId="0" borderId="0" xfId="0" applyNumberFormat="1" applyFont="1" applyBorder="1" applyProtection="1"/>
    <xf numFmtId="173" fontId="12" fillId="0" borderId="37" xfId="0" applyNumberFormat="1" applyFont="1" applyBorder="1" applyProtection="1"/>
    <xf numFmtId="173" fontId="12" fillId="0" borderId="26" xfId="0" applyNumberFormat="1" applyFont="1" applyBorder="1" applyProtection="1"/>
    <xf numFmtId="173" fontId="12" fillId="0" borderId="22" xfId="0" applyNumberFormat="1" applyFont="1" applyBorder="1" applyProtection="1"/>
    <xf numFmtId="173" fontId="12" fillId="0" borderId="0" xfId="0" applyNumberFormat="1" applyFont="1" applyBorder="1" applyProtection="1"/>
    <xf numFmtId="173" fontId="12" fillId="0" borderId="13" xfId="0" applyNumberFormat="1" applyFont="1" applyBorder="1" applyProtection="1"/>
    <xf numFmtId="173" fontId="12" fillId="0" borderId="23" xfId="0" applyNumberFormat="1" applyFont="1" applyBorder="1"/>
    <xf numFmtId="9" fontId="12" fillId="0" borderId="23" xfId="42" applyFont="1" applyBorder="1" applyAlignment="1">
      <alignment horizontal="center"/>
    </xf>
    <xf numFmtId="0" fontId="13" fillId="0" borderId="40" xfId="0" applyFont="1" applyBorder="1" applyAlignment="1">
      <alignment horizontal="left"/>
    </xf>
    <xf numFmtId="0" fontId="12" fillId="0" borderId="43" xfId="0" applyNumberFormat="1" applyFont="1" applyBorder="1" applyAlignment="1" applyProtection="1">
      <alignment horizontal="center"/>
      <protection locked="0"/>
    </xf>
    <xf numFmtId="9" fontId="13" fillId="0" borderId="22" xfId="42" applyFont="1" applyFill="1" applyBorder="1" applyAlignment="1">
      <alignment horizontal="center"/>
    </xf>
    <xf numFmtId="169" fontId="13" fillId="25" borderId="29" xfId="42" applyNumberFormat="1" applyFont="1" applyFill="1" applyBorder="1" applyAlignment="1">
      <alignment horizontal="center" vertical="top" wrapText="1"/>
    </xf>
    <xf numFmtId="169" fontId="13" fillId="0" borderId="22" xfId="0" applyNumberFormat="1" applyFont="1" applyBorder="1" applyAlignment="1">
      <alignment horizontal="center"/>
    </xf>
    <xf numFmtId="169" fontId="12" fillId="0" borderId="22" xfId="42" applyNumberFormat="1" applyFont="1" applyBorder="1" applyAlignment="1">
      <alignment horizontal="center"/>
    </xf>
    <xf numFmtId="169" fontId="13" fillId="0" borderId="31" xfId="0" applyNumberFormat="1" applyFont="1" applyBorder="1"/>
    <xf numFmtId="169" fontId="12" fillId="0" borderId="22" xfId="0" applyNumberFormat="1" applyFont="1" applyBorder="1"/>
    <xf numFmtId="169" fontId="13" fillId="0" borderId="43" xfId="42" applyNumberFormat="1" applyFont="1" applyBorder="1" applyAlignment="1">
      <alignment horizontal="center"/>
    </xf>
    <xf numFmtId="169" fontId="13" fillId="0" borderId="29" xfId="42" applyNumberFormat="1" applyFont="1" applyBorder="1" applyAlignment="1">
      <alignment horizontal="center"/>
    </xf>
    <xf numFmtId="173" fontId="13" fillId="0" borderId="47" xfId="42" applyNumberFormat="1" applyFont="1" applyFill="1" applyBorder="1"/>
    <xf numFmtId="0" fontId="8" fillId="32" borderId="39" xfId="0" applyFont="1" applyFill="1" applyBorder="1" applyAlignment="1" applyProtection="1">
      <alignment horizontal="center"/>
      <protection locked="0"/>
    </xf>
    <xf numFmtId="17" fontId="8" fillId="32" borderId="12" xfId="0" quotePrefix="1" applyNumberFormat="1" applyFont="1" applyFill="1" applyBorder="1" applyProtection="1">
      <protection locked="0"/>
    </xf>
    <xf numFmtId="0" fontId="8" fillId="32" borderId="12" xfId="0" applyFont="1" applyFill="1" applyBorder="1" applyProtection="1">
      <protection locked="0"/>
    </xf>
    <xf numFmtId="0" fontId="8" fillId="32" borderId="65" xfId="0" applyFont="1" applyFill="1" applyBorder="1" applyProtection="1">
      <protection locked="0"/>
    </xf>
    <xf numFmtId="0" fontId="8" fillId="32" borderId="10" xfId="0" applyFont="1" applyFill="1" applyBorder="1" applyAlignment="1" applyProtection="1">
      <alignment horizontal="center"/>
      <protection locked="0"/>
    </xf>
    <xf numFmtId="0" fontId="8" fillId="32" borderId="0" xfId="0" applyFont="1" applyFill="1" applyBorder="1" applyProtection="1">
      <protection locked="0"/>
    </xf>
    <xf numFmtId="0" fontId="8" fillId="32" borderId="13" xfId="0" applyFont="1" applyFill="1" applyBorder="1" applyProtection="1">
      <protection locked="0"/>
    </xf>
    <xf numFmtId="0" fontId="8" fillId="32" borderId="13" xfId="0" applyFont="1" applyFill="1" applyBorder="1" applyAlignment="1" applyProtection="1">
      <alignment horizontal="center"/>
      <protection locked="0"/>
    </xf>
    <xf numFmtId="0" fontId="9" fillId="32" borderId="72" xfId="0" applyFont="1" applyFill="1" applyBorder="1" applyAlignment="1" applyProtection="1">
      <alignment horizontal="center"/>
      <protection locked="0"/>
    </xf>
    <xf numFmtId="0" fontId="8" fillId="32" borderId="0" xfId="0" applyFont="1" applyFill="1" applyAlignment="1" applyProtection="1">
      <alignment horizontal="center"/>
      <protection locked="0"/>
    </xf>
    <xf numFmtId="0" fontId="8" fillId="32" borderId="0" xfId="0" applyFont="1" applyFill="1" applyProtection="1">
      <protection locked="0"/>
    </xf>
    <xf numFmtId="0" fontId="8" fillId="32" borderId="0" xfId="0" applyFont="1" applyFill="1" applyAlignment="1" applyProtection="1">
      <alignment horizontal="left"/>
      <protection locked="0"/>
    </xf>
    <xf numFmtId="173" fontId="12" fillId="32" borderId="22" xfId="0" applyNumberFormat="1" applyFont="1" applyFill="1" applyBorder="1" applyProtection="1">
      <protection locked="0"/>
    </xf>
    <xf numFmtId="173" fontId="12" fillId="32" borderId="43" xfId="0" applyNumberFormat="1" applyFont="1" applyFill="1" applyBorder="1" applyProtection="1">
      <protection locked="0"/>
    </xf>
    <xf numFmtId="173" fontId="12" fillId="32" borderId="46" xfId="0" applyNumberFormat="1" applyFont="1" applyFill="1" applyBorder="1" applyProtection="1">
      <protection locked="0"/>
    </xf>
    <xf numFmtId="173" fontId="12" fillId="32" borderId="49"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9" xfId="0" applyNumberFormat="1" applyFont="1" applyFill="1" applyBorder="1" applyProtection="1">
      <protection locked="0"/>
    </xf>
    <xf numFmtId="173" fontId="12" fillId="32" borderId="37" xfId="0" applyNumberFormat="1" applyFont="1" applyFill="1" applyBorder="1" applyAlignment="1" applyProtection="1">
      <alignment horizontal="right"/>
      <protection locked="0"/>
    </xf>
    <xf numFmtId="173" fontId="12" fillId="32" borderId="26" xfId="0" applyNumberFormat="1" applyFont="1" applyFill="1" applyBorder="1" applyAlignment="1" applyProtection="1">
      <alignment horizontal="right"/>
      <protection locked="0"/>
    </xf>
    <xf numFmtId="173" fontId="12" fillId="32" borderId="22" xfId="0" applyNumberFormat="1" applyFont="1" applyFill="1" applyBorder="1" applyAlignment="1" applyProtection="1">
      <alignment horizontal="right"/>
      <protection locked="0"/>
    </xf>
    <xf numFmtId="173" fontId="12" fillId="32" borderId="0" xfId="0" applyNumberFormat="1" applyFont="1" applyFill="1" applyBorder="1" applyAlignment="1" applyProtection="1">
      <alignment horizontal="right"/>
      <protection locked="0"/>
    </xf>
    <xf numFmtId="173" fontId="12" fillId="32" borderId="13" xfId="0" applyNumberFormat="1" applyFont="1" applyFill="1" applyBorder="1" applyAlignment="1" applyProtection="1">
      <alignment horizontal="right"/>
      <protection locked="0"/>
    </xf>
    <xf numFmtId="173" fontId="12" fillId="32" borderId="37" xfId="0" applyNumberFormat="1" applyFont="1" applyFill="1" applyBorder="1" applyProtection="1">
      <protection locked="0"/>
    </xf>
    <xf numFmtId="173" fontId="12" fillId="32" borderId="26" xfId="0" applyNumberFormat="1" applyFont="1" applyFill="1" applyBorder="1" applyProtection="1">
      <protection locked="0"/>
    </xf>
    <xf numFmtId="173" fontId="12" fillId="32" borderId="0" xfId="0" applyNumberFormat="1" applyFont="1" applyFill="1" applyBorder="1" applyProtection="1">
      <protection locked="0"/>
    </xf>
    <xf numFmtId="173" fontId="12" fillId="32" borderId="13" xfId="0" applyNumberFormat="1" applyFont="1" applyFill="1" applyBorder="1" applyProtection="1">
      <protection locked="0"/>
    </xf>
    <xf numFmtId="173" fontId="12" fillId="32" borderId="10" xfId="0" applyNumberFormat="1" applyFont="1" applyFill="1" applyBorder="1" applyProtection="1">
      <protection locked="0"/>
    </xf>
    <xf numFmtId="173" fontId="12" fillId="32" borderId="54" xfId="0" applyNumberFormat="1" applyFont="1" applyFill="1" applyBorder="1" applyProtection="1">
      <protection locked="0"/>
    </xf>
    <xf numFmtId="173" fontId="12" fillId="32" borderId="66" xfId="0" applyNumberFormat="1" applyFont="1" applyFill="1" applyBorder="1" applyProtection="1">
      <protection locked="0"/>
    </xf>
    <xf numFmtId="173" fontId="12" fillId="32" borderId="36" xfId="0" applyNumberFormat="1" applyFont="1" applyFill="1" applyBorder="1" applyProtection="1">
      <protection locked="0"/>
    </xf>
    <xf numFmtId="173" fontId="12" fillId="32" borderId="51" xfId="0" applyNumberFormat="1" applyFont="1" applyFill="1" applyBorder="1" applyProtection="1">
      <protection locked="0"/>
    </xf>
    <xf numFmtId="173" fontId="12" fillId="32" borderId="45" xfId="0" applyNumberFormat="1" applyFont="1" applyFill="1" applyBorder="1" applyProtection="1">
      <protection locked="0"/>
    </xf>
    <xf numFmtId="173" fontId="12" fillId="32" borderId="46" xfId="28" applyNumberFormat="1" applyFont="1" applyFill="1" applyBorder="1" applyProtection="1">
      <protection locked="0"/>
    </xf>
    <xf numFmtId="173" fontId="12" fillId="32" borderId="45" xfId="28" applyNumberFormat="1" applyFont="1" applyFill="1" applyBorder="1" applyProtection="1">
      <protection locked="0"/>
    </xf>
    <xf numFmtId="173" fontId="12" fillId="32" borderId="22" xfId="28" applyNumberFormat="1" applyFont="1" applyFill="1" applyBorder="1" applyProtection="1">
      <protection locked="0"/>
    </xf>
    <xf numFmtId="173" fontId="12" fillId="32" borderId="62" xfId="0" applyNumberFormat="1" applyFont="1" applyFill="1" applyBorder="1" applyProtection="1">
      <protection locked="0"/>
    </xf>
    <xf numFmtId="0" fontId="12" fillId="32" borderId="10" xfId="0" applyFont="1" applyFill="1" applyBorder="1" applyProtection="1">
      <protection locked="0"/>
    </xf>
    <xf numFmtId="0" fontId="12" fillId="32" borderId="19" xfId="0" applyFont="1" applyFill="1" applyBorder="1" applyProtection="1">
      <protection locked="0"/>
    </xf>
    <xf numFmtId="173" fontId="12" fillId="32" borderId="19" xfId="0" applyNumberFormat="1" applyFont="1" applyFill="1" applyBorder="1" applyProtection="1">
      <protection locked="0"/>
    </xf>
    <xf numFmtId="169" fontId="12" fillId="32" borderId="10" xfId="42" applyNumberFormat="1" applyFont="1" applyFill="1" applyBorder="1" applyAlignment="1" applyProtection="1">
      <alignment horizontal="center" vertical="top" wrapText="1"/>
      <protection locked="0"/>
    </xf>
    <xf numFmtId="169" fontId="12" fillId="32" borderId="45" xfId="42" applyNumberFormat="1" applyFont="1" applyFill="1" applyBorder="1" applyAlignment="1" applyProtection="1">
      <alignment horizontal="center" vertical="top" wrapText="1"/>
      <protection locked="0"/>
    </xf>
    <xf numFmtId="169" fontId="12" fillId="32" borderId="22" xfId="42" applyNumberFormat="1" applyFont="1" applyFill="1" applyBorder="1" applyAlignment="1" applyProtection="1">
      <alignment horizontal="center" vertical="top" wrapText="1"/>
      <protection locked="0"/>
    </xf>
    <xf numFmtId="169" fontId="12" fillId="32" borderId="46" xfId="42" applyNumberFormat="1" applyFont="1" applyFill="1" applyBorder="1" applyAlignment="1" applyProtection="1">
      <alignment horizontal="center" vertical="top" wrapText="1"/>
      <protection locked="0"/>
    </xf>
    <xf numFmtId="169" fontId="12" fillId="32" borderId="19" xfId="42" applyNumberFormat="1" applyFont="1" applyFill="1" applyBorder="1" applyAlignment="1" applyProtection="1">
      <alignment horizontal="center" vertical="top" wrapText="1"/>
      <protection locked="0"/>
    </xf>
    <xf numFmtId="169" fontId="12" fillId="32" borderId="58" xfId="42" applyNumberFormat="1" applyFont="1" applyFill="1" applyBorder="1" applyAlignment="1" applyProtection="1">
      <alignment horizontal="center" vertical="top" wrapText="1"/>
      <protection locked="0"/>
    </xf>
    <xf numFmtId="169" fontId="12" fillId="32" borderId="24" xfId="42" applyNumberFormat="1" applyFont="1" applyFill="1" applyBorder="1" applyAlignment="1" applyProtection="1">
      <alignment horizontal="center" vertical="top" wrapText="1"/>
      <protection locked="0"/>
    </xf>
    <xf numFmtId="169" fontId="12" fillId="32" borderId="50" xfId="42" applyNumberFormat="1" applyFont="1" applyFill="1" applyBorder="1" applyAlignment="1" applyProtection="1">
      <alignment horizontal="center" vertical="top" wrapText="1"/>
      <protection locked="0"/>
    </xf>
    <xf numFmtId="170" fontId="12" fillId="32" borderId="0" xfId="0" applyNumberFormat="1" applyFont="1" applyFill="1" applyBorder="1" applyProtection="1">
      <protection locked="0"/>
    </xf>
    <xf numFmtId="170" fontId="12" fillId="32" borderId="13" xfId="0" applyNumberFormat="1" applyFont="1" applyFill="1" applyBorder="1" applyProtection="1">
      <protection locked="0"/>
    </xf>
    <xf numFmtId="170" fontId="12" fillId="32" borderId="0" xfId="28" applyNumberFormat="1" applyFont="1" applyFill="1" applyBorder="1" applyProtection="1">
      <protection locked="0"/>
    </xf>
    <xf numFmtId="170" fontId="12" fillId="32" borderId="13" xfId="28" applyNumberFormat="1" applyFont="1" applyFill="1" applyBorder="1" applyProtection="1">
      <protection locked="0"/>
    </xf>
    <xf numFmtId="170" fontId="12" fillId="32" borderId="14" xfId="28" applyNumberFormat="1" applyFont="1" applyFill="1" applyBorder="1" applyProtection="1">
      <protection locked="0"/>
    </xf>
    <xf numFmtId="170" fontId="12" fillId="32" borderId="14" xfId="0" applyNumberFormat="1" applyFont="1" applyFill="1" applyBorder="1" applyProtection="1">
      <protection locked="0"/>
    </xf>
    <xf numFmtId="170" fontId="12" fillId="32" borderId="17" xfId="0" applyNumberFormat="1" applyFont="1" applyFill="1" applyBorder="1" applyProtection="1">
      <protection locked="0"/>
    </xf>
    <xf numFmtId="0" fontId="12" fillId="32" borderId="11" xfId="0" applyFont="1" applyFill="1" applyBorder="1" applyProtection="1">
      <protection locked="0"/>
    </xf>
    <xf numFmtId="0" fontId="12" fillId="32" borderId="11" xfId="0" applyNumberFormat="1" applyFont="1" applyFill="1" applyBorder="1" applyAlignment="1" applyProtection="1">
      <alignment horizontal="left" indent="1"/>
      <protection locked="0"/>
    </xf>
    <xf numFmtId="0" fontId="12" fillId="32" borderId="11" xfId="0" applyFont="1" applyFill="1" applyBorder="1" applyAlignment="1" applyProtection="1">
      <alignment horizontal="left" indent="2"/>
      <protection locked="0"/>
    </xf>
    <xf numFmtId="173" fontId="12" fillId="32" borderId="67" xfId="0" applyNumberFormat="1" applyFont="1" applyFill="1" applyBorder="1" applyProtection="1">
      <protection locked="0"/>
    </xf>
    <xf numFmtId="173" fontId="12" fillId="32" borderId="52" xfId="0" applyNumberFormat="1" applyFont="1" applyFill="1" applyBorder="1" applyProtection="1">
      <protection locked="0"/>
    </xf>
    <xf numFmtId="0" fontId="16" fillId="32" borderId="11" xfId="0" applyFont="1" applyFill="1" applyBorder="1" applyAlignment="1" applyProtection="1">
      <alignment horizontal="left" indent="2"/>
      <protection locked="0"/>
    </xf>
    <xf numFmtId="0" fontId="12" fillId="32" borderId="0" xfId="0" applyFont="1" applyFill="1" applyProtection="1">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6" fillId="32" borderId="0" xfId="0" applyFont="1" applyFill="1" applyBorder="1" applyAlignment="1" applyProtection="1">
      <alignment horizontal="left" indent="2"/>
      <protection locked="0"/>
    </xf>
    <xf numFmtId="173" fontId="13" fillId="32" borderId="10"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22" xfId="0" applyNumberFormat="1" applyFont="1" applyFill="1" applyBorder="1" applyProtection="1">
      <protection locked="0"/>
    </xf>
    <xf numFmtId="173" fontId="13" fillId="32" borderId="46" xfId="0" applyNumberFormat="1" applyFont="1" applyFill="1" applyBorder="1" applyProtection="1">
      <protection locked="0"/>
    </xf>
    <xf numFmtId="0" fontId="13" fillId="32" borderId="62" xfId="0" applyFont="1" applyFill="1" applyBorder="1" applyAlignment="1" applyProtection="1">
      <alignment horizontal="center" vertical="center"/>
      <protection locked="0"/>
    </xf>
    <xf numFmtId="0" fontId="13" fillId="32" borderId="36" xfId="0" applyFont="1" applyFill="1" applyBorder="1" applyAlignment="1" applyProtection="1">
      <alignment horizontal="center" vertical="center"/>
      <protection locked="0"/>
    </xf>
    <xf numFmtId="0" fontId="13" fillId="32" borderId="81" xfId="0" applyFont="1" applyFill="1" applyBorder="1" applyAlignment="1" applyProtection="1">
      <alignment horizontal="center" vertical="center"/>
      <protection locked="0"/>
    </xf>
    <xf numFmtId="0" fontId="16" fillId="32" borderId="11" xfId="0" applyFont="1" applyFill="1" applyBorder="1" applyProtection="1">
      <protection locked="0"/>
    </xf>
    <xf numFmtId="12" fontId="12" fillId="32" borderId="82" xfId="0" applyNumberFormat="1" applyFont="1" applyFill="1" applyBorder="1" applyProtection="1">
      <protection locked="0"/>
    </xf>
    <xf numFmtId="173" fontId="12" fillId="0" borderId="72" xfId="0" applyNumberFormat="1" applyFont="1" applyBorder="1"/>
    <xf numFmtId="0" fontId="52" fillId="33" borderId="0" xfId="0" applyFont="1" applyFill="1" applyProtection="1"/>
    <xf numFmtId="0" fontId="43" fillId="33" borderId="0" xfId="0" applyFont="1" applyFill="1" applyProtection="1">
      <protection locked="0"/>
    </xf>
    <xf numFmtId="0" fontId="52" fillId="33" borderId="0" xfId="0" applyFont="1" applyFill="1" applyAlignment="1" applyProtection="1">
      <alignment horizontal="right"/>
    </xf>
    <xf numFmtId="0" fontId="52" fillId="33" borderId="11" xfId="0" applyFont="1" applyFill="1" applyBorder="1" applyAlignment="1" applyProtection="1">
      <alignment horizontal="left" indent="1"/>
      <protection locked="0"/>
    </xf>
    <xf numFmtId="0" fontId="43" fillId="32" borderId="0" xfId="0" applyFont="1" applyFill="1" applyAlignment="1" applyProtection="1">
      <alignment horizontal="left" indent="1"/>
      <protection locked="0"/>
    </xf>
    <xf numFmtId="49" fontId="52" fillId="33" borderId="0" xfId="0" applyNumberFormat="1" applyFont="1" applyFill="1" applyAlignment="1" applyProtection="1">
      <alignment horizontal="right"/>
    </xf>
    <xf numFmtId="0" fontId="46" fillId="32" borderId="72" xfId="0" applyFont="1" applyFill="1" applyBorder="1" applyProtection="1">
      <protection locked="0"/>
    </xf>
    <xf numFmtId="49" fontId="53" fillId="33" borderId="0" xfId="0" applyNumberFormat="1" applyFont="1" applyFill="1" applyAlignment="1" applyProtection="1">
      <alignment horizontal="right"/>
    </xf>
    <xf numFmtId="0" fontId="53" fillId="33" borderId="0" xfId="0" applyFont="1" applyFill="1" applyAlignment="1" applyProtection="1">
      <alignment horizontal="right"/>
    </xf>
    <xf numFmtId="0" fontId="52" fillId="33" borderId="0" xfId="0" applyFont="1" applyFill="1" applyProtection="1">
      <protection locked="0"/>
    </xf>
    <xf numFmtId="0" fontId="54" fillId="33" borderId="0" xfId="0" applyFont="1" applyFill="1" applyProtection="1"/>
    <xf numFmtId="0" fontId="47" fillId="33" borderId="0" xfId="0" applyFont="1" applyFill="1" applyProtection="1"/>
    <xf numFmtId="0" fontId="55" fillId="33" borderId="0" xfId="0" applyFont="1" applyFill="1" applyAlignment="1" applyProtection="1">
      <alignment horizontal="right"/>
    </xf>
    <xf numFmtId="0" fontId="12" fillId="0" borderId="26" xfId="0" applyFont="1" applyFill="1" applyBorder="1" applyAlignment="1" applyProtection="1">
      <alignment horizontal="left" indent="1"/>
    </xf>
    <xf numFmtId="0" fontId="13" fillId="0" borderId="26" xfId="0" applyFont="1" applyFill="1" applyBorder="1" applyAlignment="1" applyProtection="1">
      <alignment horizontal="left" indent="1"/>
    </xf>
    <xf numFmtId="0" fontId="22" fillId="0" borderId="17" xfId="0" applyFont="1" applyBorder="1" applyProtection="1">
      <protection hidden="1"/>
    </xf>
    <xf numFmtId="0" fontId="22" fillId="0" borderId="0" xfId="0" applyFont="1" applyProtection="1">
      <protection hidden="1"/>
    </xf>
    <xf numFmtId="0" fontId="22" fillId="0" borderId="0" xfId="0" applyFont="1" applyProtection="1"/>
    <xf numFmtId="0" fontId="22" fillId="0" borderId="0" xfId="0" applyFont="1" applyBorder="1" applyProtection="1">
      <protection hidden="1"/>
    </xf>
    <xf numFmtId="0" fontId="22" fillId="0" borderId="13" xfId="0" applyFont="1" applyBorder="1" applyProtection="1">
      <protection hidden="1"/>
    </xf>
    <xf numFmtId="0" fontId="48" fillId="0" borderId="0" xfId="0" applyFont="1" applyBorder="1" applyProtection="1">
      <protection hidden="1"/>
    </xf>
    <xf numFmtId="0" fontId="49" fillId="0" borderId="13" xfId="0" applyFont="1" applyBorder="1" applyProtection="1">
      <protection hidden="1"/>
    </xf>
    <xf numFmtId="0" fontId="11" fillId="0" borderId="83" xfId="0" applyFont="1" applyBorder="1" applyAlignment="1" applyProtection="1">
      <alignment horizontal="left" vertical="top" wrapText="1"/>
    </xf>
    <xf numFmtId="0" fontId="11" fillId="32" borderId="84" xfId="0" applyFont="1" applyFill="1" applyBorder="1" applyAlignment="1" applyProtection="1">
      <alignment horizontal="justify" vertical="center" wrapText="1"/>
      <protection locked="0"/>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0" xfId="0" quotePrefix="1" applyNumberFormat="1" applyFont="1" applyProtection="1"/>
    <xf numFmtId="0" fontId="22" fillId="0" borderId="0" xfId="0" applyFont="1" applyAlignment="1">
      <alignment wrapText="1"/>
    </xf>
    <xf numFmtId="0" fontId="22" fillId="0" borderId="0" xfId="0" applyNumberFormat="1" applyFont="1" applyProtection="1"/>
    <xf numFmtId="0" fontId="11" fillId="0" borderId="16" xfId="0" applyFont="1" applyFill="1" applyBorder="1" applyAlignment="1" applyProtection="1">
      <alignment horizontal="left" vertical="top" wrapText="1"/>
    </xf>
    <xf numFmtId="0" fontId="11" fillId="0" borderId="17" xfId="0" applyFont="1" applyFill="1" applyBorder="1" applyAlignment="1" applyProtection="1">
      <alignment horizontal="justify" vertical="center" wrapText="1"/>
      <protection locked="0"/>
    </xf>
    <xf numFmtId="0" fontId="22" fillId="0" borderId="0" xfId="0" applyFont="1" applyAlignment="1" applyProtection="1">
      <alignment vertical="center"/>
    </xf>
    <xf numFmtId="0" fontId="11" fillId="0" borderId="15" xfId="0" applyFont="1" applyBorder="1" applyAlignment="1">
      <alignment vertical="center"/>
    </xf>
    <xf numFmtId="0" fontId="22" fillId="32" borderId="65" xfId="0" applyFont="1" applyFill="1" applyBorder="1" applyAlignment="1" applyProtection="1">
      <alignment vertical="center"/>
      <protection locked="0"/>
    </xf>
    <xf numFmtId="0" fontId="16" fillId="0" borderId="0" xfId="36" applyFont="1" applyAlignment="1" applyProtection="1"/>
    <xf numFmtId="0" fontId="22" fillId="0" borderId="0" xfId="0" applyFont="1" applyBorder="1" applyAlignment="1">
      <alignment vertical="center"/>
    </xf>
    <xf numFmtId="0" fontId="22" fillId="0" borderId="0" xfId="0" applyFont="1" applyAlignment="1" applyProtection="1">
      <alignment vertical="center"/>
      <protection hidden="1"/>
    </xf>
    <xf numFmtId="0" fontId="22" fillId="0" borderId="0" xfId="0" applyFont="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11" fillId="0" borderId="11"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0" xfId="0" applyFont="1" applyBorder="1" applyAlignment="1" applyProtection="1">
      <alignment horizontal="justify" vertical="top" wrapText="1"/>
    </xf>
    <xf numFmtId="0" fontId="11" fillId="0" borderId="16" xfId="0" applyFont="1" applyFill="1" applyBorder="1" applyAlignment="1" applyProtection="1">
      <alignment horizontal="justify" vertical="center" wrapText="1"/>
    </xf>
    <xf numFmtId="0" fontId="11" fillId="0" borderId="17" xfId="0" applyFont="1" applyFill="1" applyBorder="1" applyAlignment="1" applyProtection="1">
      <alignment horizontal="justify" vertical="center" wrapText="1"/>
    </xf>
    <xf numFmtId="0" fontId="11" fillId="0" borderId="11" xfId="0" applyFont="1" applyFill="1" applyBorder="1" applyAlignment="1" applyProtection="1">
      <alignment horizontal="left" vertical="top" wrapText="1"/>
    </xf>
    <xf numFmtId="0" fontId="22" fillId="0" borderId="0" xfId="36" applyFont="1" applyBorder="1" applyAlignment="1" applyProtection="1"/>
    <xf numFmtId="0" fontId="11" fillId="0" borderId="0" xfId="0" applyFont="1" applyFill="1" applyBorder="1" applyAlignment="1" applyProtection="1">
      <alignment horizontal="left" vertical="top" wrapText="1"/>
      <protection locked="0"/>
    </xf>
    <xf numFmtId="0" fontId="11" fillId="0" borderId="16" xfId="0" applyFont="1" applyFill="1" applyBorder="1" applyAlignment="1" applyProtection="1">
      <alignment horizontal="justify" vertical="top" wrapText="1"/>
    </xf>
    <xf numFmtId="0" fontId="11" fillId="0" borderId="17" xfId="0" applyFont="1" applyBorder="1" applyAlignment="1" applyProtection="1">
      <alignment horizontal="justify" vertical="top" wrapText="1"/>
    </xf>
    <xf numFmtId="0" fontId="11" fillId="32"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justify" vertical="top" wrapText="1"/>
    </xf>
    <xf numFmtId="0" fontId="22" fillId="0" borderId="16" xfId="0" applyFont="1" applyBorder="1" applyAlignment="1" applyProtection="1">
      <alignment horizontal="justify" vertical="top" wrapText="1"/>
    </xf>
    <xf numFmtId="0" fontId="22" fillId="0" borderId="17" xfId="0" applyFont="1" applyBorder="1" applyAlignment="1" applyProtection="1">
      <alignment horizontal="justify" vertical="top" wrapText="1"/>
    </xf>
    <xf numFmtId="0" fontId="11" fillId="0" borderId="0" xfId="0" applyFont="1" applyAlignment="1" applyProtection="1">
      <alignment vertical="center"/>
    </xf>
    <xf numFmtId="0" fontId="11" fillId="0" borderId="0" xfId="0" applyFont="1" applyProtection="1"/>
    <xf numFmtId="0" fontId="11" fillId="0" borderId="83" xfId="0" applyFont="1" applyBorder="1" applyAlignment="1" applyProtection="1">
      <alignment horizontal="justify" wrapText="1"/>
    </xf>
    <xf numFmtId="0" fontId="22" fillId="0" borderId="84" xfId="0" applyFont="1" applyBorder="1" applyAlignment="1" applyProtection="1">
      <alignment horizontal="justify" wrapText="1"/>
    </xf>
    <xf numFmtId="0" fontId="22" fillId="0" borderId="68" xfId="0" applyFont="1" applyBorder="1" applyAlignment="1" applyProtection="1">
      <alignment horizontal="justify" wrapText="1"/>
    </xf>
    <xf numFmtId="0" fontId="22" fillId="32" borderId="18" xfId="0" applyFont="1" applyFill="1" applyBorder="1" applyAlignment="1" applyProtection="1">
      <alignment horizontal="justify" wrapText="1"/>
      <protection locked="0"/>
    </xf>
    <xf numFmtId="0" fontId="22" fillId="0" borderId="15" xfId="0" applyFont="1" applyBorder="1" applyAlignment="1" applyProtection="1">
      <alignment horizontal="justify" wrapText="1"/>
    </xf>
    <xf numFmtId="0" fontId="22" fillId="0" borderId="16" xfId="0" applyFont="1" applyFill="1" applyBorder="1" applyAlignment="1" applyProtection="1">
      <alignment horizontal="justify" wrapText="1"/>
    </xf>
    <xf numFmtId="176" fontId="22" fillId="0" borderId="17" xfId="0" applyNumberFormat="1" applyFont="1" applyFill="1" applyBorder="1" applyAlignment="1" applyProtection="1">
      <alignment horizontal="justify" wrapText="1"/>
      <protection locked="0"/>
    </xf>
    <xf numFmtId="0" fontId="11" fillId="0" borderId="68" xfId="0" applyFont="1" applyBorder="1" applyAlignment="1" applyProtection="1">
      <alignment horizontal="justify" wrapText="1"/>
    </xf>
    <xf numFmtId="0" fontId="22" fillId="0" borderId="18" xfId="0" applyFont="1" applyBorder="1" applyAlignment="1" applyProtection="1">
      <alignment horizontal="justify" wrapText="1"/>
    </xf>
    <xf numFmtId="0" fontId="22" fillId="0" borderId="0" xfId="0" applyFont="1" applyFill="1" applyProtection="1">
      <protection hidden="1"/>
    </xf>
    <xf numFmtId="0" fontId="22" fillId="0" borderId="18" xfId="0" applyFont="1" applyFill="1" applyBorder="1" applyAlignment="1" applyProtection="1">
      <alignment horizontal="justify" wrapText="1"/>
    </xf>
    <xf numFmtId="0" fontId="22" fillId="32" borderId="65" xfId="0" applyFont="1" applyFill="1" applyBorder="1" applyAlignment="1" applyProtection="1">
      <alignment horizontal="justify" wrapText="1"/>
      <protection locked="0"/>
    </xf>
    <xf numFmtId="0" fontId="22" fillId="0" borderId="17" xfId="0" applyFont="1" applyFill="1" applyBorder="1" applyAlignment="1" applyProtection="1">
      <alignment horizontal="justify" wrapText="1"/>
      <protection locked="0"/>
    </xf>
    <xf numFmtId="0" fontId="22" fillId="32" borderId="18" xfId="0" applyNumberFormat="1" applyFont="1" applyFill="1" applyBorder="1" applyAlignment="1" applyProtection="1">
      <alignment horizontal="justify" wrapText="1"/>
      <protection locked="0"/>
    </xf>
    <xf numFmtId="0" fontId="22" fillId="0" borderId="11" xfId="0" applyFont="1" applyBorder="1" applyAlignment="1" applyProtection="1">
      <alignment horizontal="justify" wrapText="1"/>
    </xf>
    <xf numFmtId="0" fontId="11" fillId="0" borderId="0" xfId="0" applyFont="1" applyBorder="1" applyProtection="1"/>
    <xf numFmtId="0" fontId="11" fillId="0" borderId="0" xfId="0" quotePrefix="1" applyNumberFormat="1" applyFont="1" applyBorder="1" applyProtection="1"/>
    <xf numFmtId="0" fontId="22" fillId="0" borderId="0" xfId="0" applyFont="1" applyBorder="1" applyProtection="1"/>
    <xf numFmtId="0" fontId="11" fillId="0" borderId="68" xfId="0" applyFont="1" applyBorder="1" applyAlignment="1" applyProtection="1">
      <alignment horizontal="left"/>
    </xf>
    <xf numFmtId="0" fontId="22" fillId="0" borderId="0" xfId="0" applyFont="1" applyBorder="1"/>
    <xf numFmtId="0" fontId="16" fillId="0" borderId="0" xfId="0" applyFont="1" applyProtection="1"/>
    <xf numFmtId="0" fontId="16" fillId="0" borderId="0" xfId="0" applyFont="1" applyProtection="1">
      <protection hidden="1"/>
    </xf>
    <xf numFmtId="0" fontId="22" fillId="0" borderId="0" xfId="36" applyFont="1" applyAlignment="1" applyProtection="1">
      <protection hidden="1"/>
    </xf>
    <xf numFmtId="0" fontId="50" fillId="0" borderId="0" xfId="36" applyFont="1" applyAlignment="1" applyProtection="1">
      <protection hidden="1"/>
    </xf>
    <xf numFmtId="0" fontId="22" fillId="0" borderId="0" xfId="0" applyFont="1" applyProtection="1">
      <protection locked="0" hidden="1"/>
    </xf>
    <xf numFmtId="0" fontId="22" fillId="0" borderId="0" xfId="0" applyFont="1" applyProtection="1">
      <protection locked="0"/>
    </xf>
    <xf numFmtId="0" fontId="50" fillId="0" borderId="0" xfId="36" applyFont="1" applyAlignment="1" applyProtection="1">
      <protection locked="0" hidden="1"/>
    </xf>
    <xf numFmtId="0" fontId="22" fillId="0" borderId="0" xfId="0" applyFont="1" applyFill="1" applyProtection="1"/>
    <xf numFmtId="0" fontId="12" fillId="0" borderId="11" xfId="0" applyFont="1" applyBorder="1" applyProtection="1"/>
    <xf numFmtId="0" fontId="13" fillId="0" borderId="27" xfId="0" applyFont="1" applyBorder="1" applyProtection="1"/>
    <xf numFmtId="0" fontId="16" fillId="0" borderId="0" xfId="0" applyNumberFormat="1" applyFont="1" applyFill="1" applyBorder="1" applyProtection="1"/>
    <xf numFmtId="9" fontId="13" fillId="0" borderId="29" xfId="0" applyNumberFormat="1" applyFont="1" applyBorder="1"/>
    <xf numFmtId="0" fontId="42" fillId="0" borderId="0" xfId="0" applyFont="1"/>
    <xf numFmtId="0" fontId="42" fillId="0" borderId="0" xfId="0" applyNumberFormat="1" applyFont="1" applyProtection="1"/>
    <xf numFmtId="0" fontId="42" fillId="0" borderId="0" xfId="0" applyFont="1" applyAlignment="1" applyProtection="1">
      <alignment vertical="center"/>
    </xf>
    <xf numFmtId="0" fontId="42" fillId="0" borderId="0" xfId="0" applyFont="1" applyProtection="1"/>
    <xf numFmtId="0" fontId="0" fillId="0" borderId="0" xfId="0" applyFont="1" applyProtection="1"/>
    <xf numFmtId="0" fontId="8" fillId="0" borderId="0" xfId="0" applyFont="1" applyAlignment="1">
      <alignment horizontal="left"/>
    </xf>
    <xf numFmtId="0" fontId="13" fillId="0" borderId="19" xfId="0" applyFont="1" applyFill="1" applyBorder="1" applyAlignment="1">
      <alignment horizontal="center" vertical="center" wrapText="1"/>
    </xf>
    <xf numFmtId="0" fontId="13" fillId="0" borderId="39" xfId="0" applyFont="1" applyFill="1" applyBorder="1" applyAlignment="1">
      <alignment vertical="center" wrapText="1"/>
    </xf>
    <xf numFmtId="12" fontId="12" fillId="32" borderId="18" xfId="0" applyNumberFormat="1" applyFont="1" applyFill="1" applyBorder="1" applyProtection="1">
      <protection locked="0"/>
    </xf>
    <xf numFmtId="173" fontId="12" fillId="0" borderId="39" xfId="0" applyNumberFormat="1" applyFont="1" applyBorder="1"/>
    <xf numFmtId="0" fontId="13" fillId="0" borderId="3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8" xfId="0" applyFont="1" applyFill="1" applyBorder="1" applyAlignment="1">
      <alignment vertical="center" wrapText="1"/>
    </xf>
    <xf numFmtId="0" fontId="13"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2" fillId="0" borderId="36" xfId="0" applyNumberFormat="1" applyFont="1" applyBorder="1"/>
    <xf numFmtId="9" fontId="13" fillId="0" borderId="49" xfId="42" applyFont="1" applyFill="1" applyBorder="1" applyAlignment="1">
      <alignment horizontal="center" vertical="center" wrapText="1"/>
    </xf>
    <xf numFmtId="9" fontId="13" fillId="0" borderId="51" xfId="42" applyFont="1" applyFill="1" applyBorder="1" applyAlignment="1">
      <alignment horizontal="center" vertical="center"/>
    </xf>
    <xf numFmtId="169" fontId="13" fillId="0" borderId="46" xfId="42" applyNumberFormat="1" applyFont="1" applyFill="1" applyBorder="1" applyAlignment="1">
      <alignment horizontal="center" wrapText="1"/>
    </xf>
    <xf numFmtId="169" fontId="12" fillId="0" borderId="49" xfId="42" applyNumberFormat="1" applyFont="1" applyFill="1" applyBorder="1" applyAlignment="1">
      <alignment horizontal="center" vertical="top" wrapText="1"/>
    </xf>
    <xf numFmtId="169" fontId="13" fillId="0" borderId="49" xfId="42" applyNumberFormat="1" applyFont="1" applyFill="1" applyBorder="1" applyAlignment="1">
      <alignment horizontal="center" vertical="top" wrapText="1"/>
    </xf>
    <xf numFmtId="169" fontId="13" fillId="0" borderId="47" xfId="42" applyNumberFormat="1" applyFont="1" applyFill="1" applyBorder="1" applyAlignment="1">
      <alignment horizontal="center" vertical="top" wrapText="1"/>
    </xf>
    <xf numFmtId="169" fontId="13" fillId="0" borderId="56" xfId="42" applyNumberFormat="1" applyFont="1" applyFill="1" applyBorder="1" applyAlignment="1">
      <alignment horizontal="center" vertical="top" wrapText="1"/>
    </xf>
    <xf numFmtId="0" fontId="13" fillId="0" borderId="0" xfId="0" applyFont="1" applyFill="1" applyBorder="1" applyAlignment="1">
      <alignment wrapText="1"/>
    </xf>
    <xf numFmtId="173" fontId="12" fillId="0" borderId="11" xfId="0" applyNumberFormat="1" applyFont="1" applyBorder="1"/>
    <xf numFmtId="173" fontId="13" fillId="0" borderId="11" xfId="0" applyNumberFormat="1" applyFont="1" applyBorder="1"/>
    <xf numFmtId="173" fontId="13" fillId="0" borderId="28" xfId="0" applyNumberFormat="1" applyFont="1" applyFill="1" applyBorder="1"/>
    <xf numFmtId="0" fontId="0" fillId="0" borderId="0" xfId="0" applyFill="1"/>
    <xf numFmtId="0" fontId="42" fillId="0" borderId="0" xfId="0" applyFont="1" applyFill="1"/>
    <xf numFmtId="0" fontId="42" fillId="34" borderId="0" xfId="0" applyFont="1" applyFill="1"/>
    <xf numFmtId="49" fontId="22" fillId="0" borderId="68" xfId="0" applyNumberFormat="1" applyFont="1" applyBorder="1" applyAlignment="1" applyProtection="1">
      <alignment horizontal="justify" wrapText="1"/>
    </xf>
    <xf numFmtId="49" fontId="22" fillId="32" borderId="18" xfId="0" applyNumberFormat="1" applyFont="1" applyFill="1" applyBorder="1" applyAlignment="1" applyProtection="1">
      <alignment horizontal="justify" wrapText="1"/>
      <protection locked="0"/>
    </xf>
    <xf numFmtId="0" fontId="7" fillId="0" borderId="0" xfId="0" applyFont="1" applyProtection="1">
      <protection hidden="1"/>
    </xf>
    <xf numFmtId="0" fontId="7" fillId="0" borderId="0" xfId="0" applyFont="1" applyProtection="1"/>
    <xf numFmtId="0" fontId="51" fillId="0" borderId="0" xfId="0" applyFont="1" applyAlignment="1">
      <alignment wrapText="1"/>
    </xf>
    <xf numFmtId="0" fontId="7" fillId="0" borderId="0" xfId="0" applyFont="1"/>
    <xf numFmtId="0" fontId="41" fillId="0" borderId="0" xfId="0" applyFont="1" applyProtection="1"/>
    <xf numFmtId="0" fontId="41" fillId="0" borderId="0" xfId="0" quotePrefix="1" applyNumberFormat="1" applyFont="1" applyProtection="1"/>
    <xf numFmtId="0" fontId="7" fillId="0" borderId="0" xfId="0" applyFont="1" applyBorder="1" applyProtection="1">
      <protection hidden="1"/>
    </xf>
    <xf numFmtId="0" fontId="41" fillId="0" borderId="0" xfId="0" applyFont="1" applyBorder="1" applyProtection="1"/>
    <xf numFmtId="0" fontId="41" fillId="0" borderId="0" xfId="0" quotePrefix="1" applyNumberFormat="1" applyFont="1" applyBorder="1" applyProtection="1"/>
    <xf numFmtId="0" fontId="7" fillId="0" borderId="0" xfId="0" applyFont="1" applyBorder="1" applyProtection="1"/>
    <xf numFmtId="0" fontId="0" fillId="0" borderId="0" xfId="0" applyBorder="1" applyProtection="1"/>
    <xf numFmtId="0" fontId="7" fillId="0" borderId="0" xfId="0" applyFont="1" applyBorder="1"/>
    <xf numFmtId="0" fontId="43" fillId="0" borderId="0" xfId="0" applyFont="1" applyProtection="1">
      <protection hidden="1"/>
    </xf>
    <xf numFmtId="0" fontId="43" fillId="0" borderId="0" xfId="0" applyFont="1" applyProtection="1"/>
    <xf numFmtId="0" fontId="0" fillId="0" borderId="0" xfId="0" applyProtection="1">
      <protection hidden="1"/>
    </xf>
    <xf numFmtId="0" fontId="7" fillId="0" borderId="0" xfId="0" applyFont="1" applyProtection="1">
      <protection locked="0" hidden="1"/>
    </xf>
    <xf numFmtId="0" fontId="7" fillId="0" borderId="0" xfId="0" applyFont="1" applyProtection="1">
      <protection locked="0"/>
    </xf>
    <xf numFmtId="49" fontId="22" fillId="0" borderId="0" xfId="0" applyNumberFormat="1" applyFont="1" applyFill="1" applyBorder="1" applyAlignment="1" applyProtection="1">
      <alignment horizontal="justify" wrapText="1"/>
    </xf>
    <xf numFmtId="49" fontId="22" fillId="0" borderId="0" xfId="0" applyNumberFormat="1" applyFont="1" applyFill="1" applyBorder="1" applyAlignment="1" applyProtection="1">
      <alignment horizontal="justify" wrapText="1"/>
      <protection locked="0"/>
    </xf>
    <xf numFmtId="0" fontId="12" fillId="0" borderId="11" xfId="0" applyNumberFormat="1" applyFont="1" applyBorder="1" applyAlignment="1">
      <alignment horizontal="left" wrapText="1" indent="1"/>
    </xf>
    <xf numFmtId="0" fontId="12" fillId="0" borderId="11" xfId="0" applyNumberFormat="1" applyFont="1" applyFill="1" applyBorder="1"/>
    <xf numFmtId="0" fontId="15" fillId="0" borderId="11" xfId="0" applyNumberFormat="1" applyFont="1" applyFill="1" applyBorder="1"/>
    <xf numFmtId="173" fontId="13" fillId="0" borderId="54" xfId="0" applyNumberFormat="1" applyFont="1" applyFill="1" applyBorder="1"/>
    <xf numFmtId="173" fontId="13" fillId="0" borderId="62" xfId="0" applyNumberFormat="1" applyFont="1" applyFill="1" applyBorder="1"/>
    <xf numFmtId="173" fontId="13" fillId="0" borderId="36" xfId="0" applyNumberFormat="1" applyFont="1" applyFill="1" applyBorder="1"/>
    <xf numFmtId="173" fontId="13" fillId="0" borderId="51" xfId="0" applyNumberFormat="1" applyFont="1" applyFill="1" applyBorder="1"/>
    <xf numFmtId="49" fontId="22" fillId="32" borderId="65" xfId="0" applyNumberFormat="1" applyFont="1" applyFill="1" applyBorder="1" applyAlignment="1" applyProtection="1">
      <alignment horizontal="justify" wrapText="1"/>
      <protection locked="0"/>
    </xf>
    <xf numFmtId="49" fontId="57" fillId="32" borderId="13" xfId="47" applyNumberFormat="1" applyFill="1" applyBorder="1" applyAlignment="1" applyProtection="1">
      <alignment horizontal="justify" vertical="top" wrapText="1"/>
      <protection locked="0"/>
    </xf>
    <xf numFmtId="49" fontId="22" fillId="32" borderId="13" xfId="0" applyNumberFormat="1" applyFont="1" applyFill="1" applyBorder="1" applyAlignment="1" applyProtection="1">
      <alignment horizontal="justify" wrapText="1"/>
      <protection locked="0"/>
    </xf>
    <xf numFmtId="49" fontId="58" fillId="32" borderId="65" xfId="47" applyNumberFormat="1" applyFont="1" applyFill="1" applyBorder="1" applyAlignment="1" applyProtection="1">
      <alignment horizontal="justify" wrapText="1"/>
      <protection locked="0"/>
    </xf>
    <xf numFmtId="173" fontId="12" fillId="32" borderId="22" xfId="48"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32" borderId="22" xfId="66" applyNumberFormat="1" applyFont="1" applyFill="1" applyBorder="1" applyProtection="1">
      <protection locked="0"/>
    </xf>
    <xf numFmtId="173" fontId="12" fillId="32" borderId="22" xfId="28" applyNumberFormat="1" applyFont="1" applyFill="1" applyBorder="1" applyProtection="1">
      <protection locked="0"/>
    </xf>
    <xf numFmtId="173" fontId="12" fillId="32" borderId="22" xfId="66" applyNumberFormat="1" applyFont="1" applyFill="1" applyBorder="1" applyProtection="1">
      <protection locked="0"/>
    </xf>
    <xf numFmtId="49" fontId="22" fillId="32" borderId="18" xfId="0" quotePrefix="1" applyNumberFormat="1" applyFont="1" applyFill="1" applyBorder="1" applyAlignment="1" applyProtection="1">
      <alignment horizontal="justify" wrapText="1"/>
      <protection locked="0"/>
    </xf>
    <xf numFmtId="49" fontId="57" fillId="32" borderId="18" xfId="47" applyNumberFormat="1" applyFill="1" applyBorder="1" applyAlignment="1" applyProtection="1">
      <alignment horizontal="justify" wrapText="1"/>
      <protection locked="0"/>
    </xf>
    <xf numFmtId="173" fontId="12" fillId="32" borderId="22" xfId="86" applyNumberFormat="1" applyFont="1" applyFill="1" applyBorder="1" applyProtection="1">
      <protection locked="0"/>
    </xf>
    <xf numFmtId="0" fontId="12" fillId="32" borderId="11" xfId="0" applyNumberFormat="1" applyFont="1" applyFill="1" applyBorder="1" applyAlignment="1" applyProtection="1">
      <alignment horizontal="left" indent="2"/>
      <protection locked="0"/>
    </xf>
    <xf numFmtId="0" fontId="12" fillId="0" borderId="11" xfId="0" applyNumberFormat="1" applyFont="1" applyBorder="1" applyAlignment="1">
      <alignment horizontal="left" indent="2"/>
    </xf>
    <xf numFmtId="164" fontId="12" fillId="32" borderId="22" xfId="0" applyNumberFormat="1" applyFont="1" applyFill="1" applyBorder="1" applyProtection="1">
      <protection locked="0"/>
    </xf>
    <xf numFmtId="173" fontId="12" fillId="32" borderId="10" xfId="66" applyNumberFormat="1" applyFont="1" applyFill="1" applyBorder="1" applyProtection="1">
      <protection locked="0"/>
    </xf>
    <xf numFmtId="173" fontId="12" fillId="32" borderId="67" xfId="66" applyNumberFormat="1" applyFont="1" applyFill="1" applyBorder="1" applyProtection="1">
      <protection locked="0"/>
    </xf>
    <xf numFmtId="173" fontId="12" fillId="32" borderId="10" xfId="66" applyNumberFormat="1" applyFont="1" applyFill="1" applyBorder="1" applyProtection="1">
      <protection locked="0"/>
    </xf>
    <xf numFmtId="173" fontId="12" fillId="32" borderId="67" xfId="66" applyNumberFormat="1" applyFont="1" applyFill="1" applyBorder="1" applyProtection="1">
      <protection locked="0"/>
    </xf>
    <xf numFmtId="173" fontId="12" fillId="36" borderId="22" xfId="0" applyNumberFormat="1" applyFont="1" applyFill="1" applyBorder="1" applyAlignment="1" applyProtection="1">
      <alignment horizontal="right"/>
      <protection locked="0"/>
    </xf>
    <xf numFmtId="0" fontId="16" fillId="28" borderId="11" xfId="0" applyFont="1" applyFill="1" applyBorder="1" applyAlignment="1" applyProtection="1">
      <alignment horizontal="left" indent="1"/>
      <protection locked="0"/>
    </xf>
    <xf numFmtId="43" fontId="12" fillId="32" borderId="22" xfId="0" applyNumberFormat="1" applyFont="1" applyFill="1" applyBorder="1" applyProtection="1">
      <protection locked="0"/>
    </xf>
    <xf numFmtId="0" fontId="9" fillId="30" borderId="68" xfId="0" applyFont="1" applyFill="1" applyBorder="1" applyAlignment="1">
      <alignment horizontal="center"/>
    </xf>
    <xf numFmtId="0" fontId="9" fillId="30" borderId="71" xfId="0" applyFont="1" applyFill="1" applyBorder="1" applyAlignment="1">
      <alignment horizontal="center"/>
    </xf>
    <xf numFmtId="0" fontId="9" fillId="30" borderId="18" xfId="0" applyFont="1" applyFill="1" applyBorder="1" applyAlignment="1">
      <alignment horizontal="center"/>
    </xf>
    <xf numFmtId="0" fontId="9" fillId="24" borderId="68" xfId="0" applyFont="1" applyFill="1" applyBorder="1" applyAlignment="1">
      <alignment horizontal="center"/>
    </xf>
    <xf numFmtId="0" fontId="9" fillId="24" borderId="71" xfId="0" applyFont="1" applyFill="1" applyBorder="1" applyAlignment="1">
      <alignment horizontal="center"/>
    </xf>
    <xf numFmtId="0" fontId="9" fillId="31" borderId="68" xfId="0" applyFont="1" applyFill="1" applyBorder="1" applyAlignment="1">
      <alignment horizontal="center"/>
    </xf>
    <xf numFmtId="0" fontId="9" fillId="31" borderId="71" xfId="0" applyFont="1" applyFill="1" applyBorder="1" applyAlignment="1">
      <alignment horizontal="center"/>
    </xf>
    <xf numFmtId="0" fontId="9" fillId="31" borderId="18" xfId="0" applyFont="1" applyFill="1" applyBorder="1" applyAlignment="1">
      <alignment horizontal="center"/>
    </xf>
    <xf numFmtId="0" fontId="11" fillId="0" borderId="88" xfId="0" applyFont="1" applyBorder="1" applyAlignment="1" applyProtection="1">
      <alignment horizontal="justify" wrapText="1"/>
    </xf>
    <xf numFmtId="0" fontId="11" fillId="0" borderId="89" xfId="0" applyFont="1" applyBorder="1" applyAlignment="1" applyProtection="1">
      <alignment horizontal="justify" wrapText="1"/>
    </xf>
    <xf numFmtId="0" fontId="11" fillId="0" borderId="68" xfId="0" applyFont="1" applyBorder="1" applyAlignment="1" applyProtection="1">
      <alignment horizontal="justify" wrapText="1"/>
    </xf>
    <xf numFmtId="0" fontId="11" fillId="0" borderId="18" xfId="0" applyFont="1" applyBorder="1" applyAlignment="1" applyProtection="1">
      <alignment horizontal="justify" wrapText="1"/>
    </xf>
    <xf numFmtId="49" fontId="11" fillId="0" borderId="68" xfId="0" applyNumberFormat="1" applyFont="1" applyBorder="1" applyAlignment="1" applyProtection="1">
      <alignment horizontal="justify" wrapText="1"/>
    </xf>
    <xf numFmtId="49" fontId="22" fillId="0" borderId="18" xfId="0" applyNumberFormat="1" applyFont="1" applyBorder="1" applyAlignment="1">
      <alignment horizontal="justify" wrapText="1"/>
    </xf>
    <xf numFmtId="0" fontId="22" fillId="0" borderId="89" xfId="0" applyFont="1" applyBorder="1" applyAlignment="1">
      <alignment horizontal="justify" wrapText="1"/>
    </xf>
    <xf numFmtId="0" fontId="22" fillId="0" borderId="18" xfId="0" applyFont="1" applyBorder="1" applyAlignment="1">
      <alignment horizontal="justify" wrapText="1"/>
    </xf>
    <xf numFmtId="0" fontId="48" fillId="0" borderId="85" xfId="0" applyFont="1" applyBorder="1" applyAlignment="1" applyProtection="1">
      <alignment horizontal="justify" vertical="center" wrapText="1"/>
    </xf>
    <xf numFmtId="0" fontId="48" fillId="0" borderId="86" xfId="0" applyFont="1" applyBorder="1" applyAlignment="1" applyProtection="1">
      <alignment horizontal="justify" vertical="center" wrapText="1"/>
    </xf>
    <xf numFmtId="0" fontId="11" fillId="0" borderId="85" xfId="0" applyFont="1" applyBorder="1" applyAlignment="1" applyProtection="1">
      <alignment horizontal="justify" vertical="center" wrapText="1"/>
    </xf>
    <xf numFmtId="0" fontId="11" fillId="0" borderId="86" xfId="0" applyFont="1" applyBorder="1" applyAlignment="1" applyProtection="1">
      <alignment horizontal="justify" vertical="center" wrapText="1"/>
    </xf>
    <xf numFmtId="0" fontId="11" fillId="0" borderId="0" xfId="0" applyFont="1" applyBorder="1" applyAlignment="1" applyProtection="1">
      <alignment horizontal="justify" vertical="top" wrapText="1"/>
    </xf>
    <xf numFmtId="0" fontId="16" fillId="0" borderId="0"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horizontal="justify" vertical="top" wrapText="1"/>
    </xf>
    <xf numFmtId="0" fontId="48" fillId="0" borderId="87" xfId="0" applyFont="1" applyBorder="1" applyAlignment="1" applyProtection="1">
      <alignment horizontal="justify" vertical="center" wrapText="1"/>
    </xf>
    <xf numFmtId="0" fontId="49" fillId="0" borderId="87" xfId="0" applyFont="1" applyBorder="1" applyAlignment="1">
      <alignment horizontal="justify" vertical="center" wrapText="1"/>
    </xf>
    <xf numFmtId="0" fontId="48" fillId="0" borderId="85" xfId="0" applyFont="1" applyBorder="1" applyAlignment="1" applyProtection="1">
      <alignment horizontal="justify" vertical="center"/>
    </xf>
    <xf numFmtId="0" fontId="22" fillId="0" borderId="86" xfId="0" applyFont="1" applyBorder="1" applyAlignment="1">
      <alignment horizontal="justify" vertical="center"/>
    </xf>
    <xf numFmtId="0" fontId="22" fillId="0" borderId="86" xfId="0" applyFont="1" applyBorder="1" applyAlignment="1">
      <alignment horizontal="justify" vertical="center" wrapText="1"/>
    </xf>
    <xf numFmtId="49" fontId="11" fillId="0" borderId="0" xfId="0" applyNumberFormat="1" applyFont="1" applyFill="1" applyBorder="1" applyAlignment="1" applyProtection="1">
      <alignment horizontal="justify" wrapText="1"/>
    </xf>
    <xf numFmtId="49" fontId="22" fillId="0" borderId="0" xfId="0" applyNumberFormat="1" applyFont="1" applyFill="1" applyBorder="1" applyAlignment="1">
      <alignment horizontal="justify" wrapText="1"/>
    </xf>
    <xf numFmtId="0" fontId="16" fillId="0" borderId="0" xfId="0" applyFont="1" applyFill="1" applyAlignment="1">
      <alignment horizontal="left" wrapText="1"/>
    </xf>
    <xf numFmtId="0" fontId="13" fillId="0" borderId="39" xfId="0" applyFont="1" applyFill="1" applyBorder="1" applyAlignment="1">
      <alignment horizontal="center" vertical="center"/>
    </xf>
    <xf numFmtId="0" fontId="44" fillId="0" borderId="10" xfId="0" applyFont="1" applyBorder="1"/>
    <xf numFmtId="0" fontId="13" fillId="0" borderId="9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1" fillId="0" borderId="14" xfId="0" applyFont="1" applyFill="1" applyBorder="1" applyAlignment="1">
      <alignment horizontal="left" wrapText="1"/>
    </xf>
    <xf numFmtId="0" fontId="16" fillId="0" borderId="0" xfId="0" applyFont="1" applyFill="1" applyBorder="1" applyAlignment="1" applyProtection="1">
      <alignment horizontal="left" vertical="top" wrapText="1"/>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24" borderId="68" xfId="0" applyFont="1" applyFill="1" applyBorder="1" applyAlignment="1">
      <alignment horizontal="center" vertical="center" wrapText="1"/>
    </xf>
    <xf numFmtId="0" fontId="44" fillId="0" borderId="71" xfId="0" applyFont="1" applyBorder="1"/>
    <xf numFmtId="0" fontId="44" fillId="0" borderId="18" xfId="0" applyFont="1" applyBorder="1"/>
    <xf numFmtId="0" fontId="13" fillId="0" borderId="53" xfId="0" applyFont="1" applyFill="1" applyBorder="1" applyAlignment="1">
      <alignment horizontal="center" vertical="center"/>
    </xf>
    <xf numFmtId="0" fontId="13" fillId="0" borderId="46" xfId="0" applyFont="1" applyFill="1" applyBorder="1" applyAlignment="1">
      <alignment horizontal="center" vertical="center"/>
    </xf>
    <xf numFmtId="0" fontId="11" fillId="0" borderId="14" xfId="0" applyFont="1" applyFill="1" applyBorder="1" applyAlignment="1">
      <alignment horizontal="left"/>
    </xf>
    <xf numFmtId="0" fontId="16" fillId="0" borderId="0" xfId="0" quotePrefix="1" applyFont="1" applyBorder="1" applyAlignment="1">
      <alignment horizontal="left" wrapText="1"/>
    </xf>
    <xf numFmtId="0" fontId="16" fillId="0" borderId="0" xfId="0" applyFont="1" applyBorder="1" applyAlignment="1">
      <alignment horizontal="left" wrapText="1"/>
    </xf>
    <xf numFmtId="0" fontId="16" fillId="0" borderId="0" xfId="0" applyFont="1" applyBorder="1" applyAlignment="1">
      <alignment wrapText="1"/>
    </xf>
    <xf numFmtId="0" fontId="11" fillId="0" borderId="14" xfId="0" applyFont="1" applyFill="1" applyBorder="1" applyAlignment="1">
      <alignment horizontal="left" vertical="top" wrapText="1"/>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0" xfId="0" applyFont="1" applyFill="1" applyBorder="1" applyAlignment="1">
      <alignment horizontal="left"/>
    </xf>
    <xf numFmtId="0" fontId="13" fillId="0" borderId="90" xfId="0" applyFont="1" applyFill="1" applyBorder="1" applyAlignment="1">
      <alignment horizontal="center" wrapText="1"/>
    </xf>
    <xf numFmtId="0" fontId="13" fillId="0" borderId="41" xfId="0" applyFont="1" applyFill="1" applyBorder="1" applyAlignment="1">
      <alignment horizontal="center" wrapText="1"/>
    </xf>
    <xf numFmtId="0" fontId="13" fillId="0" borderId="20"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44" fillId="0" borderId="11" xfId="0" applyFont="1" applyBorder="1"/>
    <xf numFmtId="0" fontId="13" fillId="0" borderId="23"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57" xfId="0" applyFont="1" applyFill="1" applyBorder="1" applyAlignment="1">
      <alignment horizontal="center" vertical="center" wrapText="1"/>
    </xf>
  </cellXfs>
  <cellStyles count="1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2 2" xfId="127"/>
    <cellStyle name="Comma 2 3" xfId="53"/>
    <cellStyle name="Comma 2 3 2" xfId="76"/>
    <cellStyle name="Comma 2 3 2 2" xfId="109"/>
    <cellStyle name="Comma 2 3 3" xfId="94"/>
    <cellStyle name="Comma 2 3 4" xfId="136"/>
    <cellStyle name="Comma 2 4" xfId="69"/>
    <cellStyle name="Comma 2 4 2" xfId="84"/>
    <cellStyle name="Comma 2 4 2 2" xfId="117"/>
    <cellStyle name="Comma 2 4 3" xfId="102"/>
    <cellStyle name="Comma 2 5" xfId="72"/>
    <cellStyle name="Comma 2 5 2" xfId="105"/>
    <cellStyle name="Comma 2 6" xfId="90"/>
    <cellStyle name="Comma 2 7" xfId="128"/>
    <cellStyle name="Comma 3" xfId="54"/>
    <cellStyle name="Comma 3 2" xfId="55"/>
    <cellStyle name="Comma 3 2 2" xfId="78"/>
    <cellStyle name="Comma 3 2 2 2" xfId="111"/>
    <cellStyle name="Comma 3 2 3" xfId="96"/>
    <cellStyle name="Comma 3 2 4" xfId="132"/>
    <cellStyle name="Comma 3 3" xfId="77"/>
    <cellStyle name="Comma 3 3 2" xfId="110"/>
    <cellStyle name="Comma 3 3 3" xfId="137"/>
    <cellStyle name="Comma 3 4" xfId="95"/>
    <cellStyle name="Comma 3 5" xfId="126"/>
    <cellStyle name="Comma 4" xfId="63"/>
    <cellStyle name="Comma 4 2" xfId="138"/>
    <cellStyle name="Comma 4 3" xfId="131"/>
    <cellStyle name="Comma 5" xfId="67"/>
    <cellStyle name="Comma 5 2" xfId="83"/>
    <cellStyle name="Comma 5 2 2" xfId="116"/>
    <cellStyle name="Comma 5 3" xfId="101"/>
    <cellStyle name="Comma 5 4" xfId="139"/>
    <cellStyle name="Comma 6" xfId="52"/>
    <cellStyle name="Comma 6 2" xfId="75"/>
    <cellStyle name="Comma 6 2 2" xfId="108"/>
    <cellStyle name="Comma 6 3" xfId="93"/>
    <cellStyle name="Comma 6 4" xfId="140"/>
    <cellStyle name="Comma 7" xfId="87"/>
    <cellStyle name="Comma 7 2" xfId="120"/>
    <cellStyle name="Comma 7 3" xfId="141"/>
    <cellStyle name="Comma 8" xfId="123"/>
    <cellStyle name="Comma_B Schedule Municipal Adjustments Budget - 23 March 2009 cb" xfId="29"/>
    <cellStyle name="Currency 2" xfId="1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2 2 2" xfId="115"/>
    <cellStyle name="Normal 2 2 3" xfId="100"/>
    <cellStyle name="Normal 2 2 4" xfId="125"/>
    <cellStyle name="Normal 2 3" xfId="58"/>
    <cellStyle name="Normal 2 3 2" xfId="79"/>
    <cellStyle name="Normal 2 3 2 2" xfId="112"/>
    <cellStyle name="Normal 2 3 3" xfId="97"/>
    <cellStyle name="Normal 2 4" xfId="71"/>
    <cellStyle name="Normal 2 4 2" xfId="104"/>
    <cellStyle name="Normal 2 5" xfId="89"/>
    <cellStyle name="Normal 2 6" xfId="135"/>
    <cellStyle name="Normal 3" xfId="59"/>
    <cellStyle name="Normal 4" xfId="51"/>
    <cellStyle name="Normal 4 2" xfId="74"/>
    <cellStyle name="Normal 4 2 2" xfId="107"/>
    <cellStyle name="Normal 4 3" xfId="92"/>
    <cellStyle name="Normal 5" xfId="60"/>
    <cellStyle name="Normal 5 2" xfId="80"/>
    <cellStyle name="Normal 5 2 2" xfId="113"/>
    <cellStyle name="Normal 5 3" xfId="98"/>
    <cellStyle name="Normal 5 4" xfId="130"/>
    <cellStyle name="Normal 6" xfId="86"/>
    <cellStyle name="Normal 6 2" xfId="119"/>
    <cellStyle name="Normal 6 3" xfId="134"/>
    <cellStyle name="Normal 7" xfId="122"/>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2 2 2" xfId="118"/>
    <cellStyle name="Percent 2 2 3" xfId="103"/>
    <cellStyle name="Percent 2 3" xfId="73"/>
    <cellStyle name="Percent 2 3 2" xfId="106"/>
    <cellStyle name="Percent 2 4" xfId="91"/>
    <cellStyle name="Percent 3" xfId="61"/>
    <cellStyle name="Percent 3 2" xfId="81"/>
    <cellStyle name="Percent 3 2 2" xfId="114"/>
    <cellStyle name="Percent 3 3" xfId="99"/>
    <cellStyle name="Percent 3 4" xfId="133"/>
    <cellStyle name="Percent 4" xfId="88"/>
    <cellStyle name="Percent 4 2" xfId="121"/>
    <cellStyle name="Percent 5" xfId="124"/>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142667460</c:v>
                </c:pt>
                <c:pt idx="1">
                  <c:v>19033220</c:v>
                </c:pt>
                <c:pt idx="2">
                  <c:v>43004421</c:v>
                </c:pt>
                <c:pt idx="3">
                  <c:v>31038730</c:v>
                </c:pt>
                <c:pt idx="4">
                  <c:v>26349847</c:v>
                </c:pt>
                <c:pt idx="5">
                  <c:v>28208855</c:v>
                </c:pt>
                <c:pt idx="6">
                  <c:v>123071133</c:v>
                </c:pt>
                <c:pt idx="7">
                  <c:v>819335746</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9774314.6899999958</c:v>
                </c:pt>
                <c:pt idx="1">
                  <c:v>51932577.530000001</c:v>
                </c:pt>
                <c:pt idx="2">
                  <c:v>112976705.56</c:v>
                </c:pt>
                <c:pt idx="3">
                  <c:v>31075597.170000002</c:v>
                </c:pt>
                <c:pt idx="4">
                  <c:v>23156396.690000005</c:v>
                </c:pt>
                <c:pt idx="5">
                  <c:v>20564553.580000002</c:v>
                </c:pt>
                <c:pt idx="6">
                  <c:v>99693556.989999995</c:v>
                </c:pt>
                <c:pt idx="7">
                  <c:v>640786620.23000002</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516245920"/>
        <c:axId val="516247096"/>
        <c:axId val="0"/>
      </c:bar3DChart>
      <c:catAx>
        <c:axId val="516245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16247096"/>
        <c:crosses val="autoZero"/>
        <c:auto val="1"/>
        <c:lblAlgn val="ctr"/>
        <c:lblOffset val="100"/>
        <c:tickLblSkip val="1"/>
        <c:tickMarkSkip val="1"/>
        <c:noMultiLvlLbl val="0"/>
      </c:catAx>
      <c:valAx>
        <c:axId val="51624709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1624592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114310773.25999999</c:v>
                </c:pt>
                <c:pt idx="1">
                  <c:v>281233048.65999997</c:v>
                </c:pt>
                <c:pt idx="2">
                  <c:v>800184307.72000003</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117846158</c:v>
                </c:pt>
                <c:pt idx="1">
                  <c:v>289930978</c:v>
                </c:pt>
                <c:pt idx="2">
                  <c:v>824932276</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516246312"/>
        <c:axId val="516248272"/>
        <c:axId val="0"/>
      </c:bar3DChart>
      <c:catAx>
        <c:axId val="516246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6248272"/>
        <c:crosses val="autoZero"/>
        <c:auto val="1"/>
        <c:lblAlgn val="ctr"/>
        <c:lblOffset val="100"/>
        <c:tickLblSkip val="1"/>
        <c:tickMarkSkip val="1"/>
        <c:noMultiLvlLbl val="0"/>
      </c:catAx>
      <c:valAx>
        <c:axId val="51624827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624631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68222563.709999993</c:v>
                </c:pt>
                <c:pt idx="1">
                  <c:v>17731421.079999998</c:v>
                </c:pt>
                <c:pt idx="2">
                  <c:v>0</c:v>
                </c:pt>
                <c:pt idx="3">
                  <c:v>0</c:v>
                </c:pt>
                <c:pt idx="4">
                  <c:v>0</c:v>
                </c:pt>
                <c:pt idx="5">
                  <c:v>0</c:v>
                </c:pt>
                <c:pt idx="6">
                  <c:v>93064646.700000003</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103685109.11</c:v>
                </c:pt>
                <c:pt idx="1">
                  <c:v>21024027.260000002</c:v>
                </c:pt>
                <c:pt idx="2">
                  <c:v>0</c:v>
                </c:pt>
                <c:pt idx="3">
                  <c:v>0</c:v>
                </c:pt>
                <c:pt idx="4">
                  <c:v>0</c:v>
                </c:pt>
                <c:pt idx="5">
                  <c:v>0</c:v>
                </c:pt>
                <c:pt idx="6">
                  <c:v>60769506.629999988</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516247488"/>
        <c:axId val="957417440"/>
        <c:axId val="0"/>
      </c:bar3DChart>
      <c:catAx>
        <c:axId val="5162474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7440"/>
        <c:crosses val="autoZero"/>
        <c:auto val="1"/>
        <c:lblAlgn val="ctr"/>
        <c:lblOffset val="100"/>
        <c:tickLblSkip val="2"/>
        <c:tickMarkSkip val="1"/>
        <c:noMultiLvlLbl val="0"/>
      </c:catAx>
      <c:valAx>
        <c:axId val="9574174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162474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957418224"/>
        <c:axId val="957417048"/>
        <c:axId val="0"/>
      </c:bar3DChart>
      <c:catAx>
        <c:axId val="95741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57417048"/>
        <c:crosses val="autoZero"/>
        <c:auto val="1"/>
        <c:lblAlgn val="ctr"/>
        <c:lblOffset val="100"/>
        <c:tickLblSkip val="1"/>
        <c:tickMarkSkip val="1"/>
        <c:noMultiLvlLbl val="0"/>
      </c:catAx>
      <c:valAx>
        <c:axId val="95741704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82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38885000</c:v>
                </c:pt>
                <c:pt idx="1">
                  <c:v>91812000</c:v>
                </c:pt>
                <c:pt idx="2">
                  <c:v>179333000</c:v>
                </c:pt>
                <c:pt idx="3">
                  <c:v>295426000</c:v>
                </c:pt>
                <c:pt idx="4">
                  <c:v>411726000</c:v>
                </c:pt>
                <c:pt idx="5">
                  <c:v>543992000</c:v>
                </c:pt>
                <c:pt idx="6">
                  <c:v>676328000</c:v>
                </c:pt>
                <c:pt idx="7">
                  <c:v>808664000</c:v>
                </c:pt>
                <c:pt idx="8">
                  <c:v>1008547000</c:v>
                </c:pt>
                <c:pt idx="9">
                  <c:v>1236223000</c:v>
                </c:pt>
                <c:pt idx="10">
                  <c:v>1533926000</c:v>
                </c:pt>
                <c:pt idx="11">
                  <c:v>1889185999.5999999</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957415872"/>
        <c:axId val="957415480"/>
        <c:axId val="0"/>
      </c:bar3DChart>
      <c:catAx>
        <c:axId val="95741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57415480"/>
        <c:crosses val="autoZero"/>
        <c:auto val="1"/>
        <c:lblAlgn val="ctr"/>
        <c:lblOffset val="100"/>
        <c:tickLblSkip val="1"/>
        <c:tickMarkSkip val="1"/>
        <c:noMultiLvlLbl val="0"/>
      </c:catAx>
      <c:valAx>
        <c:axId val="95741548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587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1"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88998"/>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xdr:colOff>
      <xdr:row>25</xdr:row>
      <xdr:rowOff>0</xdr:rowOff>
    </xdr:from>
    <xdr:to>
      <xdr:col>19</xdr:col>
      <xdr:colOff>609599</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ndiwer/OneDrive/Financial%20201819/MBS201819/A1%20Schedule%20-%20mSCOA%20vs%206.2%20-%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8">
          <cell r="A18" t="str">
            <v>Regional Bulk Infrastructure Grant (RBIG)</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34" zoomScaleNormal="100" workbookViewId="0"/>
  </sheetViews>
  <sheetFormatPr defaultRowHeight="13.2" x14ac:dyDescent="0.25"/>
  <sheetData>
    <row r="1" spans="1:1" x14ac:dyDescent="0.25">
      <c r="A1" t="str">
        <f>muni</f>
        <v>LIM354 Polokwane</v>
      </c>
    </row>
  </sheetData>
  <sheetProtection sheet="1" objects="1" scenarios="1"/>
  <phoneticPr fontId="8"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31" activePane="bottomRight" state="frozen"/>
      <selection pane="topRight"/>
      <selection pane="bottomLeft"/>
      <selection pane="bottomRight" activeCell="M72" sqref="M72"/>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22" t="str">
        <f>muni&amp; " - "&amp;S71C&amp; " - "&amp;date</f>
        <v>LIM354 Polokwane - Table C3 Monthly Budget Statement - Financial Performance (revenue and expenditure by municipal vote) - M01 July</v>
      </c>
      <c r="B1" s="1022"/>
      <c r="C1" s="1022"/>
      <c r="D1" s="1022"/>
      <c r="E1" s="1022"/>
      <c r="F1" s="1022"/>
      <c r="G1" s="1022"/>
      <c r="H1" s="1022"/>
      <c r="I1" s="1022"/>
      <c r="J1" s="1022"/>
      <c r="K1" s="1022"/>
    </row>
    <row r="2" spans="1:24" x14ac:dyDescent="0.2">
      <c r="A2" s="20" t="str">
        <f>Vdesc</f>
        <v>Vote Description</v>
      </c>
      <c r="B2" s="1013" t="str">
        <f>head27</f>
        <v>Ref</v>
      </c>
      <c r="C2" s="143" t="str">
        <f>Head1</f>
        <v>2018/19</v>
      </c>
      <c r="D2" s="1015" t="str">
        <f>Head2</f>
        <v>Budget Year 2019/20</v>
      </c>
      <c r="E2" s="1016"/>
      <c r="F2" s="1016"/>
      <c r="G2" s="1016"/>
      <c r="H2" s="1016"/>
      <c r="I2" s="1016"/>
      <c r="J2" s="1016"/>
      <c r="K2" s="1017"/>
    </row>
    <row r="3" spans="1:24" ht="20.399999999999999" x14ac:dyDescent="0.2">
      <c r="A3" s="169"/>
      <c r="B3" s="1024"/>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25"/>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0</v>
      </c>
      <c r="F6" s="45">
        <f>'C3C'!F6</f>
        <v>0</v>
      </c>
      <c r="G6" s="45">
        <f>'C3C'!G6</f>
        <v>0</v>
      </c>
      <c r="H6" s="45">
        <f>'C3C'!H6</f>
        <v>747</v>
      </c>
      <c r="I6" s="45">
        <f>G6-H6</f>
        <v>-747</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0</v>
      </c>
      <c r="F7" s="45">
        <f>'C3C'!F17</f>
        <v>0</v>
      </c>
      <c r="G7" s="45">
        <f>'C3C'!G17</f>
        <v>0</v>
      </c>
      <c r="H7" s="45">
        <f>'C3C'!H17</f>
        <v>166999</v>
      </c>
      <c r="I7" s="45">
        <f t="shared" ref="I7:I20" si="0">G7-H7</f>
        <v>-166999</v>
      </c>
      <c r="J7" s="725">
        <f t="shared" ref="J7:J21" si="1">IF(I7=0,"",I7/H7)</f>
        <v>-1</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0</v>
      </c>
      <c r="F8" s="45">
        <f>'C3C'!F28</f>
        <v>36366493.75</v>
      </c>
      <c r="G8" s="45">
        <f>'C3C'!G28</f>
        <v>36366493.75</v>
      </c>
      <c r="H8" s="45">
        <f>'C3C'!H28</f>
        <v>37062998</v>
      </c>
      <c r="I8" s="45">
        <f t="shared" si="0"/>
        <v>-696504.25</v>
      </c>
      <c r="J8" s="725">
        <f t="shared" si="1"/>
        <v>-1.8792442262765684E-2</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0</v>
      </c>
      <c r="F9" s="45">
        <f>'C3C'!F39</f>
        <v>73541086.38000001</v>
      </c>
      <c r="G9" s="45">
        <f>'C3C'!G39</f>
        <v>73541086.38000001</v>
      </c>
      <c r="H9" s="45">
        <f>'C3C'!H39</f>
        <v>99403666</v>
      </c>
      <c r="I9" s="45">
        <f t="shared" si="0"/>
        <v>-25862579.61999999</v>
      </c>
      <c r="J9" s="725">
        <f t="shared" si="1"/>
        <v>-0.26017732203156363</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0</v>
      </c>
      <c r="F10" s="45">
        <f>'C3C'!F50</f>
        <v>10055988.639999999</v>
      </c>
      <c r="G10" s="45">
        <f>'C3C'!G50</f>
        <v>10055988.639999999</v>
      </c>
      <c r="H10" s="45">
        <f>'C3C'!H50</f>
        <v>12138576</v>
      </c>
      <c r="I10" s="45">
        <f t="shared" si="0"/>
        <v>-2082587.3600000013</v>
      </c>
      <c r="J10" s="725">
        <f t="shared" si="1"/>
        <v>-0.17156768306265918</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0</v>
      </c>
      <c r="F11" s="45">
        <f>'C3C'!F61</f>
        <v>1187444.6300000001</v>
      </c>
      <c r="G11" s="45">
        <f>'C3C'!G61</f>
        <v>1187444.6300000001</v>
      </c>
      <c r="H11" s="45">
        <f>'C3C'!H61</f>
        <v>5521581</v>
      </c>
      <c r="I11" s="45">
        <f t="shared" si="0"/>
        <v>-4334136.37</v>
      </c>
      <c r="J11" s="725">
        <f t="shared" si="1"/>
        <v>-0.78494481381329007</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0</v>
      </c>
      <c r="F12" s="45">
        <f>'C3C'!F72</f>
        <v>612.17999999999995</v>
      </c>
      <c r="G12" s="45">
        <f>'C3C'!G72</f>
        <v>612.17999999999995</v>
      </c>
      <c r="H12" s="45">
        <f>'C3C'!H72</f>
        <v>472412</v>
      </c>
      <c r="I12" s="45">
        <f t="shared" si="0"/>
        <v>-471799.82</v>
      </c>
      <c r="J12" s="725">
        <f t="shared" si="1"/>
        <v>-0.99870413960695326</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0</v>
      </c>
      <c r="F13" s="45">
        <f>'C3C'!F83</f>
        <v>21461256.73</v>
      </c>
      <c r="G13" s="45">
        <f>'C3C'!G83</f>
        <v>21461256.73</v>
      </c>
      <c r="H13" s="45">
        <f>'C3C'!H83</f>
        <v>4456661</v>
      </c>
      <c r="I13" s="45">
        <f t="shared" si="0"/>
        <v>17004595.73</v>
      </c>
      <c r="J13" s="725">
        <f t="shared" si="1"/>
        <v>3.8155461521529235</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1857942943.05</v>
      </c>
      <c r="D14" s="47">
        <f>'C3C'!D94</f>
        <v>3143104980</v>
      </c>
      <c r="E14" s="45">
        <f>'C3C'!E94</f>
        <v>0</v>
      </c>
      <c r="F14" s="45">
        <f>'C3C'!F94</f>
        <v>31253731.320000004</v>
      </c>
      <c r="G14" s="45">
        <f>'C3C'!G94</f>
        <v>31253731.320000004</v>
      </c>
      <c r="H14" s="45">
        <f>'C3C'!H94</f>
        <v>261925415</v>
      </c>
      <c r="I14" s="45">
        <f t="shared" si="0"/>
        <v>-230671683.68000001</v>
      </c>
      <c r="J14" s="725">
        <f t="shared" si="1"/>
        <v>-0.88067698081150314</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0</v>
      </c>
      <c r="F15" s="45">
        <f>'C3C'!F105</f>
        <v>9181018.3499999996</v>
      </c>
      <c r="G15" s="45">
        <f>'C3C'!G105</f>
        <v>9181018.3499999996</v>
      </c>
      <c r="H15" s="45">
        <f>'C3C'!H105</f>
        <v>23081</v>
      </c>
      <c r="I15" s="45">
        <f t="shared" si="0"/>
        <v>9157937.3499999996</v>
      </c>
      <c r="J15" s="725">
        <f t="shared" si="1"/>
        <v>396.77385511892896</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0</v>
      </c>
      <c r="F16" s="45">
        <f>'C3C'!F116</f>
        <v>85104.14</v>
      </c>
      <c r="G16" s="45">
        <f>'C3C'!G116</f>
        <v>85104.14</v>
      </c>
      <c r="H16" s="45">
        <f>'C3C'!H116</f>
        <v>738166</v>
      </c>
      <c r="I16" s="45">
        <f t="shared" si="0"/>
        <v>-653061.86</v>
      </c>
      <c r="J16" s="725">
        <f t="shared" si="1"/>
        <v>-0.88470866986558572</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3643689834.0099998</v>
      </c>
      <c r="D21" s="75">
        <f t="shared" ref="D21:I21" si="2">SUM(D6:D20)</f>
        <v>5062923624</v>
      </c>
      <c r="E21" s="74">
        <f t="shared" si="2"/>
        <v>0</v>
      </c>
      <c r="F21" s="74">
        <f t="shared" si="2"/>
        <v>183132736.11999997</v>
      </c>
      <c r="G21" s="74">
        <f t="shared" si="2"/>
        <v>183132736.11999997</v>
      </c>
      <c r="H21" s="74">
        <f t="shared" si="2"/>
        <v>421910302</v>
      </c>
      <c r="I21" s="74">
        <f t="shared" si="2"/>
        <v>-238777565.88000003</v>
      </c>
      <c r="J21" s="726">
        <f t="shared" si="1"/>
        <v>-0.56594390975549114</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0</v>
      </c>
      <c r="F24" s="45">
        <f>'C3C'!F174</f>
        <v>754775</v>
      </c>
      <c r="G24" s="45">
        <f>'C3C'!G174</f>
        <v>754775</v>
      </c>
      <c r="H24" s="45">
        <f>'C3C'!H174</f>
        <v>14492013.666666666</v>
      </c>
      <c r="I24" s="45">
        <f t="shared" ref="I24:I38" si="3">G24-H24</f>
        <v>-13737238.666666666</v>
      </c>
      <c r="J24" s="725">
        <f t="shared" ref="J24:J29" si="4">IF(I24=0,"",I24/H24)</f>
        <v>-0.94791786584247628</v>
      </c>
      <c r="K24" s="145">
        <f>'C3C'!K174</f>
        <v>173904164</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0</v>
      </c>
      <c r="F25" s="45">
        <f>'C3C'!F185</f>
        <v>10034962.029999999</v>
      </c>
      <c r="G25" s="45">
        <f>'C3C'!G185</f>
        <v>10034962.029999999</v>
      </c>
      <c r="H25" s="45">
        <f>'C3C'!H185</f>
        <v>25861170</v>
      </c>
      <c r="I25" s="45">
        <f t="shared" si="3"/>
        <v>-15826207.970000001</v>
      </c>
      <c r="J25" s="725">
        <f t="shared" si="4"/>
        <v>-0.61196798018032439</v>
      </c>
      <c r="K25" s="145">
        <f>'C3C'!K185</f>
        <v>310334040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0</v>
      </c>
      <c r="F26" s="45">
        <f>'C3C'!F196</f>
        <v>1026567.32</v>
      </c>
      <c r="G26" s="45">
        <f>'C3C'!G196</f>
        <v>1026567.32</v>
      </c>
      <c r="H26" s="45">
        <f>'C3C'!H196</f>
        <v>39671825.333333336</v>
      </c>
      <c r="I26" s="45">
        <f t="shared" si="3"/>
        <v>-38645258.013333336</v>
      </c>
      <c r="J26" s="725">
        <f t="shared" si="4"/>
        <v>-0.97412351684414555</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0</v>
      </c>
      <c r="F27" s="45">
        <f>'C3C'!F207</f>
        <v>90715951.439999998</v>
      </c>
      <c r="G27" s="45">
        <f>'C3C'!G207</f>
        <v>90715951.439999998</v>
      </c>
      <c r="H27" s="45">
        <f>'C3C'!H207</f>
        <v>80110759</v>
      </c>
      <c r="I27" s="45">
        <f t="shared" si="3"/>
        <v>10605192.439999998</v>
      </c>
      <c r="J27" s="725">
        <f t="shared" si="4"/>
        <v>0.13238162479524127</v>
      </c>
      <c r="K27" s="145">
        <f>'C3C'!K207</f>
        <v>961329108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0</v>
      </c>
      <c r="F28" s="45">
        <f>'C3C'!F218</f>
        <v>35237.230000000003</v>
      </c>
      <c r="G28" s="45">
        <f>'C3C'!G218</f>
        <v>35237.230000000003</v>
      </c>
      <c r="H28" s="45">
        <f>'C3C'!H218</f>
        <v>28222640</v>
      </c>
      <c r="I28" s="45">
        <f t="shared" si="3"/>
        <v>-28187402.77</v>
      </c>
      <c r="J28" s="725">
        <f t="shared" si="4"/>
        <v>-0.99875145521467867</v>
      </c>
      <c r="K28" s="145">
        <f>'C3C'!K218</f>
        <v>338671680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0</v>
      </c>
      <c r="F29" s="45">
        <f>'C3C'!F229</f>
        <v>12263.55</v>
      </c>
      <c r="G29" s="45">
        <f>'C3C'!G229</f>
        <v>12263.55</v>
      </c>
      <c r="H29" s="45">
        <f>'C3C'!H229</f>
        <v>23174332</v>
      </c>
      <c r="I29" s="45">
        <f t="shared" si="3"/>
        <v>-23162068.449999999</v>
      </c>
      <c r="J29" s="725">
        <f t="shared" si="4"/>
        <v>-0.99947081322559805</v>
      </c>
      <c r="K29" s="145">
        <f>'C3C'!K229</f>
        <v>278091984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0</v>
      </c>
      <c r="F30" s="45">
        <f>'C3C'!F240</f>
        <v>1060180.46</v>
      </c>
      <c r="G30" s="45">
        <f>'C3C'!G240</f>
        <v>1060180.46</v>
      </c>
      <c r="H30" s="45">
        <f>'C3C'!H240</f>
        <v>17168742</v>
      </c>
      <c r="I30" s="45">
        <f t="shared" si="3"/>
        <v>-16108561.539999999</v>
      </c>
      <c r="J30" s="725">
        <f t="shared" ref="J30:J38" si="5">IF(I30=0,"",I30/H30)</f>
        <v>-0.93824938018172788</v>
      </c>
      <c r="K30" s="145">
        <f>'C3C'!K240</f>
        <v>206024904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0</v>
      </c>
      <c r="F31" s="45">
        <f>'C3C'!F251</f>
        <v>6696.94</v>
      </c>
      <c r="G31" s="45">
        <f>'C3C'!G251</f>
        <v>6696.94</v>
      </c>
      <c r="H31" s="45">
        <f>'C3C'!H251</f>
        <v>9961190</v>
      </c>
      <c r="I31" s="45">
        <f t="shared" si="3"/>
        <v>-9954493.0600000005</v>
      </c>
      <c r="J31" s="725">
        <f t="shared" si="5"/>
        <v>-0.99932769679124689</v>
      </c>
      <c r="K31" s="145">
        <f>'C3C'!K251</f>
        <v>119534280</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433321758.64999992</v>
      </c>
      <c r="D32" s="47">
        <f>'C3C'!D262</f>
        <v>444516900</v>
      </c>
      <c r="E32" s="45">
        <f>'C3C'!E262</f>
        <v>0</v>
      </c>
      <c r="F32" s="45">
        <f>'C3C'!F262</f>
        <v>47260260.170000002</v>
      </c>
      <c r="G32" s="45">
        <f>'C3C'!G262</f>
        <v>47260260.170000002</v>
      </c>
      <c r="H32" s="45">
        <f>'C3C'!H262</f>
        <v>37043075</v>
      </c>
      <c r="I32" s="45">
        <f t="shared" si="3"/>
        <v>10217185.170000002</v>
      </c>
      <c r="J32" s="725">
        <f t="shared" si="5"/>
        <v>0.27581903419195092</v>
      </c>
      <c r="K32" s="145">
        <f>'C3C'!K262</f>
        <v>444516900</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0</v>
      </c>
      <c r="F33" s="45">
        <f>'C3C'!F273</f>
        <v>0</v>
      </c>
      <c r="G33" s="45">
        <f>'C3C'!G273</f>
        <v>0</v>
      </c>
      <c r="H33" s="45">
        <f>'C3C'!H273</f>
        <v>19074018</v>
      </c>
      <c r="I33" s="45">
        <f t="shared" si="3"/>
        <v>-19074018</v>
      </c>
      <c r="J33" s="725">
        <f>IF(I33=0,"",I33/H33)</f>
        <v>-1</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0</v>
      </c>
      <c r="F34" s="45">
        <f>'C3C'!F284</f>
        <v>0</v>
      </c>
      <c r="G34" s="45">
        <f>'C3C'!G284</f>
        <v>0</v>
      </c>
      <c r="H34" s="45">
        <f>'C3C'!H284</f>
        <v>1047778</v>
      </c>
      <c r="I34" s="45">
        <f t="shared" si="3"/>
        <v>-1047778</v>
      </c>
      <c r="J34" s="725">
        <f>IF(I34=0,"",I34/H34)</f>
        <v>-1</v>
      </c>
      <c r="K34" s="145">
        <f>'C3C'!K284</f>
        <v>0</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2828383939.1999993</v>
      </c>
      <c r="D39" s="478">
        <f t="shared" ref="D39:I39" si="6">SUM(D24:D38)</f>
        <v>3549930516</v>
      </c>
      <c r="E39" s="433">
        <f t="shared" si="6"/>
        <v>0</v>
      </c>
      <c r="F39" s="433">
        <f t="shared" si="6"/>
        <v>150906894.13999999</v>
      </c>
      <c r="G39" s="433">
        <f t="shared" si="6"/>
        <v>150906894.13999999</v>
      </c>
      <c r="H39" s="433">
        <f t="shared" si="6"/>
        <v>295827543</v>
      </c>
      <c r="I39" s="433">
        <f t="shared" si="6"/>
        <v>-144920648.86000001</v>
      </c>
      <c r="J39" s="728">
        <f>IF(I39=0,"",I39/H39)</f>
        <v>-0.48988220430847446</v>
      </c>
      <c r="K39" s="516">
        <f>SUM(K24:K38)</f>
        <v>3537357180</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815305894.81000042</v>
      </c>
      <c r="D40" s="57">
        <f t="shared" si="7"/>
        <v>1512993108</v>
      </c>
      <c r="E40" s="56">
        <f t="shared" si="7"/>
        <v>0</v>
      </c>
      <c r="F40" s="56">
        <f t="shared" si="7"/>
        <v>32225841.979999989</v>
      </c>
      <c r="G40" s="56">
        <f t="shared" si="7"/>
        <v>32225841.979999989</v>
      </c>
      <c r="H40" s="56">
        <f t="shared" si="7"/>
        <v>126082759</v>
      </c>
      <c r="I40" s="56">
        <f>I21-I39</f>
        <v>-93856917.020000011</v>
      </c>
      <c r="J40" s="729">
        <f>IF(I40=0,"",I40/H40)</f>
        <v>-0.74440722716101104</v>
      </c>
      <c r="K40" s="236">
        <f>K21-K39</f>
        <v>1525566444</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8"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74" activePane="bottomRight" state="frozen"/>
      <selection pane="topRight"/>
      <selection pane="bottomLeft"/>
      <selection pane="bottomRight" activeCell="H287" sqref="H287"/>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M01 July</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15" t="str">
        <f>Head2</f>
        <v>Budget Year 2019/20</v>
      </c>
      <c r="E2" s="1016"/>
      <c r="F2" s="1016"/>
      <c r="G2" s="1016"/>
      <c r="H2" s="1016"/>
      <c r="I2" s="1016"/>
      <c r="J2" s="1016"/>
      <c r="K2" s="1017"/>
      <c r="L2" s="1026" t="e">
        <f>Head4</f>
        <v>#REF!</v>
      </c>
      <c r="M2" s="1027"/>
      <c r="N2" s="1027"/>
      <c r="O2" s="1027"/>
      <c r="P2" s="1027"/>
      <c r="Q2" s="1027"/>
      <c r="R2" s="1027"/>
      <c r="S2" s="1027"/>
      <c r="T2" s="1027"/>
      <c r="U2" s="1027"/>
      <c r="V2" s="1027"/>
      <c r="W2" s="1028"/>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0</v>
      </c>
      <c r="F6" s="446">
        <f t="shared" si="0"/>
        <v>0</v>
      </c>
      <c r="G6" s="444">
        <f t="shared" si="0"/>
        <v>0</v>
      </c>
      <c r="H6" s="446">
        <f t="shared" si="0"/>
        <v>747</v>
      </c>
      <c r="I6" s="45">
        <f t="shared" ref="I6:I69" si="1">G6-H6</f>
        <v>-747</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0</v>
      </c>
      <c r="F7" s="752">
        <v>0</v>
      </c>
      <c r="G7" s="751">
        <v>0</v>
      </c>
      <c r="H7" s="751">
        <f>D7/12</f>
        <v>83</v>
      </c>
      <c r="I7" s="45">
        <f t="shared" si="1"/>
        <v>-83</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0</v>
      </c>
      <c r="F8" s="752">
        <v>0</v>
      </c>
      <c r="G8" s="751">
        <v>0</v>
      </c>
      <c r="H8" s="751">
        <f t="shared" ref="H8:H16" si="4">D8/12</f>
        <v>83</v>
      </c>
      <c r="I8" s="45">
        <f t="shared" si="1"/>
        <v>-83</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0</v>
      </c>
      <c r="F9" s="752">
        <v>0</v>
      </c>
      <c r="G9" s="751">
        <v>0</v>
      </c>
      <c r="H9" s="751">
        <f t="shared" si="4"/>
        <v>83</v>
      </c>
      <c r="I9" s="45">
        <f t="shared" si="1"/>
        <v>-83</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0</v>
      </c>
      <c r="F10" s="752">
        <v>0</v>
      </c>
      <c r="G10" s="751">
        <v>0</v>
      </c>
      <c r="H10" s="751">
        <f t="shared" si="4"/>
        <v>83</v>
      </c>
      <c r="I10" s="45">
        <f t="shared" si="1"/>
        <v>-83</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0</v>
      </c>
      <c r="F11" s="752">
        <v>0</v>
      </c>
      <c r="G11" s="751">
        <v>0</v>
      </c>
      <c r="H11" s="751">
        <f t="shared" si="4"/>
        <v>83</v>
      </c>
      <c r="I11" s="45">
        <f t="shared" si="1"/>
        <v>-83</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0</v>
      </c>
      <c r="F12" s="752">
        <v>0</v>
      </c>
      <c r="G12" s="751">
        <v>0</v>
      </c>
      <c r="H12" s="751">
        <f t="shared" si="4"/>
        <v>83</v>
      </c>
      <c r="I12" s="45">
        <f t="shared" si="1"/>
        <v>-83</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0</v>
      </c>
      <c r="F13" s="752">
        <v>0</v>
      </c>
      <c r="G13" s="751">
        <v>0</v>
      </c>
      <c r="H13" s="751">
        <f t="shared" si="4"/>
        <v>83</v>
      </c>
      <c r="I13" s="45">
        <f t="shared" si="1"/>
        <v>-83</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0</v>
      </c>
      <c r="F14" s="752">
        <v>0</v>
      </c>
      <c r="G14" s="751">
        <v>0</v>
      </c>
      <c r="H14" s="751">
        <f t="shared" si="4"/>
        <v>83</v>
      </c>
      <c r="I14" s="45">
        <f t="shared" si="1"/>
        <v>-83</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0</v>
      </c>
      <c r="F15" s="752">
        <v>0</v>
      </c>
      <c r="G15" s="751">
        <v>0</v>
      </c>
      <c r="H15" s="751">
        <f t="shared" si="4"/>
        <v>83</v>
      </c>
      <c r="I15" s="45">
        <f t="shared" si="1"/>
        <v>-83</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0</v>
      </c>
      <c r="F17" s="446">
        <f t="shared" si="5"/>
        <v>0</v>
      </c>
      <c r="G17" s="444">
        <f t="shared" si="5"/>
        <v>0</v>
      </c>
      <c r="H17" s="444">
        <f t="shared" si="5"/>
        <v>166999</v>
      </c>
      <c r="I17" s="45">
        <f t="shared" si="1"/>
        <v>-166999</v>
      </c>
      <c r="J17" s="333">
        <f t="shared" si="2"/>
        <v>-1</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0</v>
      </c>
      <c r="F18" s="752">
        <v>0</v>
      </c>
      <c r="G18" s="751">
        <v>0</v>
      </c>
      <c r="H18" s="751">
        <f t="shared" ref="H18:H22" si="6">D18/12</f>
        <v>166750</v>
      </c>
      <c r="I18" s="45">
        <f t="shared" si="1"/>
        <v>-166750</v>
      </c>
      <c r="J18" s="333">
        <f t="shared" si="2"/>
        <v>-1</v>
      </c>
      <c r="K18" s="753">
        <f t="shared" ref="K18:K27" si="7">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0</v>
      </c>
      <c r="F19" s="752">
        <v>0</v>
      </c>
      <c r="G19" s="751">
        <v>0</v>
      </c>
      <c r="H19" s="751">
        <f t="shared" si="6"/>
        <v>83</v>
      </c>
      <c r="I19" s="45">
        <f t="shared" si="1"/>
        <v>-83</v>
      </c>
      <c r="J19" s="333">
        <f t="shared" si="2"/>
        <v>-1</v>
      </c>
      <c r="K19" s="753">
        <f t="shared" si="7"/>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0</v>
      </c>
      <c r="F20" s="752">
        <v>0</v>
      </c>
      <c r="G20" s="751">
        <v>0</v>
      </c>
      <c r="H20" s="751">
        <f t="shared" si="6"/>
        <v>83</v>
      </c>
      <c r="I20" s="45">
        <f t="shared" si="1"/>
        <v>-83</v>
      </c>
      <c r="J20" s="333">
        <f t="shared" si="2"/>
        <v>-1</v>
      </c>
      <c r="K20" s="753">
        <f t="shared" si="7"/>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0</v>
      </c>
      <c r="F21" s="752">
        <v>0</v>
      </c>
      <c r="G21" s="751">
        <v>0</v>
      </c>
      <c r="H21" s="751">
        <f t="shared" si="6"/>
        <v>83</v>
      </c>
      <c r="I21" s="45">
        <f t="shared" si="1"/>
        <v>-83</v>
      </c>
      <c r="J21" s="333">
        <f t="shared" si="2"/>
        <v>-1</v>
      </c>
      <c r="K21" s="753">
        <f t="shared" si="7"/>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6"/>
        <v>0</v>
      </c>
      <c r="I22" s="45">
        <f t="shared" si="1"/>
        <v>0</v>
      </c>
      <c r="J22" s="333" t="str">
        <f t="shared" si="2"/>
        <v/>
      </c>
      <c r="K22" s="753">
        <f t="shared" si="7"/>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v>0</v>
      </c>
      <c r="I23" s="45">
        <f t="shared" si="1"/>
        <v>0</v>
      </c>
      <c r="J23" s="333" t="str">
        <f t="shared" si="2"/>
        <v/>
      </c>
      <c r="K23" s="753">
        <f t="shared" si="7"/>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v>0</v>
      </c>
      <c r="I24" s="45">
        <f t="shared" si="1"/>
        <v>0</v>
      </c>
      <c r="J24" s="333" t="str">
        <f t="shared" si="2"/>
        <v/>
      </c>
      <c r="K24" s="753">
        <f t="shared" si="7"/>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v>0</v>
      </c>
      <c r="I25" s="45">
        <f t="shared" si="1"/>
        <v>0</v>
      </c>
      <c r="J25" s="333" t="str">
        <f t="shared" si="2"/>
        <v/>
      </c>
      <c r="K25" s="753">
        <f t="shared" si="7"/>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v>0</v>
      </c>
      <c r="I26" s="45">
        <f t="shared" si="1"/>
        <v>0</v>
      </c>
      <c r="J26" s="333" t="str">
        <f t="shared" si="2"/>
        <v/>
      </c>
      <c r="K26" s="753">
        <f t="shared" si="7"/>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v>0</v>
      </c>
      <c r="I27" s="45">
        <f t="shared" si="1"/>
        <v>0</v>
      </c>
      <c r="J27" s="333" t="str">
        <f t="shared" si="2"/>
        <v/>
      </c>
      <c r="K27" s="753">
        <f t="shared" si="7"/>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8">SUM(C29:C38)</f>
        <v>367920359.03999996</v>
      </c>
      <c r="D28" s="447">
        <f t="shared" si="8"/>
        <v>444755976</v>
      </c>
      <c r="E28" s="444">
        <f t="shared" si="8"/>
        <v>0</v>
      </c>
      <c r="F28" s="446">
        <f t="shared" si="8"/>
        <v>36366493.75</v>
      </c>
      <c r="G28" s="446">
        <f t="shared" si="8"/>
        <v>36366493.75</v>
      </c>
      <c r="H28" s="446">
        <f t="shared" si="8"/>
        <v>37062998</v>
      </c>
      <c r="I28" s="45">
        <f t="shared" si="1"/>
        <v>-696504.25</v>
      </c>
      <c r="J28" s="333">
        <f t="shared" si="2"/>
        <v>-1.8792442262765684E-2</v>
      </c>
      <c r="K28" s="445">
        <f t="shared" si="8"/>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0</v>
      </c>
      <c r="F29" s="752">
        <v>0</v>
      </c>
      <c r="G29" s="751">
        <v>0</v>
      </c>
      <c r="H29" s="751">
        <f t="shared" ref="H29:H34" si="9">D29/12</f>
        <v>83</v>
      </c>
      <c r="I29" s="259">
        <f t="shared" si="1"/>
        <v>-83</v>
      </c>
      <c r="J29" s="333">
        <f t="shared" si="2"/>
        <v>-1</v>
      </c>
      <c r="K29" s="753">
        <f t="shared" ref="K29:K37" si="10">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0</v>
      </c>
      <c r="F30" s="752">
        <v>26757393.540000003</v>
      </c>
      <c r="G30" s="751">
        <v>26757393.540000003</v>
      </c>
      <c r="H30" s="751">
        <f t="shared" si="9"/>
        <v>25914915</v>
      </c>
      <c r="I30" s="45">
        <f t="shared" si="1"/>
        <v>842478.54000000283</v>
      </c>
      <c r="J30" s="333">
        <f t="shared" si="2"/>
        <v>3.2509407806276917E-2</v>
      </c>
      <c r="K30" s="753">
        <f t="shared" si="10"/>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0</v>
      </c>
      <c r="F31" s="752">
        <v>116.29</v>
      </c>
      <c r="G31" s="751">
        <v>116.29</v>
      </c>
      <c r="H31" s="751">
        <f t="shared" si="9"/>
        <v>11147834</v>
      </c>
      <c r="I31" s="45">
        <f t="shared" si="1"/>
        <v>-11147717.710000001</v>
      </c>
      <c r="J31" s="333">
        <f t="shared" si="2"/>
        <v>-0.99998956837713948</v>
      </c>
      <c r="K31" s="753">
        <f t="shared" si="10"/>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0</v>
      </c>
      <c r="F32" s="752">
        <v>9608983.9199999999</v>
      </c>
      <c r="G32" s="751">
        <v>9608983.9199999999</v>
      </c>
      <c r="H32" s="751">
        <f t="shared" si="9"/>
        <v>83</v>
      </c>
      <c r="I32" s="45">
        <f t="shared" si="1"/>
        <v>9608900.9199999999</v>
      </c>
      <c r="J32" s="333">
        <f t="shared" si="2"/>
        <v>115769.89060240964</v>
      </c>
      <c r="K32" s="753">
        <f t="shared" si="10"/>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0</v>
      </c>
      <c r="F33" s="752">
        <v>0</v>
      </c>
      <c r="G33" s="751">
        <v>0</v>
      </c>
      <c r="H33" s="751">
        <f t="shared" si="9"/>
        <v>83</v>
      </c>
      <c r="I33" s="45">
        <f t="shared" si="1"/>
        <v>-83</v>
      </c>
      <c r="J33" s="333">
        <f t="shared" si="2"/>
        <v>-1</v>
      </c>
      <c r="K33" s="753">
        <f t="shared" si="10"/>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9"/>
        <v>0</v>
      </c>
      <c r="I34" s="45">
        <f t="shared" si="1"/>
        <v>0</v>
      </c>
      <c r="J34" s="333" t="str">
        <f t="shared" si="2"/>
        <v/>
      </c>
      <c r="K34" s="753">
        <f t="shared" si="10"/>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v>0</v>
      </c>
      <c r="I35" s="45">
        <f t="shared" si="1"/>
        <v>0</v>
      </c>
      <c r="J35" s="333" t="str">
        <f t="shared" si="2"/>
        <v/>
      </c>
      <c r="K35" s="753">
        <f t="shared" si="10"/>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v>0</v>
      </c>
      <c r="I36" s="45">
        <f t="shared" si="1"/>
        <v>0</v>
      </c>
      <c r="J36" s="333" t="str">
        <f t="shared" si="2"/>
        <v/>
      </c>
      <c r="K36" s="753">
        <f t="shared" si="10"/>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v>0</v>
      </c>
      <c r="I37" s="45">
        <f t="shared" si="1"/>
        <v>0</v>
      </c>
      <c r="J37" s="333" t="str">
        <f t="shared" si="2"/>
        <v/>
      </c>
      <c r="K37" s="753">
        <f t="shared" si="10"/>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1">SUM(C40:C49)</f>
        <v>956100536.37</v>
      </c>
      <c r="D39" s="447">
        <f t="shared" si="11"/>
        <v>1192843992</v>
      </c>
      <c r="E39" s="444">
        <f t="shared" si="11"/>
        <v>0</v>
      </c>
      <c r="F39" s="446">
        <f t="shared" si="11"/>
        <v>73541086.38000001</v>
      </c>
      <c r="G39" s="444">
        <f t="shared" si="11"/>
        <v>73541086.38000001</v>
      </c>
      <c r="H39" s="444">
        <f t="shared" si="11"/>
        <v>99403666</v>
      </c>
      <c r="I39" s="45">
        <f t="shared" si="1"/>
        <v>-25862579.61999999</v>
      </c>
      <c r="J39" s="333">
        <f t="shared" si="2"/>
        <v>-0.26017732203156363</v>
      </c>
      <c r="K39" s="445">
        <f t="shared" si="11"/>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0</v>
      </c>
      <c r="F40" s="752">
        <v>0</v>
      </c>
      <c r="G40" s="751">
        <v>0</v>
      </c>
      <c r="H40" s="751">
        <f t="shared" ref="H40:H44" si="12">D40/12</f>
        <v>83</v>
      </c>
      <c r="I40" s="45">
        <f t="shared" si="1"/>
        <v>-83</v>
      </c>
      <c r="J40" s="333">
        <f t="shared" si="2"/>
        <v>-1</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0</v>
      </c>
      <c r="F41" s="752">
        <v>0</v>
      </c>
      <c r="G41" s="751">
        <v>0</v>
      </c>
      <c r="H41" s="751">
        <f t="shared" si="12"/>
        <v>99403334</v>
      </c>
      <c r="I41" s="45">
        <f t="shared" si="1"/>
        <v>-99403334</v>
      </c>
      <c r="J41" s="333">
        <f t="shared" si="2"/>
        <v>-1</v>
      </c>
      <c r="K41" s="753">
        <f t="shared" ref="K41:K49" si="13">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0</v>
      </c>
      <c r="F42" s="752">
        <v>0</v>
      </c>
      <c r="G42" s="751">
        <v>0</v>
      </c>
      <c r="H42" s="751">
        <f t="shared" si="12"/>
        <v>83</v>
      </c>
      <c r="I42" s="45">
        <f t="shared" si="1"/>
        <v>-83</v>
      </c>
      <c r="J42" s="333">
        <f t="shared" si="2"/>
        <v>-1</v>
      </c>
      <c r="K42" s="753">
        <f t="shared" si="13"/>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0</v>
      </c>
      <c r="F43" s="752">
        <v>0</v>
      </c>
      <c r="G43" s="751">
        <v>0</v>
      </c>
      <c r="H43" s="751">
        <f t="shared" si="12"/>
        <v>83</v>
      </c>
      <c r="I43" s="45">
        <f t="shared" si="1"/>
        <v>-83</v>
      </c>
      <c r="J43" s="333">
        <f t="shared" si="2"/>
        <v>-1</v>
      </c>
      <c r="K43" s="753">
        <f t="shared" si="13"/>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0</v>
      </c>
      <c r="F44" s="752">
        <v>73541086.38000001</v>
      </c>
      <c r="G44" s="751">
        <v>73541086.38000001</v>
      </c>
      <c r="H44" s="751">
        <f t="shared" si="12"/>
        <v>83</v>
      </c>
      <c r="I44" s="45">
        <f t="shared" si="1"/>
        <v>73541003.38000001</v>
      </c>
      <c r="J44" s="333">
        <f t="shared" si="2"/>
        <v>886036.18530120491</v>
      </c>
      <c r="K44" s="753">
        <f t="shared" si="13"/>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v>0</v>
      </c>
      <c r="I45" s="45">
        <f t="shared" si="1"/>
        <v>0</v>
      </c>
      <c r="J45" s="333" t="str">
        <f t="shared" si="2"/>
        <v/>
      </c>
      <c r="K45" s="753">
        <f t="shared" si="13"/>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v>0</v>
      </c>
      <c r="I46" s="45">
        <f t="shared" si="1"/>
        <v>0</v>
      </c>
      <c r="J46" s="333" t="str">
        <f t="shared" si="2"/>
        <v/>
      </c>
      <c r="K46" s="753">
        <f t="shared" si="13"/>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v>0</v>
      </c>
      <c r="I47" s="45">
        <f t="shared" si="1"/>
        <v>0</v>
      </c>
      <c r="J47" s="333" t="str">
        <f t="shared" si="2"/>
        <v/>
      </c>
      <c r="K47" s="753">
        <f t="shared" si="13"/>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v>0</v>
      </c>
      <c r="I48" s="45">
        <f t="shared" si="1"/>
        <v>0</v>
      </c>
      <c r="J48" s="333" t="str">
        <f t="shared" si="2"/>
        <v/>
      </c>
      <c r="K48" s="753">
        <f t="shared" si="13"/>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v>0</v>
      </c>
      <c r="I49" s="45">
        <f t="shared" si="1"/>
        <v>0</v>
      </c>
      <c r="J49" s="333" t="str">
        <f t="shared" si="2"/>
        <v/>
      </c>
      <c r="K49" s="753">
        <f t="shared" si="13"/>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4">SUM(D51:D60)</f>
        <v>145662912</v>
      </c>
      <c r="E50" s="444">
        <f t="shared" si="14"/>
        <v>0</v>
      </c>
      <c r="F50" s="446">
        <f t="shared" si="14"/>
        <v>10055988.639999999</v>
      </c>
      <c r="G50" s="444">
        <f t="shared" si="14"/>
        <v>10055988.639999999</v>
      </c>
      <c r="H50" s="444">
        <f t="shared" si="14"/>
        <v>12138576</v>
      </c>
      <c r="I50" s="45">
        <f t="shared" si="1"/>
        <v>-2082587.3600000013</v>
      </c>
      <c r="J50" s="333">
        <f t="shared" si="2"/>
        <v>-0.17156768306265918</v>
      </c>
      <c r="K50" s="445">
        <f t="shared" si="14"/>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 t="shared" ref="H51:H60" si="15">D51/12</f>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0</v>
      </c>
      <c r="F52" s="752">
        <v>117489.36</v>
      </c>
      <c r="G52" s="751">
        <v>117489.36</v>
      </c>
      <c r="H52" s="751">
        <f t="shared" si="15"/>
        <v>924413</v>
      </c>
      <c r="I52" s="45">
        <f t="shared" si="1"/>
        <v>-806923.64</v>
      </c>
      <c r="J52" s="333">
        <f t="shared" si="2"/>
        <v>-0.87290382112756959</v>
      </c>
      <c r="K52" s="753">
        <f t="shared" ref="K52:K60" si="16">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0</v>
      </c>
      <c r="F53" s="752">
        <v>0</v>
      </c>
      <c r="G53" s="751">
        <v>0</v>
      </c>
      <c r="H53" s="751">
        <f t="shared" si="15"/>
        <v>166</v>
      </c>
      <c r="I53" s="45">
        <f t="shared" si="1"/>
        <v>-166</v>
      </c>
      <c r="J53" s="333">
        <f t="shared" si="2"/>
        <v>-1</v>
      </c>
      <c r="K53" s="753">
        <f t="shared" si="16"/>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0</v>
      </c>
      <c r="F54" s="752">
        <v>0</v>
      </c>
      <c r="G54" s="751">
        <v>0</v>
      </c>
      <c r="H54" s="751">
        <f t="shared" si="15"/>
        <v>47750</v>
      </c>
      <c r="I54" s="45">
        <f t="shared" si="1"/>
        <v>-47750</v>
      </c>
      <c r="J54" s="333">
        <f t="shared" si="2"/>
        <v>-1</v>
      </c>
      <c r="K54" s="753">
        <f t="shared" si="16"/>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0</v>
      </c>
      <c r="F55" s="752">
        <v>8995.66</v>
      </c>
      <c r="G55" s="751">
        <v>8995.66</v>
      </c>
      <c r="H55" s="751">
        <f t="shared" si="15"/>
        <v>17583</v>
      </c>
      <c r="I55" s="45">
        <f t="shared" si="1"/>
        <v>-8587.34</v>
      </c>
      <c r="J55" s="333">
        <f t="shared" si="2"/>
        <v>-0.48838878462150942</v>
      </c>
      <c r="K55" s="753">
        <f t="shared" si="16"/>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0</v>
      </c>
      <c r="F56" s="752">
        <v>20669.939999999999</v>
      </c>
      <c r="G56" s="751">
        <v>20669.939999999999</v>
      </c>
      <c r="H56" s="751">
        <f t="shared" si="15"/>
        <v>29999</v>
      </c>
      <c r="I56" s="45">
        <f t="shared" si="1"/>
        <v>-9329.0600000000013</v>
      </c>
      <c r="J56" s="333">
        <f t="shared" si="2"/>
        <v>-0.31097903263442117</v>
      </c>
      <c r="K56" s="753">
        <f t="shared" si="16"/>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0</v>
      </c>
      <c r="F57" s="752">
        <v>0</v>
      </c>
      <c r="G57" s="751">
        <v>0</v>
      </c>
      <c r="H57" s="751">
        <f t="shared" si="15"/>
        <v>166</v>
      </c>
      <c r="I57" s="45">
        <f t="shared" si="1"/>
        <v>-166</v>
      </c>
      <c r="J57" s="333">
        <f t="shared" si="2"/>
        <v>-1</v>
      </c>
      <c r="K57" s="753">
        <f t="shared" si="16"/>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0</v>
      </c>
      <c r="F58" s="752">
        <v>139606.14000000001</v>
      </c>
      <c r="G58" s="751">
        <v>139606.14000000001</v>
      </c>
      <c r="H58" s="751">
        <f t="shared" si="15"/>
        <v>93833</v>
      </c>
      <c r="I58" s="45">
        <f t="shared" si="1"/>
        <v>45773.140000000014</v>
      </c>
      <c r="J58" s="333">
        <f t="shared" si="2"/>
        <v>0.48781494783285212</v>
      </c>
      <c r="K58" s="753">
        <f t="shared" si="16"/>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0</v>
      </c>
      <c r="F59" s="752">
        <v>9605852.8399999999</v>
      </c>
      <c r="G59" s="751">
        <v>9605852.8399999999</v>
      </c>
      <c r="H59" s="751">
        <f t="shared" si="15"/>
        <v>10719249</v>
      </c>
      <c r="I59" s="45">
        <f t="shared" si="1"/>
        <v>-1113396.1600000001</v>
      </c>
      <c r="J59" s="333">
        <f t="shared" si="2"/>
        <v>-0.10386885872321841</v>
      </c>
      <c r="K59" s="753">
        <f t="shared" si="16"/>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0</v>
      </c>
      <c r="F60" s="752">
        <v>163374.69999999998</v>
      </c>
      <c r="G60" s="751">
        <v>163374.69999999998</v>
      </c>
      <c r="H60" s="751">
        <f t="shared" si="15"/>
        <v>305417</v>
      </c>
      <c r="I60" s="45">
        <f t="shared" si="1"/>
        <v>-142042.30000000002</v>
      </c>
      <c r="J60" s="333">
        <f t="shared" si="2"/>
        <v>-0.46507660018924951</v>
      </c>
      <c r="K60" s="753">
        <f t="shared" si="16"/>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7">SUM(D62:D71)</f>
        <v>66258972</v>
      </c>
      <c r="E61" s="444">
        <f t="shared" si="17"/>
        <v>0</v>
      </c>
      <c r="F61" s="446">
        <f t="shared" si="17"/>
        <v>1187444.6300000001</v>
      </c>
      <c r="G61" s="444">
        <f t="shared" si="17"/>
        <v>1187444.6300000001</v>
      </c>
      <c r="H61" s="444">
        <f t="shared" si="17"/>
        <v>5521581</v>
      </c>
      <c r="I61" s="45">
        <f t="shared" si="1"/>
        <v>-4334136.37</v>
      </c>
      <c r="J61" s="333">
        <f t="shared" si="2"/>
        <v>-0.78494481381329007</v>
      </c>
      <c r="K61" s="445">
        <f t="shared" si="17"/>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0</v>
      </c>
      <c r="F62" s="752">
        <v>5441.61</v>
      </c>
      <c r="G62" s="751">
        <v>5441.61</v>
      </c>
      <c r="H62" s="751">
        <f t="shared" ref="H62:H71" si="18">D62/12</f>
        <v>1166</v>
      </c>
      <c r="I62" s="45">
        <f t="shared" si="1"/>
        <v>4275.6099999999997</v>
      </c>
      <c r="J62" s="333">
        <f t="shared" si="2"/>
        <v>3.6669039451114922</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48041.61</v>
      </c>
      <c r="G63" s="751">
        <v>48041.61</v>
      </c>
      <c r="H63" s="751">
        <f t="shared" si="18"/>
        <v>0</v>
      </c>
      <c r="I63" s="45">
        <f t="shared" si="1"/>
        <v>48041.61</v>
      </c>
      <c r="J63" s="333" t="e">
        <f t="shared" si="2"/>
        <v>#DIV/0!</v>
      </c>
      <c r="K63" s="753">
        <f t="shared" ref="K63:K71" si="19">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0</v>
      </c>
      <c r="F64" s="752">
        <v>0</v>
      </c>
      <c r="G64" s="751">
        <v>0</v>
      </c>
      <c r="H64" s="751">
        <f t="shared" si="18"/>
        <v>83</v>
      </c>
      <c r="I64" s="45">
        <f t="shared" si="1"/>
        <v>-83</v>
      </c>
      <c r="J64" s="333">
        <f t="shared" si="2"/>
        <v>-1</v>
      </c>
      <c r="K64" s="753">
        <f t="shared" si="19"/>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0</v>
      </c>
      <c r="F65" s="752">
        <v>0</v>
      </c>
      <c r="G65" s="751">
        <v>0</v>
      </c>
      <c r="H65" s="751">
        <f t="shared" si="18"/>
        <v>2211083</v>
      </c>
      <c r="I65" s="45">
        <f t="shared" si="1"/>
        <v>-2211083</v>
      </c>
      <c r="J65" s="333">
        <f t="shared" si="2"/>
        <v>-1</v>
      </c>
      <c r="K65" s="753">
        <f t="shared" si="19"/>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0</v>
      </c>
      <c r="F66" s="752">
        <v>2419.13</v>
      </c>
      <c r="G66" s="751">
        <v>2419.13</v>
      </c>
      <c r="H66" s="751">
        <f t="shared" si="18"/>
        <v>1197833</v>
      </c>
      <c r="I66" s="45">
        <f t="shared" si="1"/>
        <v>-1195413.8700000001</v>
      </c>
      <c r="J66" s="333">
        <f t="shared" si="2"/>
        <v>-0.99798041129272619</v>
      </c>
      <c r="K66" s="753">
        <f t="shared" si="19"/>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0</v>
      </c>
      <c r="F67" s="752">
        <v>1131318.28</v>
      </c>
      <c r="G67" s="751">
        <v>1131318.28</v>
      </c>
      <c r="H67" s="751">
        <f t="shared" si="18"/>
        <v>2081501</v>
      </c>
      <c r="I67" s="45">
        <f t="shared" si="1"/>
        <v>-950182.72</v>
      </c>
      <c r="J67" s="333">
        <f t="shared" si="2"/>
        <v>-0.45648919697852652</v>
      </c>
      <c r="K67" s="753">
        <f t="shared" si="19"/>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0</v>
      </c>
      <c r="F68" s="752">
        <v>0</v>
      </c>
      <c r="G68" s="751">
        <v>0</v>
      </c>
      <c r="H68" s="751">
        <f t="shared" si="18"/>
        <v>83</v>
      </c>
      <c r="I68" s="45">
        <f t="shared" si="1"/>
        <v>-83</v>
      </c>
      <c r="J68" s="333">
        <f t="shared" si="2"/>
        <v>-1</v>
      </c>
      <c r="K68" s="753">
        <f t="shared" si="19"/>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0</v>
      </c>
      <c r="F69" s="752">
        <v>0</v>
      </c>
      <c r="G69" s="751">
        <v>0</v>
      </c>
      <c r="H69" s="751">
        <f t="shared" si="18"/>
        <v>29583</v>
      </c>
      <c r="I69" s="45">
        <f t="shared" si="1"/>
        <v>-29583</v>
      </c>
      <c r="J69" s="333">
        <f t="shared" si="2"/>
        <v>-1</v>
      </c>
      <c r="K69" s="753">
        <f t="shared" si="19"/>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0</v>
      </c>
      <c r="F70" s="752">
        <v>224</v>
      </c>
      <c r="G70" s="751">
        <v>224</v>
      </c>
      <c r="H70" s="751">
        <f t="shared" si="18"/>
        <v>249</v>
      </c>
      <c r="I70" s="45">
        <f t="shared" ref="I70:I133" si="20">G70-H70</f>
        <v>-25</v>
      </c>
      <c r="J70" s="333">
        <f t="shared" ref="J70:J133" si="21">IF(I70=0,"",I70/H70)</f>
        <v>-0.10040160642570281</v>
      </c>
      <c r="K70" s="753">
        <f t="shared" si="19"/>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0</v>
      </c>
      <c r="G71" s="751">
        <v>0</v>
      </c>
      <c r="H71" s="751">
        <f t="shared" si="18"/>
        <v>0</v>
      </c>
      <c r="I71" s="45">
        <f t="shared" si="20"/>
        <v>0</v>
      </c>
      <c r="J71" s="333" t="str">
        <f t="shared" si="21"/>
        <v/>
      </c>
      <c r="K71" s="753">
        <f t="shared" si="19"/>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2">SUM(C73:C82)</f>
        <v>30173364.699999999</v>
      </c>
      <c r="D72" s="447">
        <f t="shared" si="22"/>
        <v>5668944</v>
      </c>
      <c r="E72" s="444">
        <f t="shared" si="22"/>
        <v>0</v>
      </c>
      <c r="F72" s="446">
        <f t="shared" si="22"/>
        <v>612.17999999999995</v>
      </c>
      <c r="G72" s="444">
        <f t="shared" si="22"/>
        <v>612.17999999999995</v>
      </c>
      <c r="H72" s="444">
        <f t="shared" si="22"/>
        <v>472412</v>
      </c>
      <c r="I72" s="45">
        <f t="shared" si="20"/>
        <v>-471799.82</v>
      </c>
      <c r="J72" s="333">
        <f t="shared" si="21"/>
        <v>-0.99870413960695326</v>
      </c>
      <c r="K72" s="445">
        <f t="shared" si="22"/>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0</v>
      </c>
      <c r="F73" s="752">
        <v>0</v>
      </c>
      <c r="G73" s="751">
        <v>0</v>
      </c>
      <c r="H73" s="751">
        <f t="shared" ref="H73:H82" si="23">D73/12</f>
        <v>83</v>
      </c>
      <c r="I73" s="45">
        <f t="shared" si="20"/>
        <v>-83</v>
      </c>
      <c r="J73" s="333">
        <f t="shared" si="21"/>
        <v>-1</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0</v>
      </c>
      <c r="F74" s="752">
        <v>508.7</v>
      </c>
      <c r="G74" s="751">
        <v>508.7</v>
      </c>
      <c r="H74" s="751">
        <f t="shared" si="23"/>
        <v>250</v>
      </c>
      <c r="I74" s="45">
        <f t="shared" si="20"/>
        <v>258.7</v>
      </c>
      <c r="J74" s="333">
        <f t="shared" si="21"/>
        <v>1.0347999999999999</v>
      </c>
      <c r="K74" s="753">
        <f t="shared" ref="K74:K82" si="24">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0</v>
      </c>
      <c r="F75" s="752">
        <v>0</v>
      </c>
      <c r="G75" s="751">
        <v>0</v>
      </c>
      <c r="H75" s="751">
        <f t="shared" si="23"/>
        <v>1416</v>
      </c>
      <c r="I75" s="45">
        <f t="shared" si="20"/>
        <v>-1416</v>
      </c>
      <c r="J75" s="333">
        <f t="shared" si="21"/>
        <v>-1</v>
      </c>
      <c r="K75" s="753">
        <f t="shared" si="24"/>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0</v>
      </c>
      <c r="F76" s="752">
        <v>0</v>
      </c>
      <c r="G76" s="751">
        <v>0</v>
      </c>
      <c r="H76" s="751">
        <f t="shared" si="23"/>
        <v>166</v>
      </c>
      <c r="I76" s="45">
        <f t="shared" si="20"/>
        <v>-166</v>
      </c>
      <c r="J76" s="333">
        <f t="shared" si="21"/>
        <v>-1</v>
      </c>
      <c r="K76" s="753">
        <f t="shared" si="24"/>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0</v>
      </c>
      <c r="F77" s="752">
        <v>0</v>
      </c>
      <c r="G77" s="751">
        <v>0</v>
      </c>
      <c r="H77" s="751">
        <f t="shared" si="23"/>
        <v>166</v>
      </c>
      <c r="I77" s="45">
        <f t="shared" si="20"/>
        <v>-166</v>
      </c>
      <c r="J77" s="333">
        <f t="shared" si="21"/>
        <v>-1</v>
      </c>
      <c r="K77" s="753">
        <f t="shared" si="24"/>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0</v>
      </c>
      <c r="F78" s="752">
        <v>103.48</v>
      </c>
      <c r="G78" s="751">
        <v>103.48</v>
      </c>
      <c r="H78" s="751">
        <f t="shared" si="23"/>
        <v>166</v>
      </c>
      <c r="I78" s="45">
        <f t="shared" si="20"/>
        <v>-62.519999999999996</v>
      </c>
      <c r="J78" s="333">
        <f t="shared" si="21"/>
        <v>-0.37662650602409636</v>
      </c>
      <c r="K78" s="753">
        <f t="shared" si="24"/>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0</v>
      </c>
      <c r="F79" s="752">
        <v>0</v>
      </c>
      <c r="G79" s="751">
        <v>0</v>
      </c>
      <c r="H79" s="751">
        <f t="shared" si="23"/>
        <v>470165</v>
      </c>
      <c r="I79" s="45">
        <f t="shared" si="20"/>
        <v>-470165</v>
      </c>
      <c r="J79" s="333">
        <f t="shared" si="21"/>
        <v>-1</v>
      </c>
      <c r="K79" s="753">
        <f t="shared" si="24"/>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23"/>
        <v>0</v>
      </c>
      <c r="I80" s="45">
        <f t="shared" si="20"/>
        <v>0</v>
      </c>
      <c r="J80" s="333" t="str">
        <f t="shared" si="21"/>
        <v/>
      </c>
      <c r="K80" s="753">
        <f t="shared" si="24"/>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23"/>
        <v>0</v>
      </c>
      <c r="I81" s="45">
        <f t="shared" si="20"/>
        <v>0</v>
      </c>
      <c r="J81" s="333" t="str">
        <f t="shared" si="21"/>
        <v/>
      </c>
      <c r="K81" s="753">
        <f t="shared" si="24"/>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0</v>
      </c>
      <c r="G82" s="751">
        <v>0</v>
      </c>
      <c r="H82" s="751">
        <f t="shared" si="23"/>
        <v>0</v>
      </c>
      <c r="I82" s="45">
        <f t="shared" si="20"/>
        <v>0</v>
      </c>
      <c r="J82" s="333" t="str">
        <f t="shared" si="21"/>
        <v/>
      </c>
      <c r="K82" s="753">
        <f t="shared" si="24"/>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5">SUM(D84:D93)</f>
        <v>53479932</v>
      </c>
      <c r="E83" s="444">
        <f t="shared" si="25"/>
        <v>0</v>
      </c>
      <c r="F83" s="446">
        <f t="shared" si="25"/>
        <v>21461256.73</v>
      </c>
      <c r="G83" s="444">
        <f t="shared" si="25"/>
        <v>21461256.73</v>
      </c>
      <c r="H83" s="444">
        <f t="shared" si="25"/>
        <v>4456661</v>
      </c>
      <c r="I83" s="45">
        <f t="shared" si="20"/>
        <v>17004595.73</v>
      </c>
      <c r="J83" s="333">
        <f t="shared" si="21"/>
        <v>3.8155461521529235</v>
      </c>
      <c r="K83" s="445">
        <f t="shared" si="25"/>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0</v>
      </c>
      <c r="F84" s="752">
        <v>0</v>
      </c>
      <c r="G84" s="751">
        <v>0</v>
      </c>
      <c r="H84" s="751">
        <f t="shared" ref="H84:H92" si="26">D84/12</f>
        <v>83</v>
      </c>
      <c r="I84" s="45">
        <f t="shared" si="20"/>
        <v>-83</v>
      </c>
      <c r="J84" s="333">
        <f t="shared" si="21"/>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0</v>
      </c>
      <c r="F85" s="752">
        <v>20499989.289999999</v>
      </c>
      <c r="G85" s="751">
        <v>20499989.289999999</v>
      </c>
      <c r="H85" s="751">
        <f t="shared" si="26"/>
        <v>249</v>
      </c>
      <c r="I85" s="45">
        <f t="shared" si="20"/>
        <v>20499740.289999999</v>
      </c>
      <c r="J85" s="333">
        <f t="shared" si="21"/>
        <v>82328.274257028112</v>
      </c>
      <c r="K85" s="753">
        <f t="shared" ref="K85:K93" si="27">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0</v>
      </c>
      <c r="F86" s="752">
        <v>151705.46</v>
      </c>
      <c r="G86" s="751">
        <v>151705.46</v>
      </c>
      <c r="H86" s="751">
        <f t="shared" si="26"/>
        <v>4452915</v>
      </c>
      <c r="I86" s="45">
        <f t="shared" si="20"/>
        <v>-4301209.54</v>
      </c>
      <c r="J86" s="333">
        <f t="shared" si="21"/>
        <v>-0.96593120236968366</v>
      </c>
      <c r="K86" s="753">
        <f t="shared" si="27"/>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0</v>
      </c>
      <c r="F87" s="752">
        <v>0</v>
      </c>
      <c r="G87" s="751">
        <v>0</v>
      </c>
      <c r="H87" s="751">
        <f t="shared" si="26"/>
        <v>83</v>
      </c>
      <c r="I87" s="45">
        <f t="shared" si="20"/>
        <v>-83</v>
      </c>
      <c r="J87" s="333">
        <f t="shared" si="21"/>
        <v>-1</v>
      </c>
      <c r="K87" s="753">
        <f t="shared" si="27"/>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0</v>
      </c>
      <c r="F88" s="752">
        <v>0</v>
      </c>
      <c r="G88" s="751">
        <v>0</v>
      </c>
      <c r="H88" s="751">
        <f t="shared" si="26"/>
        <v>83</v>
      </c>
      <c r="I88" s="45">
        <f t="shared" si="20"/>
        <v>-83</v>
      </c>
      <c r="J88" s="333">
        <f t="shared" si="21"/>
        <v>-1</v>
      </c>
      <c r="K88" s="753">
        <f t="shared" si="27"/>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0</v>
      </c>
      <c r="F89" s="752">
        <v>482.61</v>
      </c>
      <c r="G89" s="751">
        <v>482.61</v>
      </c>
      <c r="H89" s="751">
        <f t="shared" si="26"/>
        <v>83</v>
      </c>
      <c r="I89" s="45">
        <f t="shared" si="20"/>
        <v>399.61</v>
      </c>
      <c r="J89" s="333">
        <f t="shared" si="21"/>
        <v>4.814578313253012</v>
      </c>
      <c r="K89" s="753">
        <f t="shared" si="27"/>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0</v>
      </c>
      <c r="F90" s="752">
        <v>0</v>
      </c>
      <c r="G90" s="751">
        <v>0</v>
      </c>
      <c r="H90" s="751">
        <f t="shared" si="26"/>
        <v>2999</v>
      </c>
      <c r="I90" s="45">
        <f t="shared" si="20"/>
        <v>-2999</v>
      </c>
      <c r="J90" s="333">
        <f t="shared" si="21"/>
        <v>-1</v>
      </c>
      <c r="K90" s="753">
        <f t="shared" si="27"/>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0</v>
      </c>
      <c r="F91" s="752">
        <v>0</v>
      </c>
      <c r="G91" s="751">
        <v>0</v>
      </c>
      <c r="H91" s="751">
        <f t="shared" si="26"/>
        <v>83</v>
      </c>
      <c r="I91" s="45">
        <f t="shared" si="20"/>
        <v>-83</v>
      </c>
      <c r="J91" s="333">
        <f t="shared" si="21"/>
        <v>-1</v>
      </c>
      <c r="K91" s="753">
        <f t="shared" si="27"/>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0</v>
      </c>
      <c r="F92" s="752">
        <v>0</v>
      </c>
      <c r="G92" s="751">
        <v>0</v>
      </c>
      <c r="H92" s="751">
        <f t="shared" si="26"/>
        <v>83</v>
      </c>
      <c r="I92" s="45">
        <f t="shared" si="20"/>
        <v>-83</v>
      </c>
      <c r="J92" s="333">
        <f t="shared" si="21"/>
        <v>-1</v>
      </c>
      <c r="K92" s="753">
        <f t="shared" si="27"/>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809079.37000000011</v>
      </c>
      <c r="G93" s="751">
        <v>809079.37000000011</v>
      </c>
      <c r="H93" s="751">
        <v>0</v>
      </c>
      <c r="I93" s="45">
        <f t="shared" si="20"/>
        <v>809079.37000000011</v>
      </c>
      <c r="J93" s="333" t="e">
        <f t="shared" si="21"/>
        <v>#DIV/0!</v>
      </c>
      <c r="K93" s="753">
        <f t="shared" si="27"/>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1857942943.05</v>
      </c>
      <c r="D94" s="447">
        <f t="shared" ref="D94:K94" si="28">SUM(D95:D104)</f>
        <v>3143104980</v>
      </c>
      <c r="E94" s="444">
        <f t="shared" si="28"/>
        <v>0</v>
      </c>
      <c r="F94" s="446">
        <f t="shared" si="28"/>
        <v>31253731.320000004</v>
      </c>
      <c r="G94" s="444">
        <f t="shared" si="28"/>
        <v>31253731.320000004</v>
      </c>
      <c r="H94" s="444">
        <f t="shared" si="28"/>
        <v>261925415</v>
      </c>
      <c r="I94" s="45">
        <f t="shared" si="20"/>
        <v>-230671683.68000001</v>
      </c>
      <c r="J94" s="333">
        <f t="shared" si="21"/>
        <v>-0.88067698081150314</v>
      </c>
      <c r="K94" s="445">
        <f t="shared" si="28"/>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0</v>
      </c>
      <c r="F95" s="752">
        <v>0</v>
      </c>
      <c r="G95" s="751">
        <v>0</v>
      </c>
      <c r="H95" s="751">
        <f t="shared" ref="H95:H103" si="29">D95/12</f>
        <v>83</v>
      </c>
      <c r="I95" s="45">
        <f t="shared" si="20"/>
        <v>-83</v>
      </c>
      <c r="J95" s="333">
        <f t="shared" si="21"/>
        <v>-1</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si="29"/>
        <v>0</v>
      </c>
      <c r="I96" s="45">
        <f t="shared" si="20"/>
        <v>0</v>
      </c>
      <c r="J96" s="333" t="str">
        <f t="shared" si="21"/>
        <v/>
      </c>
      <c r="K96" s="753">
        <f t="shared" ref="K96:K104" si="30">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0</v>
      </c>
      <c r="D97" s="750">
        <v>3136355004</v>
      </c>
      <c r="E97" s="751">
        <v>0</v>
      </c>
      <c r="F97" s="752">
        <v>8701755.3900000006</v>
      </c>
      <c r="G97" s="751">
        <v>8701755.3900000006</v>
      </c>
      <c r="H97" s="751">
        <f t="shared" si="29"/>
        <v>261362917</v>
      </c>
      <c r="I97" s="45">
        <f t="shared" si="20"/>
        <v>-252661161.61000001</v>
      </c>
      <c r="J97" s="333">
        <f t="shared" si="21"/>
        <v>-0.96670623556745816</v>
      </c>
      <c r="K97" s="753">
        <f t="shared" si="30"/>
        <v>3136355004</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0</v>
      </c>
      <c r="F98" s="752">
        <v>3840.79</v>
      </c>
      <c r="G98" s="751">
        <v>3840.79</v>
      </c>
      <c r="H98" s="751">
        <f t="shared" si="29"/>
        <v>562083</v>
      </c>
      <c r="I98" s="45">
        <f t="shared" si="20"/>
        <v>-558242.21</v>
      </c>
      <c r="J98" s="333">
        <f t="shared" si="21"/>
        <v>-0.99316686325684989</v>
      </c>
      <c r="K98" s="753">
        <f t="shared" si="30"/>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0</v>
      </c>
      <c r="F99" s="752">
        <v>0</v>
      </c>
      <c r="G99" s="751">
        <v>0</v>
      </c>
      <c r="H99" s="751">
        <f t="shared" si="29"/>
        <v>83</v>
      </c>
      <c r="I99" s="45">
        <f t="shared" si="20"/>
        <v>-83</v>
      </c>
      <c r="J99" s="333">
        <f t="shared" si="21"/>
        <v>-1</v>
      </c>
      <c r="K99" s="753">
        <f t="shared" si="30"/>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v>1860958853.3699999</v>
      </c>
      <c r="D100" s="750">
        <v>1992</v>
      </c>
      <c r="E100" s="751">
        <v>0</v>
      </c>
      <c r="F100" s="752">
        <v>22548135.140000004</v>
      </c>
      <c r="G100" s="751">
        <v>22548135.140000004</v>
      </c>
      <c r="H100" s="751">
        <f t="shared" si="29"/>
        <v>166</v>
      </c>
      <c r="I100" s="45">
        <f t="shared" si="20"/>
        <v>22547969.140000004</v>
      </c>
      <c r="J100" s="333">
        <f t="shared" si="21"/>
        <v>135831.13939759039</v>
      </c>
      <c r="K100" s="753">
        <f t="shared" si="30"/>
        <v>1992</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0</v>
      </c>
      <c r="F101" s="752">
        <v>0</v>
      </c>
      <c r="G101" s="751">
        <v>0</v>
      </c>
      <c r="H101" s="751">
        <f t="shared" si="29"/>
        <v>83</v>
      </c>
      <c r="I101" s="45">
        <f t="shared" si="20"/>
        <v>-83</v>
      </c>
      <c r="J101" s="333">
        <f t="shared" si="21"/>
        <v>-1</v>
      </c>
      <c r="K101" s="753">
        <f t="shared" si="30"/>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29"/>
        <v>0</v>
      </c>
      <c r="I102" s="45">
        <f t="shared" si="20"/>
        <v>0</v>
      </c>
      <c r="J102" s="333" t="str">
        <f t="shared" si="21"/>
        <v/>
      </c>
      <c r="K102" s="753">
        <f t="shared" si="30"/>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29"/>
        <v>0</v>
      </c>
      <c r="I103" s="45">
        <f t="shared" si="20"/>
        <v>0</v>
      </c>
      <c r="J103" s="333" t="str">
        <f t="shared" si="21"/>
        <v/>
      </c>
      <c r="K103" s="753">
        <f t="shared" si="30"/>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v>0</v>
      </c>
      <c r="I104" s="45">
        <f t="shared" si="20"/>
        <v>0</v>
      </c>
      <c r="J104" s="333" t="str">
        <f t="shared" si="21"/>
        <v/>
      </c>
      <c r="K104" s="753">
        <f t="shared" si="30"/>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31">SUM(D106:D115)</f>
        <v>276972</v>
      </c>
      <c r="E105" s="444">
        <f t="shared" si="31"/>
        <v>0</v>
      </c>
      <c r="F105" s="446">
        <f t="shared" si="31"/>
        <v>9181018.3499999996</v>
      </c>
      <c r="G105" s="444">
        <f t="shared" si="31"/>
        <v>9181018.3499999996</v>
      </c>
      <c r="H105" s="444">
        <f t="shared" si="31"/>
        <v>23081</v>
      </c>
      <c r="I105" s="45">
        <f t="shared" si="20"/>
        <v>9157937.3499999996</v>
      </c>
      <c r="J105" s="333">
        <f t="shared" si="21"/>
        <v>396.77385511892896</v>
      </c>
      <c r="K105" s="445">
        <f t="shared" si="31"/>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0</v>
      </c>
      <c r="F106" s="752">
        <v>46478.26</v>
      </c>
      <c r="G106" s="751">
        <v>46478.26</v>
      </c>
      <c r="H106" s="751">
        <f t="shared" ref="H106:H112" si="32">D106/12</f>
        <v>22417</v>
      </c>
      <c r="I106" s="45">
        <f t="shared" si="20"/>
        <v>24061.260000000002</v>
      </c>
      <c r="J106" s="333">
        <f t="shared" si="21"/>
        <v>1.0733487977873937</v>
      </c>
      <c r="K106" s="753">
        <f t="shared" ref="K106:K115" si="33">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0</v>
      </c>
      <c r="F107" s="752">
        <v>0</v>
      </c>
      <c r="G107" s="751">
        <v>0</v>
      </c>
      <c r="H107" s="751">
        <f t="shared" si="32"/>
        <v>166</v>
      </c>
      <c r="I107" s="45">
        <f t="shared" si="20"/>
        <v>-166</v>
      </c>
      <c r="J107" s="333">
        <f t="shared" si="21"/>
        <v>-1</v>
      </c>
      <c r="K107" s="753">
        <f t="shared" si="33"/>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0</v>
      </c>
      <c r="F108" s="752">
        <v>0</v>
      </c>
      <c r="G108" s="751">
        <v>0</v>
      </c>
      <c r="H108" s="751">
        <f t="shared" si="32"/>
        <v>83</v>
      </c>
      <c r="I108" s="45">
        <f t="shared" si="20"/>
        <v>-83</v>
      </c>
      <c r="J108" s="333">
        <f t="shared" si="21"/>
        <v>-1</v>
      </c>
      <c r="K108" s="753">
        <f t="shared" si="33"/>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0</v>
      </c>
      <c r="F109" s="752">
        <v>0</v>
      </c>
      <c r="G109" s="751">
        <v>0</v>
      </c>
      <c r="H109" s="751">
        <f t="shared" si="32"/>
        <v>83</v>
      </c>
      <c r="I109" s="45">
        <f t="shared" si="20"/>
        <v>-83</v>
      </c>
      <c r="J109" s="333">
        <f t="shared" si="21"/>
        <v>-1</v>
      </c>
      <c r="K109" s="753">
        <f t="shared" si="33"/>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0</v>
      </c>
      <c r="F110" s="752">
        <v>0</v>
      </c>
      <c r="G110" s="751">
        <v>0</v>
      </c>
      <c r="H110" s="751">
        <f t="shared" si="32"/>
        <v>83</v>
      </c>
      <c r="I110" s="45">
        <f t="shared" si="20"/>
        <v>-83</v>
      </c>
      <c r="J110" s="333">
        <f t="shared" si="21"/>
        <v>-1</v>
      </c>
      <c r="K110" s="753">
        <f t="shared" si="33"/>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0</v>
      </c>
      <c r="F111" s="752">
        <v>9134540.0899999999</v>
      </c>
      <c r="G111" s="751">
        <v>9134540.0899999999</v>
      </c>
      <c r="H111" s="751">
        <f t="shared" si="32"/>
        <v>83</v>
      </c>
      <c r="I111" s="45">
        <f t="shared" si="20"/>
        <v>9134457.0899999999</v>
      </c>
      <c r="J111" s="333">
        <f t="shared" si="21"/>
        <v>110053.69987951807</v>
      </c>
      <c r="K111" s="753">
        <f t="shared" si="33"/>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0</v>
      </c>
      <c r="F112" s="752">
        <v>0</v>
      </c>
      <c r="G112" s="751">
        <v>0</v>
      </c>
      <c r="H112" s="751">
        <f t="shared" si="32"/>
        <v>83</v>
      </c>
      <c r="I112" s="45">
        <f t="shared" si="20"/>
        <v>-83</v>
      </c>
      <c r="J112" s="333">
        <f t="shared" si="21"/>
        <v>-1</v>
      </c>
      <c r="K112" s="753">
        <f t="shared" si="33"/>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v>0</v>
      </c>
      <c r="I113" s="45">
        <f t="shared" si="20"/>
        <v>0</v>
      </c>
      <c r="J113" s="333" t="str">
        <f t="shared" si="21"/>
        <v/>
      </c>
      <c r="K113" s="753">
        <f t="shared" si="33"/>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0</v>
      </c>
      <c r="F114" s="752">
        <v>0</v>
      </c>
      <c r="G114" s="751">
        <v>0</v>
      </c>
      <c r="H114" s="751">
        <v>83</v>
      </c>
      <c r="I114" s="45">
        <f t="shared" si="20"/>
        <v>-83</v>
      </c>
      <c r="J114" s="333">
        <f t="shared" si="21"/>
        <v>-1</v>
      </c>
      <c r="K114" s="753">
        <f t="shared" si="33"/>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v>0</v>
      </c>
      <c r="I115" s="45">
        <f t="shared" si="20"/>
        <v>0</v>
      </c>
      <c r="J115" s="333" t="str">
        <f t="shared" si="21"/>
        <v/>
      </c>
      <c r="K115" s="753">
        <f t="shared" si="33"/>
        <v>0</v>
      </c>
      <c r="L115" s="449"/>
      <c r="M115" s="41"/>
      <c r="N115" s="41"/>
      <c r="O115" s="41"/>
      <c r="P115" s="41"/>
      <c r="Q115" s="41"/>
      <c r="R115" s="41"/>
      <c r="S115" s="41"/>
      <c r="T115" s="41"/>
      <c r="U115" s="41"/>
      <c r="V115" s="41"/>
      <c r="W115" s="41"/>
    </row>
    <row r="116" spans="1:23" ht="11.25" customHeight="1" x14ac:dyDescent="0.2">
      <c r="A116" s="820" t="str">
        <f>'Org structure'!A12</f>
        <v>Vote 11 - Human Settlement</v>
      </c>
      <c r="B116" s="448"/>
      <c r="C116" s="506">
        <f>SUM(C117:C126)</f>
        <v>305517.13</v>
      </c>
      <c r="D116" s="447">
        <f t="shared" ref="D116:K116" si="34">SUM(D117:D126)</f>
        <v>8857992</v>
      </c>
      <c r="E116" s="444">
        <f t="shared" si="34"/>
        <v>0</v>
      </c>
      <c r="F116" s="446">
        <f t="shared" si="34"/>
        <v>85104.14</v>
      </c>
      <c r="G116" s="444">
        <f t="shared" si="34"/>
        <v>85104.14</v>
      </c>
      <c r="H116" s="444">
        <f t="shared" si="34"/>
        <v>738166</v>
      </c>
      <c r="I116" s="45">
        <f t="shared" si="20"/>
        <v>-653061.86</v>
      </c>
      <c r="J116" s="333">
        <f t="shared" si="21"/>
        <v>-0.88470866986558572</v>
      </c>
      <c r="K116" s="445">
        <f t="shared" si="34"/>
        <v>8857992</v>
      </c>
      <c r="L116" s="449"/>
      <c r="M116" s="41"/>
      <c r="N116" s="41"/>
      <c r="O116" s="41"/>
      <c r="P116" s="41"/>
      <c r="Q116" s="41"/>
      <c r="R116" s="41"/>
      <c r="S116" s="41"/>
      <c r="T116" s="41"/>
      <c r="U116" s="41"/>
      <c r="V116" s="41"/>
      <c r="W116" s="41"/>
    </row>
    <row r="117" spans="1:23" ht="11.25" customHeight="1" x14ac:dyDescent="0.2">
      <c r="A117" s="819" t="str">
        <f>'Org structure'!E113</f>
        <v>11.1 - Human Settlement</v>
      </c>
      <c r="B117" s="448"/>
      <c r="C117" s="749">
        <v>0</v>
      </c>
      <c r="D117" s="750">
        <v>996</v>
      </c>
      <c r="E117" s="751">
        <v>0</v>
      </c>
      <c r="F117" s="752">
        <v>0</v>
      </c>
      <c r="G117" s="751">
        <v>0</v>
      </c>
      <c r="H117" s="751">
        <f t="shared" ref="H117:H123" si="35">D117/12</f>
        <v>83</v>
      </c>
      <c r="I117" s="45">
        <f t="shared" si="20"/>
        <v>-83</v>
      </c>
      <c r="J117" s="333">
        <f t="shared" si="21"/>
        <v>-1</v>
      </c>
      <c r="K117" s="753">
        <f>D117</f>
        <v>996</v>
      </c>
      <c r="L117" s="449"/>
      <c r="M117" s="41"/>
      <c r="N117" s="41"/>
      <c r="O117" s="41"/>
      <c r="P117" s="41"/>
      <c r="Q117" s="41"/>
      <c r="R117" s="41"/>
      <c r="S117" s="41"/>
      <c r="T117" s="41"/>
      <c r="U117" s="41"/>
      <c r="V117" s="41"/>
      <c r="W117" s="41"/>
    </row>
    <row r="118" spans="1:23" ht="11.25" customHeight="1" x14ac:dyDescent="0.2">
      <c r="A118" s="819" t="str">
        <f>'Org structure'!E114</f>
        <v>11.2 - Human Settlement - Housing Adimistration</v>
      </c>
      <c r="B118" s="448"/>
      <c r="C118" s="749">
        <v>305517.13</v>
      </c>
      <c r="D118" s="750">
        <v>996</v>
      </c>
      <c r="E118" s="751">
        <v>0</v>
      </c>
      <c r="F118" s="752">
        <v>85104.14</v>
      </c>
      <c r="G118" s="751">
        <v>85104.14</v>
      </c>
      <c r="H118" s="751">
        <f t="shared" si="35"/>
        <v>83</v>
      </c>
      <c r="I118" s="45">
        <f t="shared" si="20"/>
        <v>85021.14</v>
      </c>
      <c r="J118" s="333">
        <f t="shared" si="21"/>
        <v>1024.3510843373494</v>
      </c>
      <c r="K118" s="753">
        <f>D118</f>
        <v>996</v>
      </c>
      <c r="L118" s="449"/>
      <c r="M118" s="41"/>
      <c r="N118" s="41"/>
      <c r="O118" s="41"/>
      <c r="P118" s="41"/>
      <c r="Q118" s="41"/>
      <c r="R118" s="41"/>
      <c r="S118" s="41"/>
      <c r="T118" s="41"/>
      <c r="U118" s="41"/>
      <c r="V118" s="41"/>
      <c r="W118" s="41"/>
    </row>
    <row r="119" spans="1:23" ht="11.25" customHeight="1" x14ac:dyDescent="0.2">
      <c r="A119" s="819" t="str">
        <f>'Org structure'!E115</f>
        <v>11.3 - Human Settlement Rental Hosing and Programme Implemantation</v>
      </c>
      <c r="B119" s="448"/>
      <c r="C119" s="749">
        <v>0</v>
      </c>
      <c r="D119" s="750">
        <v>8856000</v>
      </c>
      <c r="E119" s="751">
        <v>0</v>
      </c>
      <c r="F119" s="752">
        <v>0</v>
      </c>
      <c r="G119" s="751">
        <v>0</v>
      </c>
      <c r="H119" s="751">
        <f t="shared" si="35"/>
        <v>738000</v>
      </c>
      <c r="I119" s="45">
        <f t="shared" si="20"/>
        <v>-738000</v>
      </c>
      <c r="J119" s="333">
        <f t="shared" si="21"/>
        <v>-1</v>
      </c>
      <c r="K119" s="753">
        <f>D119</f>
        <v>8856000</v>
      </c>
      <c r="L119" s="449"/>
      <c r="M119" s="41"/>
      <c r="N119" s="41"/>
      <c r="O119" s="41"/>
      <c r="P119" s="41"/>
      <c r="Q119" s="41"/>
      <c r="R119" s="41"/>
      <c r="S119" s="41"/>
      <c r="T119" s="41"/>
      <c r="U119" s="41"/>
      <c r="V119" s="41"/>
      <c r="W119" s="41"/>
    </row>
    <row r="120" spans="1:23" ht="11.25" customHeight="1" x14ac:dyDescent="0.2">
      <c r="A120" s="819">
        <f>'Org structure'!E116</f>
        <v>0</v>
      </c>
      <c r="B120" s="448"/>
      <c r="C120" s="749">
        <v>0</v>
      </c>
      <c r="D120" s="750">
        <v>0</v>
      </c>
      <c r="E120" s="751">
        <v>0</v>
      </c>
      <c r="F120" s="752">
        <v>0</v>
      </c>
      <c r="G120" s="751">
        <v>0</v>
      </c>
      <c r="H120" s="751">
        <f t="shared" si="35"/>
        <v>0</v>
      </c>
      <c r="I120" s="45">
        <f t="shared" si="20"/>
        <v>0</v>
      </c>
      <c r="J120" s="333" t="str">
        <f t="shared" si="21"/>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v>0</v>
      </c>
      <c r="D121" s="750">
        <v>0</v>
      </c>
      <c r="E121" s="751">
        <v>0</v>
      </c>
      <c r="F121" s="752">
        <v>0</v>
      </c>
      <c r="G121" s="751">
        <v>0</v>
      </c>
      <c r="H121" s="751">
        <f t="shared" si="35"/>
        <v>0</v>
      </c>
      <c r="I121" s="45">
        <f t="shared" si="20"/>
        <v>0</v>
      </c>
      <c r="J121" s="333" t="str">
        <f t="shared" si="21"/>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v>0</v>
      </c>
      <c r="D122" s="750">
        <v>0</v>
      </c>
      <c r="E122" s="751">
        <v>0</v>
      </c>
      <c r="F122" s="752">
        <v>0</v>
      </c>
      <c r="G122" s="751">
        <v>0</v>
      </c>
      <c r="H122" s="751">
        <f t="shared" si="35"/>
        <v>0</v>
      </c>
      <c r="I122" s="45">
        <f t="shared" si="20"/>
        <v>0</v>
      </c>
      <c r="J122" s="333" t="str">
        <f t="shared" si="21"/>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v>0</v>
      </c>
      <c r="D123" s="750">
        <v>0</v>
      </c>
      <c r="E123" s="751">
        <v>0</v>
      </c>
      <c r="F123" s="752">
        <v>0</v>
      </c>
      <c r="G123" s="751">
        <v>0</v>
      </c>
      <c r="H123" s="751">
        <f t="shared" si="35"/>
        <v>0</v>
      </c>
      <c r="I123" s="45">
        <f t="shared" si="20"/>
        <v>0</v>
      </c>
      <c r="J123" s="333" t="str">
        <f t="shared" si="21"/>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v>0</v>
      </c>
      <c r="D124" s="750">
        <v>0</v>
      </c>
      <c r="E124" s="751">
        <v>0</v>
      </c>
      <c r="F124" s="752">
        <v>0</v>
      </c>
      <c r="G124" s="751">
        <v>0</v>
      </c>
      <c r="H124" s="751">
        <v>0</v>
      </c>
      <c r="I124" s="45">
        <f t="shared" si="20"/>
        <v>0</v>
      </c>
      <c r="J124" s="333" t="str">
        <f t="shared" si="21"/>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v>0</v>
      </c>
      <c r="D125" s="750">
        <v>0</v>
      </c>
      <c r="E125" s="751">
        <v>0</v>
      </c>
      <c r="F125" s="752">
        <v>0</v>
      </c>
      <c r="G125" s="751">
        <v>0</v>
      </c>
      <c r="H125" s="751">
        <v>0</v>
      </c>
      <c r="I125" s="45">
        <f t="shared" si="20"/>
        <v>0</v>
      </c>
      <c r="J125" s="333" t="str">
        <f t="shared" si="21"/>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v>0</v>
      </c>
      <c r="D126" s="750">
        <v>0</v>
      </c>
      <c r="E126" s="751">
        <v>0</v>
      </c>
      <c r="F126" s="752">
        <v>0</v>
      </c>
      <c r="G126" s="751">
        <v>0</v>
      </c>
      <c r="H126" s="751">
        <v>0</v>
      </c>
      <c r="I126" s="45">
        <f t="shared" si="20"/>
        <v>0</v>
      </c>
      <c r="J126" s="333" t="str">
        <f t="shared" si="21"/>
        <v/>
      </c>
      <c r="K126" s="753"/>
      <c r="L126" s="449"/>
      <c r="M126" s="41"/>
      <c r="N126" s="41"/>
      <c r="O126" s="41"/>
      <c r="P126" s="41"/>
      <c r="Q126" s="41"/>
      <c r="R126" s="41"/>
      <c r="S126" s="41"/>
      <c r="T126" s="41"/>
      <c r="U126" s="41"/>
      <c r="V126" s="41"/>
      <c r="W126" s="41"/>
    </row>
    <row r="127" spans="1:23" ht="11.25" customHeight="1" x14ac:dyDescent="0.2">
      <c r="A127" s="820" t="str">
        <f>'Org structure'!A13</f>
        <v xml:space="preserve">Vote 12 - </v>
      </c>
      <c r="B127" s="448"/>
      <c r="C127" s="506">
        <f>SUM(C128:C137)</f>
        <v>0</v>
      </c>
      <c r="D127" s="447">
        <f t="shared" ref="D127:K127" si="36">SUM(D128:D137)</f>
        <v>0</v>
      </c>
      <c r="E127" s="444">
        <f t="shared" si="36"/>
        <v>0</v>
      </c>
      <c r="F127" s="446">
        <f t="shared" si="36"/>
        <v>0</v>
      </c>
      <c r="G127" s="444">
        <f t="shared" si="36"/>
        <v>0</v>
      </c>
      <c r="H127" s="444">
        <f t="shared" si="36"/>
        <v>0</v>
      </c>
      <c r="I127" s="45">
        <f t="shared" si="20"/>
        <v>0</v>
      </c>
      <c r="J127" s="333" t="str">
        <f t="shared" si="21"/>
        <v/>
      </c>
      <c r="K127" s="445">
        <f t="shared" si="36"/>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v>0</v>
      </c>
      <c r="E128" s="751">
        <v>0</v>
      </c>
      <c r="F128" s="752">
        <v>0</v>
      </c>
      <c r="G128" s="751">
        <v>0</v>
      </c>
      <c r="H128" s="751">
        <f t="shared" ref="H128:H135" si="37">D128/12*7</f>
        <v>0</v>
      </c>
      <c r="I128" s="45">
        <f t="shared" si="20"/>
        <v>0</v>
      </c>
      <c r="J128" s="333" t="str">
        <f t="shared" si="21"/>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v>0</v>
      </c>
      <c r="E129" s="751">
        <v>0</v>
      </c>
      <c r="F129" s="752">
        <v>0</v>
      </c>
      <c r="G129" s="751">
        <v>0</v>
      </c>
      <c r="H129" s="751">
        <f t="shared" si="37"/>
        <v>0</v>
      </c>
      <c r="I129" s="45">
        <f t="shared" si="20"/>
        <v>0</v>
      </c>
      <c r="J129" s="333" t="str">
        <f t="shared" si="21"/>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v>0</v>
      </c>
      <c r="E130" s="751">
        <v>0</v>
      </c>
      <c r="F130" s="752">
        <v>0</v>
      </c>
      <c r="G130" s="751">
        <v>0</v>
      </c>
      <c r="H130" s="751">
        <f t="shared" si="37"/>
        <v>0</v>
      </c>
      <c r="I130" s="45">
        <f t="shared" si="20"/>
        <v>0</v>
      </c>
      <c r="J130" s="333" t="str">
        <f t="shared" si="21"/>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v>0</v>
      </c>
      <c r="E131" s="751">
        <v>0</v>
      </c>
      <c r="F131" s="752">
        <v>0</v>
      </c>
      <c r="G131" s="751">
        <v>0</v>
      </c>
      <c r="H131" s="751">
        <f t="shared" si="37"/>
        <v>0</v>
      </c>
      <c r="I131" s="45">
        <f t="shared" si="20"/>
        <v>0</v>
      </c>
      <c r="J131" s="333" t="str">
        <f t="shared" si="21"/>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v>0</v>
      </c>
      <c r="E132" s="751">
        <v>0</v>
      </c>
      <c r="F132" s="752">
        <v>0</v>
      </c>
      <c r="G132" s="751">
        <v>0</v>
      </c>
      <c r="H132" s="751">
        <f t="shared" si="37"/>
        <v>0</v>
      </c>
      <c r="I132" s="45">
        <f t="shared" si="20"/>
        <v>0</v>
      </c>
      <c r="J132" s="333" t="str">
        <f t="shared" si="21"/>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v>0</v>
      </c>
      <c r="E133" s="751">
        <v>0</v>
      </c>
      <c r="F133" s="752">
        <v>0</v>
      </c>
      <c r="G133" s="751">
        <v>0</v>
      </c>
      <c r="H133" s="751">
        <f t="shared" si="37"/>
        <v>0</v>
      </c>
      <c r="I133" s="45">
        <f t="shared" si="20"/>
        <v>0</v>
      </c>
      <c r="J133" s="333" t="str">
        <f t="shared" si="21"/>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v>0</v>
      </c>
      <c r="E134" s="751">
        <v>0</v>
      </c>
      <c r="F134" s="752">
        <v>0</v>
      </c>
      <c r="G134" s="751">
        <v>0</v>
      </c>
      <c r="H134" s="751">
        <f t="shared" si="37"/>
        <v>0</v>
      </c>
      <c r="I134" s="45">
        <f t="shared" ref="I134:I197" si="38">G134-H134</f>
        <v>0</v>
      </c>
      <c r="J134" s="333" t="str">
        <f t="shared" ref="J134:J197" si="39">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v>0</v>
      </c>
      <c r="E135" s="751">
        <v>0</v>
      </c>
      <c r="F135" s="752">
        <v>0</v>
      </c>
      <c r="G135" s="751">
        <v>0</v>
      </c>
      <c r="H135" s="751">
        <f t="shared" si="37"/>
        <v>0</v>
      </c>
      <c r="I135" s="45">
        <f t="shared" si="38"/>
        <v>0</v>
      </c>
      <c r="J135" s="333" t="str">
        <f t="shared" si="39"/>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v>0</v>
      </c>
      <c r="E136" s="751">
        <v>0</v>
      </c>
      <c r="F136" s="752">
        <v>0</v>
      </c>
      <c r="G136" s="751">
        <v>0</v>
      </c>
      <c r="H136" s="751">
        <f t="shared" ref="H136:H173" si="40">D136/12*7</f>
        <v>0</v>
      </c>
      <c r="I136" s="45">
        <f t="shared" si="38"/>
        <v>0</v>
      </c>
      <c r="J136" s="333" t="str">
        <f t="shared" si="39"/>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v>0</v>
      </c>
      <c r="E137" s="751">
        <v>0</v>
      </c>
      <c r="F137" s="752">
        <v>0</v>
      </c>
      <c r="G137" s="751">
        <v>0</v>
      </c>
      <c r="H137" s="751">
        <f t="shared" si="40"/>
        <v>0</v>
      </c>
      <c r="I137" s="45">
        <f t="shared" si="38"/>
        <v>0</v>
      </c>
      <c r="J137" s="333" t="str">
        <f t="shared" si="39"/>
        <v/>
      </c>
      <c r="K137" s="753"/>
      <c r="L137" s="449"/>
      <c r="M137" s="41"/>
      <c r="N137" s="41"/>
      <c r="O137" s="41"/>
      <c r="P137" s="41"/>
      <c r="Q137" s="41"/>
      <c r="R137" s="41"/>
      <c r="S137" s="41"/>
      <c r="T137" s="41"/>
      <c r="U137" s="41"/>
      <c r="V137" s="41"/>
      <c r="W137" s="41"/>
    </row>
    <row r="138" spans="1:23" ht="11.25" customHeight="1" x14ac:dyDescent="0.2">
      <c r="A138" s="820" t="str">
        <f>'Org structure'!A14</f>
        <v xml:space="preserve">Vote 13 - </v>
      </c>
      <c r="B138" s="448"/>
      <c r="C138" s="506">
        <f>SUM(C139:C148)</f>
        <v>0</v>
      </c>
      <c r="D138" s="447">
        <f t="shared" ref="D138:K138" si="41">SUM(D139:D148)</f>
        <v>0</v>
      </c>
      <c r="E138" s="444">
        <f t="shared" si="41"/>
        <v>0</v>
      </c>
      <c r="F138" s="446">
        <f t="shared" si="41"/>
        <v>0</v>
      </c>
      <c r="G138" s="444">
        <f t="shared" si="41"/>
        <v>0</v>
      </c>
      <c r="H138" s="444">
        <f t="shared" si="41"/>
        <v>0</v>
      </c>
      <c r="I138" s="45">
        <f t="shared" si="38"/>
        <v>0</v>
      </c>
      <c r="J138" s="333" t="str">
        <f t="shared" si="39"/>
        <v/>
      </c>
      <c r="K138" s="445">
        <f t="shared" si="41"/>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v>0</v>
      </c>
      <c r="E139" s="751">
        <v>0</v>
      </c>
      <c r="F139" s="752">
        <v>0</v>
      </c>
      <c r="G139" s="751">
        <v>0</v>
      </c>
      <c r="H139" s="751">
        <f t="shared" si="40"/>
        <v>0</v>
      </c>
      <c r="I139" s="45">
        <f t="shared" si="38"/>
        <v>0</v>
      </c>
      <c r="J139" s="333" t="str">
        <f t="shared" si="39"/>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v>0</v>
      </c>
      <c r="E140" s="751">
        <v>0</v>
      </c>
      <c r="F140" s="752">
        <v>0</v>
      </c>
      <c r="G140" s="751">
        <v>0</v>
      </c>
      <c r="H140" s="751">
        <f t="shared" si="40"/>
        <v>0</v>
      </c>
      <c r="I140" s="45">
        <f t="shared" si="38"/>
        <v>0</v>
      </c>
      <c r="J140" s="333" t="str">
        <f t="shared" si="39"/>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v>0</v>
      </c>
      <c r="E141" s="751">
        <v>0</v>
      </c>
      <c r="F141" s="752">
        <v>0</v>
      </c>
      <c r="G141" s="751">
        <v>0</v>
      </c>
      <c r="H141" s="751">
        <f t="shared" si="40"/>
        <v>0</v>
      </c>
      <c r="I141" s="45">
        <f t="shared" si="38"/>
        <v>0</v>
      </c>
      <c r="J141" s="333" t="str">
        <f t="shared" si="39"/>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v>0</v>
      </c>
      <c r="E142" s="751">
        <v>0</v>
      </c>
      <c r="F142" s="752">
        <v>0</v>
      </c>
      <c r="G142" s="751">
        <v>0</v>
      </c>
      <c r="H142" s="751">
        <f t="shared" si="40"/>
        <v>0</v>
      </c>
      <c r="I142" s="45">
        <f t="shared" si="38"/>
        <v>0</v>
      </c>
      <c r="J142" s="333" t="str">
        <f t="shared" si="39"/>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v>0</v>
      </c>
      <c r="E143" s="751">
        <v>0</v>
      </c>
      <c r="F143" s="752">
        <v>0</v>
      </c>
      <c r="G143" s="751">
        <v>0</v>
      </c>
      <c r="H143" s="751">
        <f t="shared" si="40"/>
        <v>0</v>
      </c>
      <c r="I143" s="45">
        <f t="shared" si="38"/>
        <v>0</v>
      </c>
      <c r="J143" s="333" t="str">
        <f t="shared" si="39"/>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v>0</v>
      </c>
      <c r="E144" s="751">
        <v>0</v>
      </c>
      <c r="F144" s="752">
        <v>0</v>
      </c>
      <c r="G144" s="751">
        <v>0</v>
      </c>
      <c r="H144" s="751">
        <f t="shared" si="40"/>
        <v>0</v>
      </c>
      <c r="I144" s="45">
        <f t="shared" si="38"/>
        <v>0</v>
      </c>
      <c r="J144" s="333" t="str">
        <f t="shared" si="39"/>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v>0</v>
      </c>
      <c r="E145" s="751">
        <v>0</v>
      </c>
      <c r="F145" s="752">
        <v>0</v>
      </c>
      <c r="G145" s="751">
        <v>0</v>
      </c>
      <c r="H145" s="751">
        <f t="shared" si="40"/>
        <v>0</v>
      </c>
      <c r="I145" s="45">
        <f t="shared" si="38"/>
        <v>0</v>
      </c>
      <c r="J145" s="333" t="str">
        <f t="shared" si="39"/>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v>0</v>
      </c>
      <c r="E146" s="751">
        <v>0</v>
      </c>
      <c r="F146" s="752">
        <v>0</v>
      </c>
      <c r="G146" s="751">
        <v>0</v>
      </c>
      <c r="H146" s="751">
        <f t="shared" si="40"/>
        <v>0</v>
      </c>
      <c r="I146" s="45">
        <f t="shared" si="38"/>
        <v>0</v>
      </c>
      <c r="J146" s="333" t="str">
        <f t="shared" si="39"/>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v>0</v>
      </c>
      <c r="E147" s="751">
        <v>0</v>
      </c>
      <c r="F147" s="752">
        <v>0</v>
      </c>
      <c r="G147" s="751">
        <v>0</v>
      </c>
      <c r="H147" s="751">
        <f t="shared" si="40"/>
        <v>0</v>
      </c>
      <c r="I147" s="45">
        <f t="shared" si="38"/>
        <v>0</v>
      </c>
      <c r="J147" s="333" t="str">
        <f t="shared" si="39"/>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v>0</v>
      </c>
      <c r="E148" s="751">
        <v>0</v>
      </c>
      <c r="F148" s="752">
        <v>0</v>
      </c>
      <c r="G148" s="751">
        <v>0</v>
      </c>
      <c r="H148" s="751">
        <f t="shared" si="40"/>
        <v>0</v>
      </c>
      <c r="I148" s="45">
        <f t="shared" si="38"/>
        <v>0</v>
      </c>
      <c r="J148" s="333" t="str">
        <f t="shared" si="39"/>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42">SUM(D150:D159)</f>
        <v>0</v>
      </c>
      <c r="E149" s="444">
        <f t="shared" si="42"/>
        <v>0</v>
      </c>
      <c r="F149" s="446">
        <f t="shared" si="42"/>
        <v>0</v>
      </c>
      <c r="G149" s="444">
        <f t="shared" si="42"/>
        <v>0</v>
      </c>
      <c r="H149" s="444">
        <f t="shared" si="42"/>
        <v>0</v>
      </c>
      <c r="I149" s="45">
        <f t="shared" si="38"/>
        <v>0</v>
      </c>
      <c r="J149" s="333" t="str">
        <f t="shared" si="39"/>
        <v/>
      </c>
      <c r="K149" s="445">
        <f t="shared" si="42"/>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v>0</v>
      </c>
      <c r="E150" s="751">
        <v>0</v>
      </c>
      <c r="F150" s="752">
        <v>0</v>
      </c>
      <c r="G150" s="751">
        <v>0</v>
      </c>
      <c r="H150" s="751">
        <f t="shared" si="40"/>
        <v>0</v>
      </c>
      <c r="I150" s="45">
        <f t="shared" si="38"/>
        <v>0</v>
      </c>
      <c r="J150" s="333" t="str">
        <f t="shared" si="39"/>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v>0</v>
      </c>
      <c r="E151" s="751">
        <v>0</v>
      </c>
      <c r="F151" s="752">
        <v>0</v>
      </c>
      <c r="G151" s="751">
        <v>0</v>
      </c>
      <c r="H151" s="751">
        <f t="shared" si="40"/>
        <v>0</v>
      </c>
      <c r="I151" s="45">
        <f t="shared" si="38"/>
        <v>0</v>
      </c>
      <c r="J151" s="333" t="str">
        <f t="shared" si="39"/>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v>0</v>
      </c>
      <c r="E152" s="751">
        <v>0</v>
      </c>
      <c r="F152" s="752">
        <v>0</v>
      </c>
      <c r="G152" s="751">
        <v>0</v>
      </c>
      <c r="H152" s="751">
        <f t="shared" si="40"/>
        <v>0</v>
      </c>
      <c r="I152" s="45">
        <f t="shared" si="38"/>
        <v>0</v>
      </c>
      <c r="J152" s="333" t="str">
        <f t="shared" si="39"/>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v>0</v>
      </c>
      <c r="E153" s="751">
        <v>0</v>
      </c>
      <c r="F153" s="752">
        <v>0</v>
      </c>
      <c r="G153" s="751">
        <v>0</v>
      </c>
      <c r="H153" s="751">
        <f t="shared" si="40"/>
        <v>0</v>
      </c>
      <c r="I153" s="45">
        <f t="shared" si="38"/>
        <v>0</v>
      </c>
      <c r="J153" s="333" t="str">
        <f t="shared" si="39"/>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v>0</v>
      </c>
      <c r="E154" s="751">
        <v>0</v>
      </c>
      <c r="F154" s="752">
        <v>0</v>
      </c>
      <c r="G154" s="751">
        <v>0</v>
      </c>
      <c r="H154" s="751">
        <f t="shared" si="40"/>
        <v>0</v>
      </c>
      <c r="I154" s="45">
        <f t="shared" si="38"/>
        <v>0</v>
      </c>
      <c r="J154" s="333" t="str">
        <f t="shared" si="39"/>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v>0</v>
      </c>
      <c r="E155" s="751">
        <v>0</v>
      </c>
      <c r="F155" s="752">
        <v>0</v>
      </c>
      <c r="G155" s="751">
        <v>0</v>
      </c>
      <c r="H155" s="751">
        <f t="shared" si="40"/>
        <v>0</v>
      </c>
      <c r="I155" s="45">
        <f t="shared" si="38"/>
        <v>0</v>
      </c>
      <c r="J155" s="333" t="str">
        <f t="shared" si="39"/>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v>0</v>
      </c>
      <c r="E156" s="751">
        <v>0</v>
      </c>
      <c r="F156" s="752">
        <v>0</v>
      </c>
      <c r="G156" s="751">
        <v>0</v>
      </c>
      <c r="H156" s="751">
        <f t="shared" si="40"/>
        <v>0</v>
      </c>
      <c r="I156" s="45">
        <f t="shared" si="38"/>
        <v>0</v>
      </c>
      <c r="J156" s="333" t="str">
        <f t="shared" si="39"/>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v>0</v>
      </c>
      <c r="E157" s="751">
        <v>0</v>
      </c>
      <c r="F157" s="752">
        <v>0</v>
      </c>
      <c r="G157" s="751">
        <v>0</v>
      </c>
      <c r="H157" s="751">
        <f t="shared" si="40"/>
        <v>0</v>
      </c>
      <c r="I157" s="45">
        <f t="shared" si="38"/>
        <v>0</v>
      </c>
      <c r="J157" s="333" t="str">
        <f t="shared" si="39"/>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v>0</v>
      </c>
      <c r="E158" s="751">
        <v>0</v>
      </c>
      <c r="F158" s="752">
        <v>0</v>
      </c>
      <c r="G158" s="751">
        <v>0</v>
      </c>
      <c r="H158" s="751">
        <f t="shared" si="40"/>
        <v>0</v>
      </c>
      <c r="I158" s="45">
        <f t="shared" si="38"/>
        <v>0</v>
      </c>
      <c r="J158" s="333" t="str">
        <f t="shared" si="39"/>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v>0</v>
      </c>
      <c r="E159" s="751">
        <v>0</v>
      </c>
      <c r="F159" s="752">
        <v>0</v>
      </c>
      <c r="G159" s="751">
        <v>0</v>
      </c>
      <c r="H159" s="751">
        <f t="shared" si="40"/>
        <v>0</v>
      </c>
      <c r="I159" s="45">
        <f t="shared" si="38"/>
        <v>0</v>
      </c>
      <c r="J159" s="333" t="str">
        <f t="shared" si="39"/>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43">SUM(D161:D170)</f>
        <v>0</v>
      </c>
      <c r="E160" s="444">
        <f t="shared" si="43"/>
        <v>0</v>
      </c>
      <c r="F160" s="446">
        <f t="shared" si="43"/>
        <v>0</v>
      </c>
      <c r="G160" s="444">
        <f t="shared" si="43"/>
        <v>0</v>
      </c>
      <c r="H160" s="444">
        <f t="shared" si="43"/>
        <v>0</v>
      </c>
      <c r="I160" s="45">
        <f t="shared" si="38"/>
        <v>0</v>
      </c>
      <c r="J160" s="333" t="str">
        <f t="shared" si="39"/>
        <v/>
      </c>
      <c r="K160" s="445">
        <f t="shared" si="43"/>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v>0</v>
      </c>
      <c r="E161" s="751">
        <v>0</v>
      </c>
      <c r="F161" s="752">
        <v>0</v>
      </c>
      <c r="G161" s="751">
        <v>0</v>
      </c>
      <c r="H161" s="751">
        <f t="shared" si="40"/>
        <v>0</v>
      </c>
      <c r="I161" s="45">
        <f t="shared" si="38"/>
        <v>0</v>
      </c>
      <c r="J161" s="333" t="str">
        <f t="shared" si="39"/>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v>0</v>
      </c>
      <c r="E162" s="751">
        <v>0</v>
      </c>
      <c r="F162" s="752">
        <v>0</v>
      </c>
      <c r="G162" s="751">
        <v>0</v>
      </c>
      <c r="H162" s="751">
        <f t="shared" si="40"/>
        <v>0</v>
      </c>
      <c r="I162" s="45">
        <f t="shared" si="38"/>
        <v>0</v>
      </c>
      <c r="J162" s="333" t="str">
        <f t="shared" si="39"/>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v>0</v>
      </c>
      <c r="E163" s="751">
        <v>0</v>
      </c>
      <c r="F163" s="752">
        <v>0</v>
      </c>
      <c r="G163" s="751">
        <v>0</v>
      </c>
      <c r="H163" s="751">
        <f t="shared" si="40"/>
        <v>0</v>
      </c>
      <c r="I163" s="45">
        <f t="shared" si="38"/>
        <v>0</v>
      </c>
      <c r="J163" s="333" t="str">
        <f t="shared" si="39"/>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v>0</v>
      </c>
      <c r="E164" s="751">
        <v>0</v>
      </c>
      <c r="F164" s="752">
        <v>0</v>
      </c>
      <c r="G164" s="751">
        <v>0</v>
      </c>
      <c r="H164" s="751">
        <f t="shared" si="40"/>
        <v>0</v>
      </c>
      <c r="I164" s="45">
        <f t="shared" si="38"/>
        <v>0</v>
      </c>
      <c r="J164" s="333" t="str">
        <f t="shared" si="39"/>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v>0</v>
      </c>
      <c r="E165" s="751">
        <v>0</v>
      </c>
      <c r="F165" s="752">
        <v>0</v>
      </c>
      <c r="G165" s="751">
        <v>0</v>
      </c>
      <c r="H165" s="751">
        <f t="shared" si="40"/>
        <v>0</v>
      </c>
      <c r="I165" s="45">
        <f t="shared" si="38"/>
        <v>0</v>
      </c>
      <c r="J165" s="333" t="str">
        <f t="shared" si="39"/>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v>0</v>
      </c>
      <c r="E166" s="751">
        <v>0</v>
      </c>
      <c r="F166" s="752">
        <v>0</v>
      </c>
      <c r="G166" s="751">
        <v>0</v>
      </c>
      <c r="H166" s="751">
        <f t="shared" si="40"/>
        <v>0</v>
      </c>
      <c r="I166" s="45">
        <f t="shared" si="38"/>
        <v>0</v>
      </c>
      <c r="J166" s="333" t="str">
        <f t="shared" si="39"/>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v>0</v>
      </c>
      <c r="E167" s="751">
        <v>0</v>
      </c>
      <c r="F167" s="752">
        <v>0</v>
      </c>
      <c r="G167" s="751">
        <v>0</v>
      </c>
      <c r="H167" s="751">
        <f t="shared" si="40"/>
        <v>0</v>
      </c>
      <c r="I167" s="45">
        <f t="shared" si="38"/>
        <v>0</v>
      </c>
      <c r="J167" s="333" t="str">
        <f t="shared" si="39"/>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v>0</v>
      </c>
      <c r="E168" s="751">
        <v>0</v>
      </c>
      <c r="F168" s="752">
        <v>0</v>
      </c>
      <c r="G168" s="751">
        <v>0</v>
      </c>
      <c r="H168" s="751">
        <f t="shared" si="40"/>
        <v>0</v>
      </c>
      <c r="I168" s="45">
        <f t="shared" si="38"/>
        <v>0</v>
      </c>
      <c r="J168" s="333" t="str">
        <f t="shared" si="39"/>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v>0</v>
      </c>
      <c r="E169" s="751">
        <v>0</v>
      </c>
      <c r="F169" s="752">
        <v>0</v>
      </c>
      <c r="G169" s="751">
        <v>0</v>
      </c>
      <c r="H169" s="751">
        <f t="shared" si="40"/>
        <v>0</v>
      </c>
      <c r="I169" s="45">
        <f t="shared" si="38"/>
        <v>0</v>
      </c>
      <c r="J169" s="333" t="str">
        <f t="shared" si="39"/>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v>0</v>
      </c>
      <c r="E170" s="751">
        <v>0</v>
      </c>
      <c r="F170" s="752">
        <v>0</v>
      </c>
      <c r="G170" s="751">
        <v>0</v>
      </c>
      <c r="H170" s="751">
        <f t="shared" si="40"/>
        <v>0</v>
      </c>
      <c r="I170" s="45">
        <f t="shared" si="38"/>
        <v>0</v>
      </c>
      <c r="J170" s="333" t="str">
        <f t="shared" si="39"/>
        <v/>
      </c>
      <c r="K170" s="753"/>
      <c r="L170" s="455">
        <f t="shared" ref="L170:W170" si="44">SUM(L78:L81)</f>
        <v>0</v>
      </c>
      <c r="M170" s="456">
        <f t="shared" si="44"/>
        <v>0</v>
      </c>
      <c r="N170" s="456">
        <f t="shared" si="44"/>
        <v>0</v>
      </c>
      <c r="O170" s="456">
        <f t="shared" si="44"/>
        <v>0</v>
      </c>
      <c r="P170" s="456">
        <f t="shared" si="44"/>
        <v>0</v>
      </c>
      <c r="Q170" s="456">
        <f t="shared" si="44"/>
        <v>0</v>
      </c>
      <c r="R170" s="456">
        <f t="shared" si="44"/>
        <v>0</v>
      </c>
      <c r="S170" s="456">
        <f t="shared" si="44"/>
        <v>0</v>
      </c>
      <c r="T170" s="456">
        <f t="shared" si="44"/>
        <v>0</v>
      </c>
      <c r="U170" s="456">
        <f t="shared" si="44"/>
        <v>0</v>
      </c>
      <c r="V170" s="456">
        <f t="shared" si="44"/>
        <v>0</v>
      </c>
      <c r="W170" s="456">
        <f t="shared" si="44"/>
        <v>0</v>
      </c>
    </row>
    <row r="171" spans="1:23" ht="12.75" customHeight="1" x14ac:dyDescent="0.2">
      <c r="A171" s="450" t="s">
        <v>655</v>
      </c>
      <c r="B171" s="418">
        <v>2</v>
      </c>
      <c r="C171" s="507">
        <f>C6+C17+C28+C39+C50+C61+C72+C83+C94+C105+C116+C127+C138+C149+C160</f>
        <v>3643689834.0099998</v>
      </c>
      <c r="D171" s="454">
        <f t="shared" ref="D171:K171" si="45">D6+D17+D28+D39+D50+D61+D72+D83+D94+D105+D116+D127+D138+D149+D160</f>
        <v>5062923624</v>
      </c>
      <c r="E171" s="451">
        <f t="shared" si="45"/>
        <v>0</v>
      </c>
      <c r="F171" s="453">
        <f t="shared" si="45"/>
        <v>183132736.11999997</v>
      </c>
      <c r="G171" s="451">
        <f t="shared" si="45"/>
        <v>183132736.11999997</v>
      </c>
      <c r="H171" s="451">
        <f t="shared" si="45"/>
        <v>421910302</v>
      </c>
      <c r="I171" s="517">
        <f t="shared" si="38"/>
        <v>-238777565.88000003</v>
      </c>
      <c r="J171" s="518">
        <f t="shared" si="39"/>
        <v>-0.56594390975549114</v>
      </c>
      <c r="K171" s="452">
        <f t="shared" si="45"/>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8">
        <f t="shared" si="40"/>
        <v>0</v>
      </c>
      <c r="I172" s="116">
        <f t="shared" si="38"/>
        <v>0</v>
      </c>
      <c r="J172" s="134" t="str">
        <f t="shared" si="39"/>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40"/>
        <v>0</v>
      </c>
      <c r="I173" s="45">
        <f t="shared" si="38"/>
        <v>0</v>
      </c>
      <c r="J173" s="333" t="str">
        <f t="shared" si="39"/>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6">SUM(C175:C184)</f>
        <v>96914217.120000005</v>
      </c>
      <c r="D174" s="474">
        <f t="shared" si="46"/>
        <v>173904164</v>
      </c>
      <c r="E174" s="471">
        <f t="shared" si="46"/>
        <v>0</v>
      </c>
      <c r="F174" s="473">
        <f>SUM(F175:F184)</f>
        <v>754775</v>
      </c>
      <c r="G174" s="471">
        <f>SUM(G175:G184)</f>
        <v>754775</v>
      </c>
      <c r="H174" s="510">
        <f>SUM(H175:H184)</f>
        <v>14492013.666666666</v>
      </c>
      <c r="I174" s="45">
        <f t="shared" si="38"/>
        <v>-13737238.666666666</v>
      </c>
      <c r="J174" s="333">
        <f t="shared" si="39"/>
        <v>-0.94791786584247628</v>
      </c>
      <c r="K174" s="472">
        <f t="shared" si="46"/>
        <v>173904164</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0</v>
      </c>
      <c r="F175" s="756">
        <v>0</v>
      </c>
      <c r="G175" s="743">
        <v>0</v>
      </c>
      <c r="H175" s="751">
        <f t="shared" ref="H175:H183" si="47">D175/12</f>
        <v>421752</v>
      </c>
      <c r="I175" s="45">
        <f t="shared" ref="I175:I184" si="48">G175-H175</f>
        <v>-421752</v>
      </c>
      <c r="J175" s="333">
        <f t="shared" si="39"/>
        <v>-1</v>
      </c>
      <c r="K175" s="757">
        <f>D175</f>
        <v>5061024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0</v>
      </c>
      <c r="F176" s="756">
        <v>0</v>
      </c>
      <c r="G176" s="743">
        <v>0</v>
      </c>
      <c r="H176" s="751">
        <f t="shared" si="47"/>
        <v>1635459</v>
      </c>
      <c r="I176" s="45">
        <f t="shared" si="48"/>
        <v>-1635459</v>
      </c>
      <c r="J176" s="333">
        <f t="shared" si="39"/>
        <v>-1</v>
      </c>
      <c r="K176" s="757">
        <f t="shared" ref="K176:K184" si="49">D176</f>
        <v>19625508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0</v>
      </c>
      <c r="F177" s="756">
        <v>0</v>
      </c>
      <c r="G177" s="743">
        <v>0</v>
      </c>
      <c r="H177" s="751">
        <f t="shared" si="47"/>
        <v>2584627</v>
      </c>
      <c r="I177" s="45">
        <f t="shared" si="48"/>
        <v>-2584627</v>
      </c>
      <c r="J177" s="333">
        <f t="shared" si="39"/>
        <v>-1</v>
      </c>
      <c r="K177" s="757">
        <f t="shared" si="49"/>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0</v>
      </c>
      <c r="F178" s="756">
        <v>63500</v>
      </c>
      <c r="G178" s="743">
        <v>63500</v>
      </c>
      <c r="H178" s="751">
        <f t="shared" si="47"/>
        <v>1477658</v>
      </c>
      <c r="I178" s="45">
        <f t="shared" si="48"/>
        <v>-1414158</v>
      </c>
      <c r="J178" s="333">
        <f t="shared" si="39"/>
        <v>-0.95702659208017016</v>
      </c>
      <c r="K178" s="757">
        <f t="shared" si="49"/>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0</v>
      </c>
      <c r="F179" s="756">
        <v>0</v>
      </c>
      <c r="G179" s="743">
        <v>0</v>
      </c>
      <c r="H179" s="751">
        <f t="shared" si="47"/>
        <v>1338076</v>
      </c>
      <c r="I179" s="45">
        <f t="shared" si="48"/>
        <v>-1338076</v>
      </c>
      <c r="J179" s="333">
        <f t="shared" si="39"/>
        <v>-1</v>
      </c>
      <c r="K179" s="757">
        <f t="shared" si="49"/>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0</v>
      </c>
      <c r="F180" s="756">
        <v>0</v>
      </c>
      <c r="G180" s="743">
        <v>0</v>
      </c>
      <c r="H180" s="751">
        <f t="shared" si="47"/>
        <v>4073849.6666666665</v>
      </c>
      <c r="I180" s="45">
        <f t="shared" si="48"/>
        <v>-4073849.6666666665</v>
      </c>
      <c r="J180" s="333">
        <f t="shared" si="39"/>
        <v>-1</v>
      </c>
      <c r="K180" s="757">
        <f t="shared" si="49"/>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0</v>
      </c>
      <c r="F181" s="756">
        <v>0</v>
      </c>
      <c r="G181" s="743">
        <v>0</v>
      </c>
      <c r="H181" s="751">
        <f t="shared" si="47"/>
        <v>316401</v>
      </c>
      <c r="I181" s="45">
        <f t="shared" si="48"/>
        <v>-316401</v>
      </c>
      <c r="J181" s="333">
        <f t="shared" si="39"/>
        <v>-1</v>
      </c>
      <c r="K181" s="757">
        <f t="shared" si="49"/>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0</v>
      </c>
      <c r="F182" s="756">
        <v>0</v>
      </c>
      <c r="G182" s="743">
        <v>0</v>
      </c>
      <c r="H182" s="751">
        <f t="shared" si="47"/>
        <v>1031082</v>
      </c>
      <c r="I182" s="45">
        <f t="shared" si="48"/>
        <v>-1031082</v>
      </c>
      <c r="J182" s="333">
        <f t="shared" si="39"/>
        <v>-1</v>
      </c>
      <c r="K182" s="757">
        <f t="shared" si="49"/>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0</v>
      </c>
      <c r="F183" s="756">
        <v>691275</v>
      </c>
      <c r="G183" s="743">
        <v>691275</v>
      </c>
      <c r="H183" s="751">
        <f t="shared" si="47"/>
        <v>1613109</v>
      </c>
      <c r="I183" s="45">
        <f t="shared" si="48"/>
        <v>-921834</v>
      </c>
      <c r="J183" s="333">
        <f t="shared" si="39"/>
        <v>-0.57146417260085958</v>
      </c>
      <c r="K183" s="757">
        <f t="shared" si="49"/>
        <v>19357308</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751">
        <v>0</v>
      </c>
      <c r="I184" s="45">
        <f t="shared" si="48"/>
        <v>0</v>
      </c>
      <c r="J184" s="333" t="str">
        <f t="shared" si="39"/>
        <v/>
      </c>
      <c r="K184" s="757">
        <f t="shared" si="49"/>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50">SUM(E186:E195)</f>
        <v>0</v>
      </c>
      <c r="F185" s="446">
        <f t="shared" si="50"/>
        <v>10034962.029999999</v>
      </c>
      <c r="G185" s="444">
        <f t="shared" si="50"/>
        <v>10034962.029999999</v>
      </c>
      <c r="H185" s="444">
        <f t="shared" si="50"/>
        <v>25861170</v>
      </c>
      <c r="I185" s="45">
        <f t="shared" si="38"/>
        <v>-15826207.970000001</v>
      </c>
      <c r="J185" s="333">
        <f t="shared" si="39"/>
        <v>-0.61196798018032439</v>
      </c>
      <c r="K185" s="445">
        <f t="shared" si="50"/>
        <v>310334040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0</v>
      </c>
      <c r="F186" s="756">
        <v>10034962.029999999</v>
      </c>
      <c r="G186" s="743">
        <v>10034962.029999999</v>
      </c>
      <c r="H186" s="751">
        <f t="shared" ref="H186:H195" si="51">D186/12</f>
        <v>22113198</v>
      </c>
      <c r="I186" s="45">
        <f t="shared" si="38"/>
        <v>-12078235.970000001</v>
      </c>
      <c r="J186" s="333">
        <f t="shared" si="39"/>
        <v>-0.54620032661037998</v>
      </c>
      <c r="K186" s="757">
        <f>D186</f>
        <v>265358376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0</v>
      </c>
      <c r="F187" s="756">
        <v>0</v>
      </c>
      <c r="G187" s="743">
        <v>0</v>
      </c>
      <c r="H187" s="751">
        <f t="shared" si="51"/>
        <v>2152494</v>
      </c>
      <c r="I187" s="45">
        <f t="shared" si="38"/>
        <v>-2152494</v>
      </c>
      <c r="J187" s="333">
        <f t="shared" si="39"/>
        <v>-1</v>
      </c>
      <c r="K187" s="757">
        <f t="shared" ref="K187:K195" si="52">D187</f>
        <v>25829928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0</v>
      </c>
      <c r="F188" s="756">
        <v>0</v>
      </c>
      <c r="G188" s="743">
        <v>0</v>
      </c>
      <c r="H188" s="751">
        <f t="shared" si="51"/>
        <v>469318</v>
      </c>
      <c r="I188" s="45">
        <f t="shared" si="38"/>
        <v>-469318</v>
      </c>
      <c r="J188" s="333">
        <f t="shared" si="39"/>
        <v>-1</v>
      </c>
      <c r="K188" s="757">
        <f t="shared" si="52"/>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0</v>
      </c>
      <c r="F189" s="756">
        <v>0</v>
      </c>
      <c r="G189" s="743">
        <v>0</v>
      </c>
      <c r="H189" s="751">
        <f t="shared" si="51"/>
        <v>1126160</v>
      </c>
      <c r="I189" s="45">
        <f t="shared" si="38"/>
        <v>-1126160</v>
      </c>
      <c r="J189" s="333">
        <f t="shared" si="39"/>
        <v>-1</v>
      </c>
      <c r="K189" s="757">
        <f t="shared" si="52"/>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51"/>
        <v>0</v>
      </c>
      <c r="I190" s="45">
        <f t="shared" si="38"/>
        <v>0</v>
      </c>
      <c r="J190" s="333" t="str">
        <f t="shared" si="39"/>
        <v/>
      </c>
      <c r="K190" s="757">
        <f t="shared" si="52"/>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51"/>
        <v>0</v>
      </c>
      <c r="I191" s="45">
        <f t="shared" si="38"/>
        <v>0</v>
      </c>
      <c r="J191" s="333" t="str">
        <f t="shared" si="39"/>
        <v/>
      </c>
      <c r="K191" s="757">
        <f t="shared" si="52"/>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51"/>
        <v>0</v>
      </c>
      <c r="I192" s="45">
        <f t="shared" si="38"/>
        <v>0</v>
      </c>
      <c r="J192" s="333" t="str">
        <f t="shared" si="39"/>
        <v/>
      </c>
      <c r="K192" s="757">
        <f t="shared" si="52"/>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51"/>
        <v>0</v>
      </c>
      <c r="I193" s="45">
        <f t="shared" si="38"/>
        <v>0</v>
      </c>
      <c r="J193" s="333" t="str">
        <f t="shared" si="39"/>
        <v/>
      </c>
      <c r="K193" s="757">
        <f t="shared" si="52"/>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51"/>
        <v>0</v>
      </c>
      <c r="I194" s="45">
        <f t="shared" si="38"/>
        <v>0</v>
      </c>
      <c r="J194" s="333" t="str">
        <f t="shared" si="39"/>
        <v/>
      </c>
      <c r="K194" s="757">
        <f t="shared" si="52"/>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si="51"/>
        <v>0</v>
      </c>
      <c r="I195" s="45">
        <f t="shared" si="38"/>
        <v>0</v>
      </c>
      <c r="J195" s="333" t="str">
        <f t="shared" si="39"/>
        <v/>
      </c>
      <c r="K195" s="757">
        <f t="shared" si="52"/>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3">SUM(C197:C206)</f>
        <v>363795872.22000003</v>
      </c>
      <c r="D196" s="447">
        <f t="shared" si="53"/>
        <v>476061904</v>
      </c>
      <c r="E196" s="444">
        <f t="shared" si="53"/>
        <v>0</v>
      </c>
      <c r="F196" s="446">
        <f t="shared" si="53"/>
        <v>1026567.32</v>
      </c>
      <c r="G196" s="444">
        <f t="shared" si="53"/>
        <v>1026567.32</v>
      </c>
      <c r="H196" s="444">
        <f t="shared" si="53"/>
        <v>39671825.333333336</v>
      </c>
      <c r="I196" s="45">
        <f t="shared" si="38"/>
        <v>-38645258.013333336</v>
      </c>
      <c r="J196" s="333">
        <f t="shared" si="39"/>
        <v>-0.97412351684414555</v>
      </c>
      <c r="K196" s="445">
        <f t="shared" si="53"/>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0</v>
      </c>
      <c r="F197" s="756">
        <v>0</v>
      </c>
      <c r="G197" s="743">
        <v>0</v>
      </c>
      <c r="H197" s="751">
        <f t="shared" ref="H197:H206" si="54">D197/12</f>
        <v>2805242</v>
      </c>
      <c r="I197" s="45">
        <f t="shared" si="38"/>
        <v>-2805242</v>
      </c>
      <c r="J197" s="333">
        <f t="shared" si="39"/>
        <v>-1</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0</v>
      </c>
      <c r="F198" s="756">
        <v>0</v>
      </c>
      <c r="G198" s="743">
        <v>0</v>
      </c>
      <c r="H198" s="751">
        <f t="shared" si="54"/>
        <v>28603244</v>
      </c>
      <c r="I198" s="45">
        <f t="shared" ref="I198:I261" si="55">G198-H198</f>
        <v>-28603244</v>
      </c>
      <c r="J198" s="333">
        <f t="shared" ref="J198:J261" si="56">IF(I198=0,"",I198/H198)</f>
        <v>-1</v>
      </c>
      <c r="K198" s="757">
        <f t="shared" ref="K198:K206" si="57">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0</v>
      </c>
      <c r="F199" s="756">
        <v>0</v>
      </c>
      <c r="G199" s="743">
        <v>0</v>
      </c>
      <c r="H199" s="751">
        <f t="shared" si="54"/>
        <v>6429106.333333333</v>
      </c>
      <c r="I199" s="45">
        <f t="shared" si="55"/>
        <v>-6429106.333333333</v>
      </c>
      <c r="J199" s="333">
        <f t="shared" si="56"/>
        <v>-1</v>
      </c>
      <c r="K199" s="757">
        <f t="shared" si="57"/>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0</v>
      </c>
      <c r="F200" s="756">
        <v>1234343.48</v>
      </c>
      <c r="G200" s="743">
        <v>1234343.48</v>
      </c>
      <c r="H200" s="751">
        <f t="shared" si="54"/>
        <v>1139158</v>
      </c>
      <c r="I200" s="45">
        <f t="shared" si="55"/>
        <v>95185.479999999981</v>
      </c>
      <c r="J200" s="333">
        <f t="shared" si="56"/>
        <v>8.3557750549089746E-2</v>
      </c>
      <c r="K200" s="757">
        <f t="shared" si="57"/>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0</v>
      </c>
      <c r="F201" s="756">
        <v>-207776.16</v>
      </c>
      <c r="G201" s="743">
        <v>-207776.16</v>
      </c>
      <c r="H201" s="751">
        <f t="shared" si="54"/>
        <v>695075</v>
      </c>
      <c r="I201" s="45">
        <f t="shared" si="55"/>
        <v>-902851.16</v>
      </c>
      <c r="J201" s="333">
        <f t="shared" si="56"/>
        <v>-1.2989262453692048</v>
      </c>
      <c r="K201" s="757">
        <f t="shared" si="57"/>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54"/>
        <v>0</v>
      </c>
      <c r="I202" s="45">
        <f t="shared" si="55"/>
        <v>0</v>
      </c>
      <c r="J202" s="333" t="str">
        <f t="shared" si="56"/>
        <v/>
      </c>
      <c r="K202" s="757">
        <f t="shared" si="57"/>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0</v>
      </c>
      <c r="G203" s="743">
        <v>0</v>
      </c>
      <c r="H203" s="751">
        <f t="shared" si="54"/>
        <v>0</v>
      </c>
      <c r="I203" s="45">
        <f t="shared" si="55"/>
        <v>0</v>
      </c>
      <c r="J203" s="333" t="str">
        <f t="shared" si="56"/>
        <v/>
      </c>
      <c r="K203" s="757">
        <f t="shared" si="57"/>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54"/>
        <v>0</v>
      </c>
      <c r="I204" s="45">
        <f t="shared" si="55"/>
        <v>0</v>
      </c>
      <c r="J204" s="333" t="str">
        <f t="shared" si="56"/>
        <v/>
      </c>
      <c r="K204" s="757">
        <f t="shared" si="57"/>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54"/>
        <v>0</v>
      </c>
      <c r="I205" s="45">
        <f t="shared" si="55"/>
        <v>0</v>
      </c>
      <c r="J205" s="333" t="str">
        <f t="shared" si="56"/>
        <v/>
      </c>
      <c r="K205" s="757">
        <f t="shared" si="57"/>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54"/>
        <v>0</v>
      </c>
      <c r="I206" s="45">
        <f t="shared" si="55"/>
        <v>0</v>
      </c>
      <c r="J206" s="333" t="str">
        <f t="shared" si="56"/>
        <v/>
      </c>
      <c r="K206" s="757">
        <f t="shared" si="57"/>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58">SUM(C208:C217)</f>
        <v>797672125.25999963</v>
      </c>
      <c r="D207" s="447">
        <f t="shared" si="58"/>
        <v>961329108</v>
      </c>
      <c r="E207" s="444">
        <f t="shared" si="58"/>
        <v>0</v>
      </c>
      <c r="F207" s="446">
        <f t="shared" si="58"/>
        <v>90715951.439999998</v>
      </c>
      <c r="G207" s="444">
        <f t="shared" si="58"/>
        <v>90715951.439999998</v>
      </c>
      <c r="H207" s="444">
        <f t="shared" si="58"/>
        <v>80110759</v>
      </c>
      <c r="I207" s="45">
        <f t="shared" si="55"/>
        <v>10605192.439999998</v>
      </c>
      <c r="J207" s="333">
        <f t="shared" si="56"/>
        <v>0.13238162479524127</v>
      </c>
      <c r="K207" s="445">
        <f t="shared" si="58"/>
        <v>961329108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0</v>
      </c>
      <c r="F208" s="475">
        <v>0</v>
      </c>
      <c r="G208" s="387">
        <v>0</v>
      </c>
      <c r="H208" s="751">
        <f t="shared" ref="H208:H217" si="59">D208/12</f>
        <v>435634</v>
      </c>
      <c r="I208" s="45">
        <f t="shared" si="55"/>
        <v>-435634</v>
      </c>
      <c r="J208" s="333">
        <f t="shared" si="56"/>
        <v>-1</v>
      </c>
      <c r="K208" s="398">
        <f>D208</f>
        <v>5227608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0</v>
      </c>
      <c r="F209" s="475">
        <v>0</v>
      </c>
      <c r="G209" s="387">
        <v>0</v>
      </c>
      <c r="H209" s="751">
        <f t="shared" si="59"/>
        <v>2420216</v>
      </c>
      <c r="I209" s="45">
        <f t="shared" si="55"/>
        <v>-2420216</v>
      </c>
      <c r="J209" s="333">
        <f t="shared" si="56"/>
        <v>-1</v>
      </c>
      <c r="K209" s="398">
        <f t="shared" ref="K209:K217" si="60">D209</f>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0</v>
      </c>
      <c r="F210" s="475">
        <v>0</v>
      </c>
      <c r="G210" s="387">
        <v>0</v>
      </c>
      <c r="H210" s="751">
        <f t="shared" si="59"/>
        <v>2439149</v>
      </c>
      <c r="I210" s="45">
        <f t="shared" si="55"/>
        <v>-2439149</v>
      </c>
      <c r="J210" s="333">
        <f t="shared" si="56"/>
        <v>-1</v>
      </c>
      <c r="K210" s="398">
        <f t="shared" si="60"/>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0</v>
      </c>
      <c r="F211" s="475">
        <v>90715951.439999998</v>
      </c>
      <c r="G211" s="387">
        <v>90715951.439999998</v>
      </c>
      <c r="H211" s="751">
        <f t="shared" si="59"/>
        <v>73686128</v>
      </c>
      <c r="I211" s="45">
        <f t="shared" si="55"/>
        <v>17029823.439999998</v>
      </c>
      <c r="J211" s="333">
        <f t="shared" si="56"/>
        <v>0.23111301817894403</v>
      </c>
      <c r="K211" s="398">
        <f t="shared" si="60"/>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0</v>
      </c>
      <c r="F212" s="475">
        <v>0</v>
      </c>
      <c r="G212" s="387">
        <v>0</v>
      </c>
      <c r="H212" s="751">
        <f t="shared" si="59"/>
        <v>1129632</v>
      </c>
      <c r="I212" s="45">
        <f t="shared" si="55"/>
        <v>-1129632</v>
      </c>
      <c r="J212" s="333">
        <f t="shared" si="56"/>
        <v>-1</v>
      </c>
      <c r="K212" s="398">
        <f t="shared" si="60"/>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59"/>
        <v>0</v>
      </c>
      <c r="I213" s="45">
        <f t="shared" si="55"/>
        <v>0</v>
      </c>
      <c r="J213" s="333" t="str">
        <f t="shared" si="56"/>
        <v/>
      </c>
      <c r="K213" s="398">
        <f t="shared" si="60"/>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59"/>
        <v>0</v>
      </c>
      <c r="I214" s="45">
        <f t="shared" si="55"/>
        <v>0</v>
      </c>
      <c r="J214" s="333" t="str">
        <f t="shared" si="56"/>
        <v/>
      </c>
      <c r="K214" s="398">
        <f t="shared" si="60"/>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59"/>
        <v>0</v>
      </c>
      <c r="I215" s="45">
        <f t="shared" si="55"/>
        <v>0</v>
      </c>
      <c r="J215" s="333" t="str">
        <f t="shared" si="56"/>
        <v/>
      </c>
      <c r="K215" s="398">
        <f t="shared" si="60"/>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59"/>
        <v>0</v>
      </c>
      <c r="I216" s="45">
        <f t="shared" si="55"/>
        <v>0</v>
      </c>
      <c r="J216" s="333" t="str">
        <f t="shared" si="56"/>
        <v/>
      </c>
      <c r="K216" s="398">
        <f t="shared" si="60"/>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si="59"/>
        <v>0</v>
      </c>
      <c r="I217" s="45">
        <f t="shared" si="55"/>
        <v>0</v>
      </c>
      <c r="J217" s="333" t="str">
        <f t="shared" si="56"/>
        <v/>
      </c>
      <c r="K217" s="398">
        <f t="shared" si="60"/>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61">SUM(C219:C228)</f>
        <v>273839589.5</v>
      </c>
      <c r="D218" s="447">
        <f t="shared" si="61"/>
        <v>338671680</v>
      </c>
      <c r="E218" s="444">
        <f t="shared" si="61"/>
        <v>0</v>
      </c>
      <c r="F218" s="446">
        <f t="shared" si="61"/>
        <v>35237.230000000003</v>
      </c>
      <c r="G218" s="444">
        <f t="shared" si="61"/>
        <v>35237.230000000003</v>
      </c>
      <c r="H218" s="444">
        <f t="shared" si="61"/>
        <v>28222640</v>
      </c>
      <c r="I218" s="45">
        <f t="shared" si="55"/>
        <v>-28187402.77</v>
      </c>
      <c r="J218" s="333">
        <f t="shared" si="56"/>
        <v>-0.99875145521467867</v>
      </c>
      <c r="K218" s="445">
        <f t="shared" si="61"/>
        <v>338671680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 t="shared" ref="H219:H228" si="62">D219/12</f>
        <v>0</v>
      </c>
      <c r="I219" s="45">
        <f t="shared" si="55"/>
        <v>0</v>
      </c>
      <c r="J219" s="333" t="str">
        <f t="shared" si="56"/>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0</v>
      </c>
      <c r="F220" s="475">
        <v>0</v>
      </c>
      <c r="G220" s="387">
        <v>0</v>
      </c>
      <c r="H220" s="751">
        <f t="shared" si="62"/>
        <v>1377610</v>
      </c>
      <c r="I220" s="45">
        <f t="shared" si="55"/>
        <v>-1377610</v>
      </c>
      <c r="J220" s="333">
        <f t="shared" si="56"/>
        <v>-1</v>
      </c>
      <c r="K220" s="398">
        <f t="shared" ref="K220:K228" si="63">D220</f>
        <v>16531320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0</v>
      </c>
      <c r="F221" s="475">
        <v>0</v>
      </c>
      <c r="G221" s="387">
        <v>0</v>
      </c>
      <c r="H221" s="751">
        <f t="shared" si="62"/>
        <v>6127759</v>
      </c>
      <c r="I221" s="45">
        <f t="shared" si="55"/>
        <v>-6127759</v>
      </c>
      <c r="J221" s="333">
        <f t="shared" si="56"/>
        <v>-1</v>
      </c>
      <c r="K221" s="398">
        <f t="shared" si="63"/>
        <v>73533108</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0</v>
      </c>
      <c r="F222" s="475">
        <v>0</v>
      </c>
      <c r="G222" s="387">
        <v>0</v>
      </c>
      <c r="H222" s="751">
        <f t="shared" si="62"/>
        <v>606867</v>
      </c>
      <c r="I222" s="45">
        <f t="shared" si="55"/>
        <v>-606867</v>
      </c>
      <c r="J222" s="333">
        <f t="shared" si="56"/>
        <v>-1</v>
      </c>
      <c r="K222" s="398">
        <f t="shared" si="63"/>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0</v>
      </c>
      <c r="F223" s="475">
        <v>0</v>
      </c>
      <c r="G223" s="387">
        <v>0</v>
      </c>
      <c r="H223" s="751">
        <f t="shared" si="62"/>
        <v>963959</v>
      </c>
      <c r="I223" s="45">
        <f t="shared" si="55"/>
        <v>-963959</v>
      </c>
      <c r="J223" s="333">
        <f t="shared" si="56"/>
        <v>-1</v>
      </c>
      <c r="K223" s="398">
        <f t="shared" si="63"/>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0</v>
      </c>
      <c r="F224" s="475">
        <v>18991.47</v>
      </c>
      <c r="G224" s="387">
        <v>18991.47</v>
      </c>
      <c r="H224" s="751">
        <f t="shared" si="62"/>
        <v>1774441</v>
      </c>
      <c r="I224" s="45">
        <f t="shared" si="55"/>
        <v>-1755449.53</v>
      </c>
      <c r="J224" s="333">
        <f t="shared" si="56"/>
        <v>-0.98929720965644952</v>
      </c>
      <c r="K224" s="398">
        <f t="shared" si="63"/>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0</v>
      </c>
      <c r="F225" s="475">
        <v>0</v>
      </c>
      <c r="G225" s="387">
        <v>0</v>
      </c>
      <c r="H225" s="751">
        <f t="shared" si="62"/>
        <v>421825</v>
      </c>
      <c r="I225" s="45">
        <f t="shared" si="55"/>
        <v>-421825</v>
      </c>
      <c r="J225" s="333">
        <f t="shared" si="56"/>
        <v>-1</v>
      </c>
      <c r="K225" s="398">
        <f t="shared" si="63"/>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0</v>
      </c>
      <c r="F226" s="475">
        <v>0</v>
      </c>
      <c r="G226" s="387">
        <v>0</v>
      </c>
      <c r="H226" s="751">
        <f t="shared" si="62"/>
        <v>587668</v>
      </c>
      <c r="I226" s="45">
        <f t="shared" si="55"/>
        <v>-587668</v>
      </c>
      <c r="J226" s="333">
        <f t="shared" si="56"/>
        <v>-1</v>
      </c>
      <c r="K226" s="398">
        <f t="shared" si="63"/>
        <v>7052016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0</v>
      </c>
      <c r="F227" s="475">
        <v>-2328.5300000000002</v>
      </c>
      <c r="G227" s="387">
        <v>-2328.5300000000002</v>
      </c>
      <c r="H227" s="751">
        <f t="shared" si="62"/>
        <v>10780308</v>
      </c>
      <c r="I227" s="45">
        <f t="shared" si="55"/>
        <v>-10782636.529999999</v>
      </c>
      <c r="J227" s="333">
        <f t="shared" si="56"/>
        <v>-1.0002159984668342</v>
      </c>
      <c r="K227" s="398">
        <f t="shared" si="63"/>
        <v>129363696</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0</v>
      </c>
      <c r="F228" s="475">
        <v>18574.29</v>
      </c>
      <c r="G228" s="387">
        <v>18574.29</v>
      </c>
      <c r="H228" s="751">
        <f t="shared" si="62"/>
        <v>5582203</v>
      </c>
      <c r="I228" s="45">
        <f t="shared" si="55"/>
        <v>-5563628.71</v>
      </c>
      <c r="J228" s="333">
        <f t="shared" si="56"/>
        <v>-0.99667258786540014</v>
      </c>
      <c r="K228" s="398">
        <f t="shared" si="63"/>
        <v>66986436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4">SUM(C230:C239)</f>
        <v>234959699.64000002</v>
      </c>
      <c r="D229" s="447">
        <f t="shared" si="64"/>
        <v>278091984</v>
      </c>
      <c r="E229" s="444">
        <f t="shared" si="64"/>
        <v>0</v>
      </c>
      <c r="F229" s="446">
        <f t="shared" si="64"/>
        <v>12263.55</v>
      </c>
      <c r="G229" s="444">
        <f t="shared" si="64"/>
        <v>12263.55</v>
      </c>
      <c r="H229" s="444">
        <f t="shared" si="64"/>
        <v>23174332</v>
      </c>
      <c r="I229" s="45">
        <f t="shared" si="55"/>
        <v>-23162068.449999999</v>
      </c>
      <c r="J229" s="333">
        <f t="shared" si="56"/>
        <v>-0.99947081322559805</v>
      </c>
      <c r="K229" s="445">
        <f t="shared" si="64"/>
        <v>278091984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0</v>
      </c>
      <c r="F230" s="475">
        <v>2000</v>
      </c>
      <c r="G230" s="387">
        <v>2000</v>
      </c>
      <c r="H230" s="751">
        <f t="shared" ref="H230:H239" si="65">D230/12</f>
        <v>8188418</v>
      </c>
      <c r="I230" s="45">
        <f t="shared" si="55"/>
        <v>-8186418</v>
      </c>
      <c r="J230" s="333">
        <f t="shared" si="56"/>
        <v>-0.99975575257638294</v>
      </c>
      <c r="K230" s="398">
        <f>D230</f>
        <v>98261016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0</v>
      </c>
      <c r="G231" s="387">
        <v>0</v>
      </c>
      <c r="H231" s="751">
        <f t="shared" si="65"/>
        <v>0</v>
      </c>
      <c r="I231" s="45">
        <f t="shared" si="55"/>
        <v>0</v>
      </c>
      <c r="J231" s="333" t="str">
        <f t="shared" si="56"/>
        <v/>
      </c>
      <c r="K231" s="398">
        <f t="shared" ref="K231:K239" si="66">D231</f>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0</v>
      </c>
      <c r="F232" s="475">
        <v>0</v>
      </c>
      <c r="G232" s="387">
        <v>0</v>
      </c>
      <c r="H232" s="751">
        <f t="shared" si="65"/>
        <v>756701</v>
      </c>
      <c r="I232" s="45">
        <f t="shared" si="55"/>
        <v>-756701</v>
      </c>
      <c r="J232" s="333">
        <f t="shared" si="56"/>
        <v>-1</v>
      </c>
      <c r="K232" s="398">
        <f t="shared" si="66"/>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0</v>
      </c>
      <c r="F233" s="475">
        <v>10263.549999999999</v>
      </c>
      <c r="G233" s="387">
        <v>10263.549999999999</v>
      </c>
      <c r="H233" s="751">
        <f t="shared" si="65"/>
        <v>1101725</v>
      </c>
      <c r="I233" s="45">
        <f t="shared" si="55"/>
        <v>-1091461.45</v>
      </c>
      <c r="J233" s="333">
        <f t="shared" si="56"/>
        <v>-0.99068410901086923</v>
      </c>
      <c r="K233" s="398">
        <f t="shared" si="66"/>
        <v>13220700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0</v>
      </c>
      <c r="F234" s="475">
        <v>0</v>
      </c>
      <c r="G234" s="387">
        <v>0</v>
      </c>
      <c r="H234" s="751">
        <f t="shared" si="65"/>
        <v>1049375</v>
      </c>
      <c r="I234" s="45">
        <f t="shared" si="55"/>
        <v>-1049375</v>
      </c>
      <c r="J234" s="333">
        <f t="shared" si="56"/>
        <v>-1</v>
      </c>
      <c r="K234" s="398">
        <f t="shared" si="66"/>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0</v>
      </c>
      <c r="F235" s="475">
        <v>0</v>
      </c>
      <c r="G235" s="387">
        <v>0</v>
      </c>
      <c r="H235" s="751">
        <f t="shared" si="65"/>
        <v>6405032</v>
      </c>
      <c r="I235" s="45">
        <f t="shared" si="55"/>
        <v>-6405032</v>
      </c>
      <c r="J235" s="333">
        <f t="shared" si="56"/>
        <v>-1</v>
      </c>
      <c r="K235" s="398">
        <f t="shared" si="66"/>
        <v>76860384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0</v>
      </c>
      <c r="F236" s="475">
        <v>0</v>
      </c>
      <c r="G236" s="387">
        <v>0</v>
      </c>
      <c r="H236" s="751">
        <f t="shared" si="65"/>
        <v>144551</v>
      </c>
      <c r="I236" s="45">
        <f t="shared" si="55"/>
        <v>-144551</v>
      </c>
      <c r="J236" s="333">
        <f t="shared" si="56"/>
        <v>-1</v>
      </c>
      <c r="K236" s="398">
        <f t="shared" si="66"/>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0</v>
      </c>
      <c r="F237" s="475">
        <v>0</v>
      </c>
      <c r="G237" s="387">
        <v>0</v>
      </c>
      <c r="H237" s="751">
        <f t="shared" si="65"/>
        <v>4975150</v>
      </c>
      <c r="I237" s="45">
        <f t="shared" si="55"/>
        <v>-4975150</v>
      </c>
      <c r="J237" s="333">
        <f t="shared" si="56"/>
        <v>-1</v>
      </c>
      <c r="K237" s="398">
        <f t="shared" si="66"/>
        <v>59701800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0</v>
      </c>
      <c r="F238" s="475">
        <v>0</v>
      </c>
      <c r="G238" s="387">
        <v>0</v>
      </c>
      <c r="H238" s="751">
        <f t="shared" si="65"/>
        <v>553380</v>
      </c>
      <c r="I238" s="45">
        <f t="shared" si="55"/>
        <v>-553380</v>
      </c>
      <c r="J238" s="333">
        <f t="shared" si="56"/>
        <v>-1</v>
      </c>
      <c r="K238" s="398">
        <f t="shared" si="66"/>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0</v>
      </c>
      <c r="G239" s="387">
        <v>0</v>
      </c>
      <c r="H239" s="751">
        <f t="shared" si="65"/>
        <v>0</v>
      </c>
      <c r="I239" s="45">
        <f t="shared" si="55"/>
        <v>0</v>
      </c>
      <c r="J239" s="333" t="str">
        <f t="shared" si="56"/>
        <v/>
      </c>
      <c r="K239" s="398">
        <f t="shared" si="66"/>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7">SUM(C241:C250)</f>
        <v>260962451.56000003</v>
      </c>
      <c r="D240" s="447">
        <f t="shared" si="67"/>
        <v>206024904</v>
      </c>
      <c r="E240" s="444">
        <f t="shared" si="67"/>
        <v>0</v>
      </c>
      <c r="F240" s="446">
        <f t="shared" si="67"/>
        <v>1060180.46</v>
      </c>
      <c r="G240" s="444">
        <f t="shared" si="67"/>
        <v>1060180.46</v>
      </c>
      <c r="H240" s="444">
        <f t="shared" si="67"/>
        <v>17168742</v>
      </c>
      <c r="I240" s="45">
        <f t="shared" si="55"/>
        <v>-16108561.539999999</v>
      </c>
      <c r="J240" s="333">
        <f t="shared" si="56"/>
        <v>-0.93824938018172788</v>
      </c>
      <c r="K240" s="445">
        <f t="shared" si="67"/>
        <v>206024904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0</v>
      </c>
      <c r="F241" s="475">
        <v>0</v>
      </c>
      <c r="G241" s="387">
        <v>0</v>
      </c>
      <c r="H241" s="751">
        <f t="shared" ref="H241:H250" si="68">D241/12</f>
        <v>565502</v>
      </c>
      <c r="I241" s="45">
        <f t="shared" si="55"/>
        <v>-565502</v>
      </c>
      <c r="J241" s="333">
        <f t="shared" si="56"/>
        <v>-1</v>
      </c>
      <c r="K241" s="398">
        <f>D241</f>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0</v>
      </c>
      <c r="F242" s="475">
        <v>1060180.46</v>
      </c>
      <c r="G242" s="387">
        <v>1060180.46</v>
      </c>
      <c r="H242" s="751">
        <f t="shared" si="68"/>
        <v>5866970</v>
      </c>
      <c r="I242" s="45">
        <f t="shared" si="55"/>
        <v>-4806789.54</v>
      </c>
      <c r="J242" s="333">
        <f t="shared" si="56"/>
        <v>-0.81929676476954882</v>
      </c>
      <c r="K242" s="398">
        <f t="shared" ref="K242:K250" si="69">D242</f>
        <v>70403640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0</v>
      </c>
      <c r="F243" s="475">
        <v>0</v>
      </c>
      <c r="G243" s="387">
        <v>0</v>
      </c>
      <c r="H243" s="751">
        <f t="shared" si="68"/>
        <v>451941</v>
      </c>
      <c r="I243" s="45">
        <f t="shared" si="55"/>
        <v>-451941</v>
      </c>
      <c r="J243" s="333">
        <f t="shared" si="56"/>
        <v>-1</v>
      </c>
      <c r="K243" s="398">
        <f t="shared" si="69"/>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0</v>
      </c>
      <c r="F244" s="475">
        <v>0</v>
      </c>
      <c r="G244" s="387">
        <v>0</v>
      </c>
      <c r="H244" s="751">
        <f t="shared" si="68"/>
        <v>6406403</v>
      </c>
      <c r="I244" s="45">
        <f t="shared" si="55"/>
        <v>-6406403</v>
      </c>
      <c r="J244" s="333">
        <f t="shared" si="56"/>
        <v>-1</v>
      </c>
      <c r="K244" s="398">
        <f t="shared" si="69"/>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0</v>
      </c>
      <c r="F245" s="475">
        <v>0</v>
      </c>
      <c r="G245" s="387">
        <v>0</v>
      </c>
      <c r="H245" s="751">
        <f t="shared" si="68"/>
        <v>1021974</v>
      </c>
      <c r="I245" s="45">
        <f t="shared" si="55"/>
        <v>-1021974</v>
      </c>
      <c r="J245" s="333">
        <f t="shared" si="56"/>
        <v>-1</v>
      </c>
      <c r="K245" s="398">
        <f t="shared" si="69"/>
        <v>12263688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0</v>
      </c>
      <c r="F246" s="475">
        <v>0</v>
      </c>
      <c r="G246" s="387">
        <v>0</v>
      </c>
      <c r="H246" s="751">
        <f t="shared" si="68"/>
        <v>961375</v>
      </c>
      <c r="I246" s="45">
        <f t="shared" si="55"/>
        <v>-961375</v>
      </c>
      <c r="J246" s="333">
        <f t="shared" si="56"/>
        <v>-1</v>
      </c>
      <c r="K246" s="398">
        <f t="shared" si="69"/>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0</v>
      </c>
      <c r="F247" s="475">
        <v>0</v>
      </c>
      <c r="G247" s="387">
        <v>0</v>
      </c>
      <c r="H247" s="751">
        <f t="shared" si="68"/>
        <v>1894577</v>
      </c>
      <c r="I247" s="45">
        <f t="shared" si="55"/>
        <v>-1894577</v>
      </c>
      <c r="J247" s="333">
        <f t="shared" si="56"/>
        <v>-1</v>
      </c>
      <c r="K247" s="398">
        <f t="shared" si="69"/>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8"/>
        <v>0</v>
      </c>
      <c r="I248" s="45">
        <f t="shared" si="55"/>
        <v>0</v>
      </c>
      <c r="J248" s="333" t="str">
        <f t="shared" si="56"/>
        <v/>
      </c>
      <c r="K248" s="398">
        <f t="shared" si="69"/>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0</v>
      </c>
      <c r="G249" s="387">
        <v>0</v>
      </c>
      <c r="H249" s="751">
        <f t="shared" si="68"/>
        <v>0</v>
      </c>
      <c r="I249" s="45">
        <f t="shared" si="55"/>
        <v>0</v>
      </c>
      <c r="J249" s="333" t="str">
        <f t="shared" si="56"/>
        <v/>
      </c>
      <c r="K249" s="398">
        <f t="shared" si="69"/>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0</v>
      </c>
      <c r="F250" s="475">
        <v>0</v>
      </c>
      <c r="G250" s="387">
        <v>0</v>
      </c>
      <c r="H250" s="751">
        <f t="shared" si="68"/>
        <v>0</v>
      </c>
      <c r="I250" s="45">
        <f t="shared" si="55"/>
        <v>0</v>
      </c>
      <c r="J250" s="333" t="str">
        <f t="shared" si="56"/>
        <v/>
      </c>
      <c r="K250" s="398">
        <f t="shared" si="69"/>
        <v>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70">SUM(C252:C261)</f>
        <v>110740016.91999999</v>
      </c>
      <c r="D251" s="447">
        <f t="shared" si="70"/>
        <v>119534280</v>
      </c>
      <c r="E251" s="444">
        <f t="shared" si="70"/>
        <v>0</v>
      </c>
      <c r="F251" s="446">
        <f t="shared" si="70"/>
        <v>6696.94</v>
      </c>
      <c r="G251" s="444">
        <f t="shared" si="70"/>
        <v>6696.94</v>
      </c>
      <c r="H251" s="444">
        <f t="shared" si="70"/>
        <v>9961190</v>
      </c>
      <c r="I251" s="45">
        <f t="shared" si="55"/>
        <v>-9954493.0600000005</v>
      </c>
      <c r="J251" s="333">
        <f t="shared" si="56"/>
        <v>-0.99932769679124689</v>
      </c>
      <c r="K251" s="445">
        <f t="shared" si="70"/>
        <v>119534280</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0</v>
      </c>
      <c r="F252" s="475">
        <v>0</v>
      </c>
      <c r="G252" s="387">
        <v>0</v>
      </c>
      <c r="H252" s="751">
        <f t="shared" ref="H252:H261" si="71">D252/12</f>
        <v>426985</v>
      </c>
      <c r="I252" s="45">
        <f t="shared" si="55"/>
        <v>-426985</v>
      </c>
      <c r="J252" s="333">
        <f t="shared" si="56"/>
        <v>-1</v>
      </c>
      <c r="K252" s="398">
        <f>D252</f>
        <v>5123820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0</v>
      </c>
      <c r="F253" s="475">
        <v>6696.94</v>
      </c>
      <c r="G253" s="387">
        <v>6696.94</v>
      </c>
      <c r="H253" s="751">
        <f t="shared" si="71"/>
        <v>5399477</v>
      </c>
      <c r="I253" s="45">
        <f t="shared" si="55"/>
        <v>-5392780.0599999996</v>
      </c>
      <c r="J253" s="333">
        <f t="shared" si="56"/>
        <v>-0.99875970580113582</v>
      </c>
      <c r="K253" s="398">
        <f t="shared" ref="K253:K261" si="72">D253</f>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0</v>
      </c>
      <c r="F254" s="475">
        <v>0</v>
      </c>
      <c r="G254" s="387">
        <v>0</v>
      </c>
      <c r="H254" s="751">
        <f t="shared" si="71"/>
        <v>1479793</v>
      </c>
      <c r="I254" s="45">
        <f t="shared" si="55"/>
        <v>-1479793</v>
      </c>
      <c r="J254" s="333">
        <f t="shared" si="56"/>
        <v>-1</v>
      </c>
      <c r="K254" s="398">
        <f t="shared" si="72"/>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0</v>
      </c>
      <c r="F255" s="475">
        <v>0</v>
      </c>
      <c r="G255" s="387">
        <v>0</v>
      </c>
      <c r="H255" s="751">
        <f t="shared" si="71"/>
        <v>368659</v>
      </c>
      <c r="I255" s="45">
        <f t="shared" si="55"/>
        <v>-368659</v>
      </c>
      <c r="J255" s="333">
        <f t="shared" si="56"/>
        <v>-1</v>
      </c>
      <c r="K255" s="398">
        <f t="shared" si="72"/>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0</v>
      </c>
      <c r="F256" s="475">
        <v>0</v>
      </c>
      <c r="G256" s="387">
        <v>0</v>
      </c>
      <c r="H256" s="751">
        <f t="shared" si="71"/>
        <v>858050</v>
      </c>
      <c r="I256" s="45">
        <f t="shared" si="55"/>
        <v>-858050</v>
      </c>
      <c r="J256" s="333">
        <f t="shared" si="56"/>
        <v>-1</v>
      </c>
      <c r="K256" s="398">
        <f t="shared" si="72"/>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0</v>
      </c>
      <c r="F257" s="475">
        <v>0</v>
      </c>
      <c r="G257" s="387">
        <v>0</v>
      </c>
      <c r="H257" s="751">
        <f t="shared" si="71"/>
        <v>151974</v>
      </c>
      <c r="I257" s="45">
        <f t="shared" si="55"/>
        <v>-151974</v>
      </c>
      <c r="J257" s="333">
        <f t="shared" si="56"/>
        <v>-1</v>
      </c>
      <c r="K257" s="398">
        <f t="shared" si="72"/>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0</v>
      </c>
      <c r="F258" s="475">
        <v>0</v>
      </c>
      <c r="G258" s="387">
        <v>0</v>
      </c>
      <c r="H258" s="751">
        <f t="shared" si="71"/>
        <v>587643</v>
      </c>
      <c r="I258" s="45">
        <f t="shared" si="55"/>
        <v>-587643</v>
      </c>
      <c r="J258" s="333">
        <f t="shared" si="56"/>
        <v>-1</v>
      </c>
      <c r="K258" s="398">
        <f t="shared" si="72"/>
        <v>7051716</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0</v>
      </c>
      <c r="F259" s="475">
        <v>0</v>
      </c>
      <c r="G259" s="387">
        <v>0</v>
      </c>
      <c r="H259" s="751">
        <f t="shared" si="71"/>
        <v>465125</v>
      </c>
      <c r="I259" s="45">
        <f t="shared" si="55"/>
        <v>-465125</v>
      </c>
      <c r="J259" s="333">
        <f t="shared" si="56"/>
        <v>-1</v>
      </c>
      <c r="K259" s="398">
        <f t="shared" si="72"/>
        <v>5581500</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0</v>
      </c>
      <c r="F260" s="475">
        <v>0</v>
      </c>
      <c r="G260" s="387">
        <v>0</v>
      </c>
      <c r="H260" s="751">
        <f t="shared" si="71"/>
        <v>223484</v>
      </c>
      <c r="I260" s="45">
        <f t="shared" si="55"/>
        <v>-223484</v>
      </c>
      <c r="J260" s="333">
        <f t="shared" si="56"/>
        <v>-1</v>
      </c>
      <c r="K260" s="398">
        <f t="shared" si="72"/>
        <v>2681808</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751">
        <f t="shared" si="71"/>
        <v>0</v>
      </c>
      <c r="I261" s="45">
        <f t="shared" si="55"/>
        <v>0</v>
      </c>
      <c r="J261" s="333" t="str">
        <f t="shared" si="56"/>
        <v/>
      </c>
      <c r="K261" s="398">
        <f t="shared" si="72"/>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73">SUM(C263:C272)</f>
        <v>433321758.64999992</v>
      </c>
      <c r="D262" s="447">
        <f t="shared" si="73"/>
        <v>444516900</v>
      </c>
      <c r="E262" s="444">
        <f t="shared" si="73"/>
        <v>0</v>
      </c>
      <c r="F262" s="446">
        <f t="shared" si="73"/>
        <v>47260260.170000002</v>
      </c>
      <c r="G262" s="444">
        <f t="shared" si="73"/>
        <v>47260260.170000002</v>
      </c>
      <c r="H262" s="444">
        <f t="shared" si="73"/>
        <v>37043075</v>
      </c>
      <c r="I262" s="45">
        <f t="shared" ref="I262:I325" si="74">G262-H262</f>
        <v>10217185.170000002</v>
      </c>
      <c r="J262" s="333">
        <f t="shared" ref="J262:J325" si="75">IF(I262=0,"",I262/H262)</f>
        <v>0.27581903419195092</v>
      </c>
      <c r="K262" s="445">
        <f t="shared" si="73"/>
        <v>444516900</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0</v>
      </c>
      <c r="F263" s="475">
        <v>0</v>
      </c>
      <c r="G263" s="387">
        <v>0</v>
      </c>
      <c r="H263" s="751">
        <f t="shared" ref="H263:H272" si="76">D263/12</f>
        <v>4007654</v>
      </c>
      <c r="I263" s="45">
        <f t="shared" si="74"/>
        <v>-4007654</v>
      </c>
      <c r="J263" s="333">
        <f t="shared" si="75"/>
        <v>-1</v>
      </c>
      <c r="K263" s="398">
        <f>D263</f>
        <v>48091848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0</v>
      </c>
      <c r="F264" s="475">
        <v>32464062.57</v>
      </c>
      <c r="G264" s="387">
        <v>32464062.57</v>
      </c>
      <c r="H264" s="751">
        <f t="shared" si="76"/>
        <v>0</v>
      </c>
      <c r="I264" s="45">
        <f t="shared" si="74"/>
        <v>32464062.57</v>
      </c>
      <c r="J264" s="333" t="e">
        <f t="shared" si="75"/>
        <v>#DIV/0!</v>
      </c>
      <c r="K264" s="398">
        <f t="shared" ref="K264:K272" si="77">D264</f>
        <v>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0</v>
      </c>
      <c r="D265" s="386">
        <v>118064292</v>
      </c>
      <c r="E265" s="387">
        <v>0</v>
      </c>
      <c r="F265" s="475">
        <v>0</v>
      </c>
      <c r="G265" s="387">
        <v>0</v>
      </c>
      <c r="H265" s="751">
        <f t="shared" si="76"/>
        <v>9838691</v>
      </c>
      <c r="I265" s="45">
        <f t="shared" si="74"/>
        <v>-9838691</v>
      </c>
      <c r="J265" s="333">
        <f t="shared" si="75"/>
        <v>-1</v>
      </c>
      <c r="K265" s="398">
        <f t="shared" si="77"/>
        <v>118064292</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0</v>
      </c>
      <c r="F266" s="475">
        <v>0</v>
      </c>
      <c r="G266" s="387">
        <v>0</v>
      </c>
      <c r="H266" s="751">
        <f t="shared" si="76"/>
        <v>1771417</v>
      </c>
      <c r="I266" s="45">
        <f t="shared" si="74"/>
        <v>-1771417</v>
      </c>
      <c r="J266" s="333">
        <f t="shared" si="75"/>
        <v>-1</v>
      </c>
      <c r="K266" s="398">
        <f t="shared" si="77"/>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0</v>
      </c>
      <c r="F267" s="475">
        <v>14506139.130000001</v>
      </c>
      <c r="G267" s="387">
        <v>14506139.130000001</v>
      </c>
      <c r="H267" s="751">
        <f t="shared" si="76"/>
        <v>4659493</v>
      </c>
      <c r="I267" s="45">
        <f t="shared" si="74"/>
        <v>9846646.1300000008</v>
      </c>
      <c r="J267" s="333">
        <f t="shared" si="75"/>
        <v>2.1132441083182227</v>
      </c>
      <c r="K267" s="398">
        <f t="shared" si="77"/>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0</v>
      </c>
      <c r="F268" s="475">
        <v>290058.46999999997</v>
      </c>
      <c r="G268" s="387">
        <v>290058.46999999997</v>
      </c>
      <c r="H268" s="751">
        <f t="shared" si="76"/>
        <v>16664285</v>
      </c>
      <c r="I268" s="45">
        <f t="shared" si="74"/>
        <v>-16374226.529999999</v>
      </c>
      <c r="J268" s="333">
        <f t="shared" si="75"/>
        <v>-0.98259400448324064</v>
      </c>
      <c r="K268" s="398">
        <f t="shared" si="77"/>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0</v>
      </c>
      <c r="F269" s="475">
        <v>0</v>
      </c>
      <c r="G269" s="387">
        <v>0</v>
      </c>
      <c r="H269" s="751">
        <f t="shared" si="76"/>
        <v>101535</v>
      </c>
      <c r="I269" s="45">
        <f t="shared" si="74"/>
        <v>-101535</v>
      </c>
      <c r="J269" s="333">
        <f t="shared" si="75"/>
        <v>-1</v>
      </c>
      <c r="K269" s="398">
        <f t="shared" si="77"/>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751">
        <f t="shared" si="76"/>
        <v>0</v>
      </c>
      <c r="I270" s="45">
        <f t="shared" si="74"/>
        <v>0</v>
      </c>
      <c r="J270" s="333" t="str">
        <f t="shared" si="75"/>
        <v/>
      </c>
      <c r="K270" s="398">
        <f t="shared" si="77"/>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751">
        <f t="shared" si="76"/>
        <v>0</v>
      </c>
      <c r="I271" s="45">
        <f t="shared" si="74"/>
        <v>0</v>
      </c>
      <c r="J271" s="333" t="str">
        <f t="shared" si="75"/>
        <v/>
      </c>
      <c r="K271" s="398">
        <f t="shared" si="77"/>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751">
        <f t="shared" si="76"/>
        <v>0</v>
      </c>
      <c r="I272" s="45">
        <f t="shared" si="74"/>
        <v>0</v>
      </c>
      <c r="J272" s="333" t="str">
        <f t="shared" si="75"/>
        <v/>
      </c>
      <c r="K272" s="398">
        <f t="shared" si="77"/>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78">SUM(C274:C283)</f>
        <v>154792020.97999996</v>
      </c>
      <c r="D273" s="447">
        <f t="shared" si="78"/>
        <v>228888216</v>
      </c>
      <c r="E273" s="444">
        <f t="shared" si="78"/>
        <v>0</v>
      </c>
      <c r="F273" s="446">
        <f t="shared" si="78"/>
        <v>0</v>
      </c>
      <c r="G273" s="444">
        <f t="shared" si="78"/>
        <v>0</v>
      </c>
      <c r="H273" s="444">
        <f t="shared" si="78"/>
        <v>19074018</v>
      </c>
      <c r="I273" s="45">
        <f t="shared" si="74"/>
        <v>-19074018</v>
      </c>
      <c r="J273" s="333">
        <f t="shared" si="75"/>
        <v>-1</v>
      </c>
      <c r="K273" s="445">
        <f t="shared" si="78"/>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0</v>
      </c>
      <c r="F274" s="475">
        <v>0</v>
      </c>
      <c r="G274" s="387">
        <v>0</v>
      </c>
      <c r="H274" s="751">
        <f t="shared" ref="H274:H282" si="79">D274/12</f>
        <v>4405008</v>
      </c>
      <c r="I274" s="45">
        <f t="shared" si="74"/>
        <v>-4405008</v>
      </c>
      <c r="J274" s="333">
        <f t="shared" si="75"/>
        <v>-1</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0</v>
      </c>
      <c r="F275" s="475">
        <v>0</v>
      </c>
      <c r="G275" s="387">
        <v>0</v>
      </c>
      <c r="H275" s="751">
        <f t="shared" si="79"/>
        <v>2329778</v>
      </c>
      <c r="I275" s="45">
        <f t="shared" si="74"/>
        <v>-2329778</v>
      </c>
      <c r="J275" s="333">
        <f t="shared" si="75"/>
        <v>-1</v>
      </c>
      <c r="K275" s="398">
        <f t="shared" ref="K275:K283" si="80">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0</v>
      </c>
      <c r="F276" s="475">
        <v>0</v>
      </c>
      <c r="G276" s="387">
        <v>0</v>
      </c>
      <c r="H276" s="751">
        <f t="shared" si="79"/>
        <v>132101</v>
      </c>
      <c r="I276" s="45">
        <f t="shared" si="74"/>
        <v>-132101</v>
      </c>
      <c r="J276" s="333">
        <f t="shared" si="75"/>
        <v>-1</v>
      </c>
      <c r="K276" s="398">
        <f t="shared" si="80"/>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0</v>
      </c>
      <c r="F277" s="475">
        <v>0</v>
      </c>
      <c r="G277" s="387">
        <v>0</v>
      </c>
      <c r="H277" s="751">
        <f t="shared" si="79"/>
        <v>71481</v>
      </c>
      <c r="I277" s="45">
        <f t="shared" si="74"/>
        <v>-71481</v>
      </c>
      <c r="J277" s="333">
        <f t="shared" si="75"/>
        <v>-1</v>
      </c>
      <c r="K277" s="398">
        <f t="shared" si="80"/>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0</v>
      </c>
      <c r="F278" s="475">
        <v>0</v>
      </c>
      <c r="G278" s="387">
        <v>0</v>
      </c>
      <c r="H278" s="751">
        <f t="shared" si="79"/>
        <v>208925</v>
      </c>
      <c r="I278" s="45">
        <f t="shared" si="74"/>
        <v>-208925</v>
      </c>
      <c r="J278" s="333">
        <f t="shared" si="75"/>
        <v>-1</v>
      </c>
      <c r="K278" s="398">
        <f t="shared" si="80"/>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0</v>
      </c>
      <c r="F279" s="475">
        <v>0</v>
      </c>
      <c r="G279" s="387">
        <v>0</v>
      </c>
      <c r="H279" s="751">
        <f t="shared" si="79"/>
        <v>236983</v>
      </c>
      <c r="I279" s="45">
        <f t="shared" si="74"/>
        <v>-236983</v>
      </c>
      <c r="J279" s="333">
        <f t="shared" si="75"/>
        <v>-1</v>
      </c>
      <c r="K279" s="398">
        <f t="shared" si="80"/>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0</v>
      </c>
      <c r="F280" s="475">
        <v>0</v>
      </c>
      <c r="G280" s="387">
        <v>0</v>
      </c>
      <c r="H280" s="751">
        <f t="shared" si="79"/>
        <v>16651</v>
      </c>
      <c r="I280" s="45">
        <f t="shared" si="74"/>
        <v>-16651</v>
      </c>
      <c r="J280" s="333">
        <f t="shared" si="75"/>
        <v>-1</v>
      </c>
      <c r="K280" s="398">
        <f t="shared" si="80"/>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0</v>
      </c>
      <c r="G281" s="387">
        <v>0</v>
      </c>
      <c r="H281" s="751">
        <f t="shared" si="79"/>
        <v>0</v>
      </c>
      <c r="I281" s="45">
        <f t="shared" si="74"/>
        <v>0</v>
      </c>
      <c r="J281" s="333" t="str">
        <f t="shared" si="75"/>
        <v/>
      </c>
      <c r="K281" s="398">
        <f t="shared" si="80"/>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0</v>
      </c>
      <c r="F282" s="475">
        <v>0</v>
      </c>
      <c r="G282" s="387">
        <v>0</v>
      </c>
      <c r="H282" s="751">
        <f t="shared" si="79"/>
        <v>11673091</v>
      </c>
      <c r="I282" s="45">
        <f t="shared" si="74"/>
        <v>-11673091</v>
      </c>
      <c r="J282" s="333">
        <f t="shared" si="75"/>
        <v>-1</v>
      </c>
      <c r="K282" s="398">
        <f t="shared" si="80"/>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v>0</v>
      </c>
      <c r="I283" s="45">
        <f t="shared" si="74"/>
        <v>0</v>
      </c>
      <c r="J283" s="333" t="str">
        <f t="shared" si="75"/>
        <v/>
      </c>
      <c r="K283" s="398">
        <f t="shared" si="80"/>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81">SUM(C285:C294)</f>
        <v>589033.43000000005</v>
      </c>
      <c r="D284" s="447">
        <f t="shared" si="81"/>
        <v>12573336</v>
      </c>
      <c r="E284" s="444">
        <f t="shared" si="81"/>
        <v>0</v>
      </c>
      <c r="F284" s="446">
        <f t="shared" si="81"/>
        <v>0</v>
      </c>
      <c r="G284" s="444">
        <f t="shared" si="81"/>
        <v>0</v>
      </c>
      <c r="H284" s="444">
        <f t="shared" si="81"/>
        <v>1047778</v>
      </c>
      <c r="I284" s="45">
        <f t="shared" si="74"/>
        <v>-1047778</v>
      </c>
      <c r="J284" s="333">
        <f t="shared" si="75"/>
        <v>-1</v>
      </c>
      <c r="K284" s="445">
        <f t="shared" si="81"/>
        <v>0</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0</v>
      </c>
      <c r="F285" s="475">
        <v>0</v>
      </c>
      <c r="G285" s="387">
        <v>0</v>
      </c>
      <c r="H285" s="751">
        <f t="shared" ref="H285:H288" si="82">D285/12</f>
        <v>303381</v>
      </c>
      <c r="I285" s="45">
        <f t="shared" si="74"/>
        <v>-303381</v>
      </c>
      <c r="J285" s="333">
        <f t="shared" si="75"/>
        <v>-1</v>
      </c>
      <c r="K285" s="398"/>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0</v>
      </c>
      <c r="F286" s="475">
        <v>0</v>
      </c>
      <c r="G286" s="387">
        <v>0</v>
      </c>
      <c r="H286" s="751">
        <f t="shared" si="82"/>
        <v>432479</v>
      </c>
      <c r="I286" s="45">
        <f t="shared" si="74"/>
        <v>-432479</v>
      </c>
      <c r="J286" s="333">
        <f t="shared" si="75"/>
        <v>-1</v>
      </c>
      <c r="K286" s="398"/>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0</v>
      </c>
      <c r="F287" s="475">
        <v>0</v>
      </c>
      <c r="G287" s="387">
        <v>0</v>
      </c>
      <c r="H287" s="751">
        <f t="shared" si="82"/>
        <v>311918</v>
      </c>
      <c r="I287" s="45">
        <f t="shared" si="74"/>
        <v>-311918</v>
      </c>
      <c r="J287" s="333">
        <f t="shared" si="75"/>
        <v>-1</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82"/>
        <v>0</v>
      </c>
      <c r="I288" s="45">
        <f t="shared" si="74"/>
        <v>0</v>
      </c>
      <c r="J288" s="333" t="str">
        <f t="shared" si="75"/>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v>0</v>
      </c>
      <c r="I289" s="45">
        <f t="shared" si="74"/>
        <v>0</v>
      </c>
      <c r="J289" s="333" t="str">
        <f t="shared" si="75"/>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v>0</v>
      </c>
      <c r="I290" s="45">
        <f t="shared" si="74"/>
        <v>0</v>
      </c>
      <c r="J290" s="333" t="str">
        <f t="shared" si="75"/>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v>0</v>
      </c>
      <c r="I291" s="45">
        <f t="shared" si="74"/>
        <v>0</v>
      </c>
      <c r="J291" s="333" t="str">
        <f t="shared" si="75"/>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v>0</v>
      </c>
      <c r="I292" s="45">
        <f t="shared" si="74"/>
        <v>0</v>
      </c>
      <c r="J292" s="333" t="str">
        <f t="shared" si="75"/>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v>0</v>
      </c>
      <c r="I293" s="45">
        <f t="shared" si="74"/>
        <v>0</v>
      </c>
      <c r="J293" s="333" t="str">
        <f t="shared" si="75"/>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v>0</v>
      </c>
      <c r="I294" s="45">
        <f t="shared" si="74"/>
        <v>0</v>
      </c>
      <c r="J294" s="333" t="str">
        <f t="shared" si="75"/>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83">SUM(C296:C305)</f>
        <v>0</v>
      </c>
      <c r="D295" s="447">
        <f t="shared" si="83"/>
        <v>0</v>
      </c>
      <c r="E295" s="444">
        <f t="shared" si="83"/>
        <v>0</v>
      </c>
      <c r="F295" s="446">
        <f t="shared" si="83"/>
        <v>0</v>
      </c>
      <c r="G295" s="444">
        <f t="shared" si="83"/>
        <v>0</v>
      </c>
      <c r="H295" s="444">
        <f t="shared" si="83"/>
        <v>0</v>
      </c>
      <c r="I295" s="45">
        <f t="shared" si="74"/>
        <v>0</v>
      </c>
      <c r="J295" s="333" t="str">
        <f t="shared" si="75"/>
        <v/>
      </c>
      <c r="K295" s="445">
        <f t="shared" si="83"/>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 t="shared" ref="H296:H327" si="84">D296/12*7</f>
        <v>0</v>
      </c>
      <c r="I296" s="45">
        <f t="shared" si="74"/>
        <v>0</v>
      </c>
      <c r="J296" s="333" t="str">
        <f t="shared" si="75"/>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si="84"/>
        <v>0</v>
      </c>
      <c r="I297" s="45">
        <f t="shared" si="74"/>
        <v>0</v>
      </c>
      <c r="J297" s="333" t="str">
        <f t="shared" si="75"/>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84"/>
        <v>0</v>
      </c>
      <c r="I298" s="45">
        <f t="shared" si="74"/>
        <v>0</v>
      </c>
      <c r="J298" s="333" t="str">
        <f t="shared" si="75"/>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84"/>
        <v>0</v>
      </c>
      <c r="I299" s="45">
        <f t="shared" si="74"/>
        <v>0</v>
      </c>
      <c r="J299" s="333" t="str">
        <f t="shared" si="75"/>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84"/>
        <v>0</v>
      </c>
      <c r="I300" s="45">
        <f t="shared" si="74"/>
        <v>0</v>
      </c>
      <c r="J300" s="333" t="str">
        <f t="shared" si="75"/>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84"/>
        <v>0</v>
      </c>
      <c r="I301" s="45">
        <f t="shared" si="74"/>
        <v>0</v>
      </c>
      <c r="J301" s="333" t="str">
        <f t="shared" si="75"/>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84"/>
        <v>0</v>
      </c>
      <c r="I302" s="45">
        <f t="shared" si="74"/>
        <v>0</v>
      </c>
      <c r="J302" s="333" t="str">
        <f t="shared" si="75"/>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84"/>
        <v>0</v>
      </c>
      <c r="I303" s="45">
        <f t="shared" si="74"/>
        <v>0</v>
      </c>
      <c r="J303" s="333" t="str">
        <f t="shared" si="75"/>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84"/>
        <v>0</v>
      </c>
      <c r="I304" s="45">
        <f t="shared" si="74"/>
        <v>0</v>
      </c>
      <c r="J304" s="333" t="str">
        <f t="shared" si="75"/>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84"/>
        <v>0</v>
      </c>
      <c r="I305" s="45">
        <f t="shared" si="74"/>
        <v>0</v>
      </c>
      <c r="J305" s="333" t="str">
        <f t="shared" si="75"/>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85">SUM(C307:C316)</f>
        <v>0</v>
      </c>
      <c r="D306" s="447">
        <f t="shared" si="85"/>
        <v>0</v>
      </c>
      <c r="E306" s="444">
        <f t="shared" si="85"/>
        <v>0</v>
      </c>
      <c r="F306" s="446">
        <f t="shared" si="85"/>
        <v>0</v>
      </c>
      <c r="G306" s="444">
        <f t="shared" si="85"/>
        <v>0</v>
      </c>
      <c r="H306" s="444">
        <f t="shared" si="85"/>
        <v>0</v>
      </c>
      <c r="I306" s="45">
        <f t="shared" si="74"/>
        <v>0</v>
      </c>
      <c r="J306" s="333" t="str">
        <f t="shared" si="75"/>
        <v/>
      </c>
      <c r="K306" s="445">
        <f t="shared" si="85"/>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 t="shared" si="84"/>
        <v>0</v>
      </c>
      <c r="I307" s="45">
        <f t="shared" si="74"/>
        <v>0</v>
      </c>
      <c r="J307" s="333" t="str">
        <f t="shared" si="75"/>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si="84"/>
        <v>0</v>
      </c>
      <c r="I308" s="45">
        <f t="shared" si="74"/>
        <v>0</v>
      </c>
      <c r="J308" s="333" t="str">
        <f t="shared" si="75"/>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84"/>
        <v>0</v>
      </c>
      <c r="I309" s="45">
        <f t="shared" si="74"/>
        <v>0</v>
      </c>
      <c r="J309" s="333" t="str">
        <f t="shared" si="75"/>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84"/>
        <v>0</v>
      </c>
      <c r="I310" s="45">
        <f t="shared" si="74"/>
        <v>0</v>
      </c>
      <c r="J310" s="333" t="str">
        <f t="shared" si="75"/>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84"/>
        <v>0</v>
      </c>
      <c r="I311" s="45">
        <f t="shared" si="74"/>
        <v>0</v>
      </c>
      <c r="J311" s="333" t="str">
        <f t="shared" si="75"/>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84"/>
        <v>0</v>
      </c>
      <c r="I312" s="45">
        <f t="shared" si="74"/>
        <v>0</v>
      </c>
      <c r="J312" s="333" t="str">
        <f t="shared" si="75"/>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84"/>
        <v>0</v>
      </c>
      <c r="I313" s="45">
        <f t="shared" si="74"/>
        <v>0</v>
      </c>
      <c r="J313" s="333" t="str">
        <f t="shared" si="75"/>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84"/>
        <v>0</v>
      </c>
      <c r="I314" s="45">
        <f t="shared" si="74"/>
        <v>0</v>
      </c>
      <c r="J314" s="333" t="str">
        <f t="shared" si="75"/>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84"/>
        <v>0</v>
      </c>
      <c r="I315" s="45">
        <f t="shared" si="74"/>
        <v>0</v>
      </c>
      <c r="J315" s="333" t="str">
        <f t="shared" si="75"/>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84"/>
        <v>0</v>
      </c>
      <c r="I316" s="45">
        <f t="shared" si="74"/>
        <v>0</v>
      </c>
      <c r="J316" s="333" t="str">
        <f t="shared" si="75"/>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86">SUM(C318:C327)</f>
        <v>0</v>
      </c>
      <c r="D317" s="447">
        <f t="shared" si="86"/>
        <v>0</v>
      </c>
      <c r="E317" s="444">
        <f t="shared" si="86"/>
        <v>0</v>
      </c>
      <c r="F317" s="446">
        <f t="shared" si="86"/>
        <v>0</v>
      </c>
      <c r="G317" s="444">
        <f t="shared" si="86"/>
        <v>0</v>
      </c>
      <c r="H317" s="444">
        <f t="shared" si="86"/>
        <v>0</v>
      </c>
      <c r="I317" s="45">
        <f t="shared" si="74"/>
        <v>0</v>
      </c>
      <c r="J317" s="333" t="str">
        <f t="shared" si="75"/>
        <v/>
      </c>
      <c r="K317" s="445">
        <f t="shared" si="86"/>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 t="shared" si="84"/>
        <v>0</v>
      </c>
      <c r="I318" s="45">
        <f t="shared" si="74"/>
        <v>0</v>
      </c>
      <c r="J318" s="333" t="str">
        <f t="shared" si="75"/>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si="84"/>
        <v>0</v>
      </c>
      <c r="I319" s="45">
        <f t="shared" si="74"/>
        <v>0</v>
      </c>
      <c r="J319" s="333" t="str">
        <f t="shared" si="75"/>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84"/>
        <v>0</v>
      </c>
      <c r="I320" s="45">
        <f t="shared" si="74"/>
        <v>0</v>
      </c>
      <c r="J320" s="333" t="str">
        <f t="shared" si="75"/>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84"/>
        <v>0</v>
      </c>
      <c r="I321" s="45">
        <f t="shared" si="74"/>
        <v>0</v>
      </c>
      <c r="J321" s="333" t="str">
        <f t="shared" si="75"/>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84"/>
        <v>0</v>
      </c>
      <c r="I322" s="45">
        <f t="shared" si="74"/>
        <v>0</v>
      </c>
      <c r="J322" s="333" t="str">
        <f t="shared" si="75"/>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84"/>
        <v>0</v>
      </c>
      <c r="I323" s="45">
        <f t="shared" si="74"/>
        <v>0</v>
      </c>
      <c r="J323" s="333" t="str">
        <f t="shared" si="75"/>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84"/>
        <v>0</v>
      </c>
      <c r="I324" s="45">
        <f t="shared" si="74"/>
        <v>0</v>
      </c>
      <c r="J324" s="333" t="str">
        <f t="shared" si="75"/>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84"/>
        <v>0</v>
      </c>
      <c r="I325" s="45">
        <f t="shared" si="74"/>
        <v>0</v>
      </c>
      <c r="J325" s="333" t="str">
        <f t="shared" si="75"/>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84"/>
        <v>0</v>
      </c>
      <c r="I326" s="45">
        <f t="shared" ref="I326:I341" si="87">G326-H326</f>
        <v>0</v>
      </c>
      <c r="J326" s="333" t="str">
        <f t="shared" ref="J326:J341" si="8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84"/>
        <v>0</v>
      </c>
      <c r="I327" s="45">
        <f t="shared" si="87"/>
        <v>0</v>
      </c>
      <c r="J327" s="333" t="str">
        <f t="shared" si="8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9">SUM(C329:C338)</f>
        <v>0</v>
      </c>
      <c r="D328" s="447">
        <f t="shared" si="89"/>
        <v>0</v>
      </c>
      <c r="E328" s="444">
        <f t="shared" si="89"/>
        <v>0</v>
      </c>
      <c r="F328" s="446">
        <f t="shared" si="89"/>
        <v>0</v>
      </c>
      <c r="G328" s="444">
        <f t="shared" si="89"/>
        <v>0</v>
      </c>
      <c r="H328" s="444">
        <f t="shared" si="89"/>
        <v>0</v>
      </c>
      <c r="I328" s="45">
        <f t="shared" si="87"/>
        <v>0</v>
      </c>
      <c r="J328" s="333" t="str">
        <f t="shared" si="88"/>
        <v/>
      </c>
      <c r="K328" s="445">
        <f t="shared" si="8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 t="shared" ref="H329:H338" si="90">D329/12*7</f>
        <v>0</v>
      </c>
      <c r="I329" s="45">
        <f t="shared" si="87"/>
        <v>0</v>
      </c>
      <c r="J329" s="333" t="str">
        <f t="shared" si="8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si="90"/>
        <v>0</v>
      </c>
      <c r="I330" s="45">
        <f t="shared" si="87"/>
        <v>0</v>
      </c>
      <c r="J330" s="333" t="str">
        <f t="shared" si="8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90"/>
        <v>0</v>
      </c>
      <c r="I331" s="45">
        <f t="shared" si="87"/>
        <v>0</v>
      </c>
      <c r="J331" s="333" t="str">
        <f t="shared" si="8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90"/>
        <v>0</v>
      </c>
      <c r="I332" s="45">
        <f t="shared" si="87"/>
        <v>0</v>
      </c>
      <c r="J332" s="333" t="str">
        <f t="shared" si="8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90"/>
        <v>0</v>
      </c>
      <c r="I333" s="45">
        <f t="shared" si="87"/>
        <v>0</v>
      </c>
      <c r="J333" s="333" t="str">
        <f t="shared" si="8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90"/>
        <v>0</v>
      </c>
      <c r="I334" s="45">
        <f t="shared" si="87"/>
        <v>0</v>
      </c>
      <c r="J334" s="333" t="str">
        <f t="shared" si="8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90"/>
        <v>0</v>
      </c>
      <c r="I335" s="45">
        <f t="shared" si="87"/>
        <v>0</v>
      </c>
      <c r="J335" s="333" t="str">
        <f t="shared" si="8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90"/>
        <v>0</v>
      </c>
      <c r="I336" s="45">
        <f t="shared" si="87"/>
        <v>0</v>
      </c>
      <c r="J336" s="333" t="str">
        <f t="shared" si="8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751">
        <f t="shared" si="90"/>
        <v>0</v>
      </c>
      <c r="I337" s="45">
        <f t="shared" si="87"/>
        <v>0</v>
      </c>
      <c r="J337" s="333" t="str">
        <f t="shared" si="8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90"/>
        <v>0</v>
      </c>
      <c r="I338" s="45">
        <f t="shared" si="87"/>
        <v>0</v>
      </c>
      <c r="J338" s="333" t="str">
        <f t="shared" si="88"/>
        <v/>
      </c>
      <c r="K338" s="398"/>
      <c r="L338" s="455">
        <f t="shared" ref="L338:W338" si="91">SUM(L173:L249)</f>
        <v>0</v>
      </c>
      <c r="M338" s="456">
        <f t="shared" si="91"/>
        <v>0</v>
      </c>
      <c r="N338" s="456">
        <f t="shared" si="91"/>
        <v>0</v>
      </c>
      <c r="O338" s="456">
        <f t="shared" si="91"/>
        <v>0</v>
      </c>
      <c r="P338" s="456">
        <f t="shared" si="91"/>
        <v>0</v>
      </c>
      <c r="Q338" s="456">
        <f t="shared" si="91"/>
        <v>0</v>
      </c>
      <c r="R338" s="456">
        <f t="shared" si="91"/>
        <v>0</v>
      </c>
      <c r="S338" s="456">
        <f t="shared" si="91"/>
        <v>0</v>
      </c>
      <c r="T338" s="456">
        <f t="shared" si="91"/>
        <v>0</v>
      </c>
      <c r="U338" s="456">
        <f t="shared" si="91"/>
        <v>0</v>
      </c>
      <c r="V338" s="456">
        <f t="shared" si="91"/>
        <v>0</v>
      </c>
      <c r="W338" s="456">
        <f t="shared" si="91"/>
        <v>0</v>
      </c>
    </row>
    <row r="339" spans="1:24" ht="12.75" customHeight="1" x14ac:dyDescent="0.2">
      <c r="A339" s="450" t="s">
        <v>654</v>
      </c>
      <c r="B339" s="448">
        <v>2</v>
      </c>
      <c r="C339" s="511">
        <f t="shared" ref="C339:H339" si="92">C174+C185+C196+C207+C218+C229+C240+C251+C262++C273+C284+C295+C306+C317+C328</f>
        <v>2828383939.1999993</v>
      </c>
      <c r="D339" s="478">
        <f t="shared" si="92"/>
        <v>3549930516</v>
      </c>
      <c r="E339" s="478">
        <f t="shared" si="92"/>
        <v>0</v>
      </c>
      <c r="F339" s="478">
        <f t="shared" si="92"/>
        <v>150906894.13999999</v>
      </c>
      <c r="G339" s="478">
        <f t="shared" si="92"/>
        <v>150906894.13999999</v>
      </c>
      <c r="H339" s="477">
        <f t="shared" si="92"/>
        <v>295827543</v>
      </c>
      <c r="I339" s="433">
        <f t="shared" si="87"/>
        <v>-144920648.86000001</v>
      </c>
      <c r="J339" s="433">
        <f t="shared" si="88"/>
        <v>-0.48988220430847446</v>
      </c>
      <c r="K339" s="516">
        <f>K174+K185+K196+K207+K218+K229+K240+K251+K262++K273+K284+K295+K306+K317+K328</f>
        <v>3537357180</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87"/>
        <v>0</v>
      </c>
      <c r="J340" s="51" t="str">
        <f t="shared" si="88"/>
        <v/>
      </c>
      <c r="K340" s="195"/>
      <c r="L340" s="483">
        <f t="shared" ref="L340:W340" si="93">L170-L338</f>
        <v>0</v>
      </c>
      <c r="M340" s="484">
        <f t="shared" si="93"/>
        <v>0</v>
      </c>
      <c r="N340" s="484">
        <f t="shared" si="93"/>
        <v>0</v>
      </c>
      <c r="O340" s="484">
        <f t="shared" si="93"/>
        <v>0</v>
      </c>
      <c r="P340" s="484">
        <f t="shared" si="93"/>
        <v>0</v>
      </c>
      <c r="Q340" s="484">
        <f t="shared" si="93"/>
        <v>0</v>
      </c>
      <c r="R340" s="484">
        <f t="shared" si="93"/>
        <v>0</v>
      </c>
      <c r="S340" s="484">
        <f t="shared" si="93"/>
        <v>0</v>
      </c>
      <c r="T340" s="484">
        <f t="shared" si="93"/>
        <v>0</v>
      </c>
      <c r="U340" s="484">
        <f t="shared" si="93"/>
        <v>0</v>
      </c>
      <c r="V340" s="484">
        <f t="shared" si="93"/>
        <v>0</v>
      </c>
      <c r="W340" s="484">
        <f t="shared" si="93"/>
        <v>0</v>
      </c>
    </row>
    <row r="341" spans="1:24" s="489" customFormat="1" ht="11.25" customHeight="1" thickTop="1" x14ac:dyDescent="0.2">
      <c r="A341" s="893" t="str">
        <f>result</f>
        <v>Surplus/ (Deficit) for the year</v>
      </c>
      <c r="B341" s="480">
        <v>2</v>
      </c>
      <c r="C341" s="512">
        <f t="shared" ref="C341:H341" si="94">C171-C339</f>
        <v>815305894.81000042</v>
      </c>
      <c r="D341" s="515">
        <f t="shared" si="94"/>
        <v>1512993108</v>
      </c>
      <c r="E341" s="56">
        <f t="shared" si="94"/>
        <v>0</v>
      </c>
      <c r="F341" s="482">
        <f t="shared" si="94"/>
        <v>32225841.979999989</v>
      </c>
      <c r="G341" s="56">
        <f t="shared" si="94"/>
        <v>32225841.979999989</v>
      </c>
      <c r="H341" s="482">
        <f t="shared" si="94"/>
        <v>126082759</v>
      </c>
      <c r="I341" s="56">
        <f t="shared" si="87"/>
        <v>-93856917.020000011</v>
      </c>
      <c r="J341" s="56">
        <f t="shared" si="88"/>
        <v>-0.74440722716101104</v>
      </c>
      <c r="K341" s="236">
        <f>K171-K339</f>
        <v>1525566444</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8"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K48" sqref="C6:K48"/>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"&amp;S71B&amp; " - "&amp;date</f>
        <v>LIM354 Polokwane - Table C4 Monthly Budget Statement - Financial Performance (revenue and expenditure) - M01 July</v>
      </c>
      <c r="B1" s="1031"/>
      <c r="C1" s="1031"/>
      <c r="D1" s="1031"/>
      <c r="E1" s="1031"/>
      <c r="F1" s="1031"/>
      <c r="G1" s="1031"/>
      <c r="H1" s="1031"/>
      <c r="I1" s="1031"/>
      <c r="J1" s="1031"/>
      <c r="K1" s="1031"/>
    </row>
    <row r="2" spans="1:11" x14ac:dyDescent="0.2">
      <c r="A2" s="1020" t="str">
        <f>desc</f>
        <v>Description</v>
      </c>
      <c r="B2" s="1029" t="str">
        <f>head27</f>
        <v>Ref</v>
      </c>
      <c r="C2" s="159" t="str">
        <f>Head1</f>
        <v>2018/19</v>
      </c>
      <c r="D2" s="1015" t="str">
        <f>Head2</f>
        <v>Budget Year 2019/20</v>
      </c>
      <c r="E2" s="1016"/>
      <c r="F2" s="1016"/>
      <c r="G2" s="1016"/>
      <c r="H2" s="1016"/>
      <c r="I2" s="1016"/>
      <c r="J2" s="1016"/>
      <c r="K2" s="1017"/>
    </row>
    <row r="3" spans="1:11" ht="20.399999999999999" x14ac:dyDescent="0.2">
      <c r="A3" s="1021"/>
      <c r="B3" s="103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0</v>
      </c>
      <c r="F6" s="743">
        <v>41329086.019999996</v>
      </c>
      <c r="G6" s="743">
        <v>41329086.019999996</v>
      </c>
      <c r="H6" s="743">
        <v>40000000</v>
      </c>
      <c r="I6" s="45">
        <f t="shared" ref="I6:I22" si="0">G6-H6</f>
        <v>1329086.0199999958</v>
      </c>
      <c r="J6" s="333">
        <f t="shared" ref="J6:J22" si="1">IF(I6=0,"",I6/H6)</f>
        <v>3.3227150499999893E-2</v>
      </c>
      <c r="K6" s="745">
        <v>480000000</v>
      </c>
    </row>
    <row r="7" spans="1:11" ht="11.25" customHeight="1" x14ac:dyDescent="0.2">
      <c r="A7" s="40" t="s">
        <v>856</v>
      </c>
      <c r="B7" s="422"/>
      <c r="C7" s="758">
        <v>946835469.46999991</v>
      </c>
      <c r="D7" s="755">
        <v>1192830012</v>
      </c>
      <c r="E7" s="743">
        <v>0</v>
      </c>
      <c r="F7" s="743">
        <v>73493930.590000004</v>
      </c>
      <c r="G7" s="743">
        <v>73493930.590000004</v>
      </c>
      <c r="H7" s="743">
        <v>99402501</v>
      </c>
      <c r="I7" s="45">
        <f t="shared" si="0"/>
        <v>-25908570.409999996</v>
      </c>
      <c r="J7" s="333">
        <f t="shared" si="1"/>
        <v>-0.26064304367955488</v>
      </c>
      <c r="K7" s="745">
        <v>1192830012</v>
      </c>
    </row>
    <row r="8" spans="1:11" ht="11.25" customHeight="1" x14ac:dyDescent="0.2">
      <c r="A8" s="87" t="s">
        <v>857</v>
      </c>
      <c r="B8" s="424"/>
      <c r="C8" s="758">
        <v>241836206.10999998</v>
      </c>
      <c r="D8" s="755">
        <v>310840992</v>
      </c>
      <c r="E8" s="743">
        <v>0</v>
      </c>
      <c r="F8" s="743">
        <v>26774384.760000002</v>
      </c>
      <c r="G8" s="743">
        <v>26774384.760000002</v>
      </c>
      <c r="H8" s="743">
        <v>25903416</v>
      </c>
      <c r="I8" s="45">
        <f t="shared" si="0"/>
        <v>870968.76000000164</v>
      </c>
      <c r="J8" s="333">
        <f t="shared" si="1"/>
        <v>3.3623702757968353E-2</v>
      </c>
      <c r="K8" s="745">
        <v>310840992</v>
      </c>
    </row>
    <row r="9" spans="1:11" ht="11.25" customHeight="1" x14ac:dyDescent="0.2">
      <c r="A9" s="87" t="s">
        <v>858</v>
      </c>
      <c r="B9" s="424"/>
      <c r="C9" s="758">
        <v>107299038.08</v>
      </c>
      <c r="D9" s="755">
        <v>133773012</v>
      </c>
      <c r="E9" s="743">
        <v>0</v>
      </c>
      <c r="F9" s="743">
        <v>9611533.8099999987</v>
      </c>
      <c r="G9" s="743">
        <v>9611533.8099999987</v>
      </c>
      <c r="H9" s="743">
        <v>11147751</v>
      </c>
      <c r="I9" s="45">
        <f t="shared" si="0"/>
        <v>-1536217.1900000013</v>
      </c>
      <c r="J9" s="333">
        <f t="shared" si="1"/>
        <v>-0.13780512230673267</v>
      </c>
      <c r="K9" s="745">
        <v>133773012</v>
      </c>
    </row>
    <row r="10" spans="1:11" ht="11.25" customHeight="1" x14ac:dyDescent="0.2">
      <c r="A10" s="520" t="s">
        <v>74</v>
      </c>
      <c r="B10" s="424"/>
      <c r="C10" s="758">
        <v>107182605.18000001</v>
      </c>
      <c r="D10" s="755">
        <v>128626992</v>
      </c>
      <c r="E10" s="743">
        <v>0</v>
      </c>
      <c r="F10" s="743">
        <v>9605852.8399999999</v>
      </c>
      <c r="G10" s="743">
        <v>9605852.8399999999</v>
      </c>
      <c r="H10" s="743">
        <v>10718916</v>
      </c>
      <c r="I10" s="45">
        <f t="shared" si="0"/>
        <v>-1113063.1600000001</v>
      </c>
      <c r="J10" s="333">
        <f t="shared" si="1"/>
        <v>-0.10384101899856293</v>
      </c>
      <c r="K10" s="745">
        <v>128626992</v>
      </c>
    </row>
    <row r="11" spans="1:11" ht="11.25" customHeight="1" x14ac:dyDescent="0.2">
      <c r="A11" s="87" t="s">
        <v>859</v>
      </c>
      <c r="B11" s="424"/>
      <c r="C11" s="758"/>
      <c r="D11" s="755"/>
      <c r="E11" s="743"/>
      <c r="F11" s="743"/>
      <c r="G11" s="743"/>
      <c r="H11" s="743"/>
      <c r="I11" s="45">
        <f t="shared" si="0"/>
        <v>0</v>
      </c>
      <c r="J11" s="333" t="str">
        <f t="shared" si="1"/>
        <v/>
      </c>
      <c r="K11" s="745"/>
    </row>
    <row r="12" spans="1:11" ht="11.25" customHeight="1" x14ac:dyDescent="0.2">
      <c r="A12" s="87" t="s">
        <v>993</v>
      </c>
      <c r="B12" s="424"/>
      <c r="C12" s="758">
        <v>14721734.220000001</v>
      </c>
      <c r="D12" s="755">
        <v>39538944</v>
      </c>
      <c r="E12" s="743">
        <v>0</v>
      </c>
      <c r="F12" s="743">
        <v>546686.03</v>
      </c>
      <c r="G12" s="743">
        <v>546686.03</v>
      </c>
      <c r="H12" s="743">
        <v>3294912</v>
      </c>
      <c r="I12" s="45">
        <f t="shared" si="0"/>
        <v>-2748225.9699999997</v>
      </c>
      <c r="J12" s="333">
        <f t="shared" si="1"/>
        <v>-0.83408175089349879</v>
      </c>
      <c r="K12" s="745">
        <v>39538944</v>
      </c>
    </row>
    <row r="13" spans="1:11" ht="11.25" customHeight="1" x14ac:dyDescent="0.2">
      <c r="A13" s="87" t="s">
        <v>862</v>
      </c>
      <c r="B13" s="424"/>
      <c r="C13" s="758">
        <v>2144488.44</v>
      </c>
      <c r="D13" s="755">
        <v>28917996</v>
      </c>
      <c r="E13" s="743">
        <v>0</v>
      </c>
      <c r="F13" s="743">
        <v>1551166.67</v>
      </c>
      <c r="G13" s="743">
        <v>1551166.67</v>
      </c>
      <c r="H13" s="743">
        <v>2409833</v>
      </c>
      <c r="I13" s="45">
        <f t="shared" si="0"/>
        <v>-858666.33000000007</v>
      </c>
      <c r="J13" s="333">
        <f t="shared" si="1"/>
        <v>-0.35631777388723618</v>
      </c>
      <c r="K13" s="745">
        <v>28917996</v>
      </c>
    </row>
    <row r="14" spans="1:11" ht="11.25" customHeight="1" x14ac:dyDescent="0.2">
      <c r="A14" s="87" t="s">
        <v>863</v>
      </c>
      <c r="B14" s="424"/>
      <c r="C14" s="758">
        <v>74638499.920000002</v>
      </c>
      <c r="D14" s="755">
        <v>84800004</v>
      </c>
      <c r="E14" s="743">
        <v>0</v>
      </c>
      <c r="F14" s="743">
        <v>8662844.0399999991</v>
      </c>
      <c r="G14" s="743">
        <v>8662844.0399999991</v>
      </c>
      <c r="H14" s="743">
        <v>7066667</v>
      </c>
      <c r="I14" s="45">
        <f t="shared" si="0"/>
        <v>1596177.0399999991</v>
      </c>
      <c r="J14" s="333">
        <f t="shared" si="1"/>
        <v>0.22587409877952352</v>
      </c>
      <c r="K14" s="745">
        <v>84800004</v>
      </c>
    </row>
    <row r="15" spans="1:11" ht="11.25" customHeight="1" x14ac:dyDescent="0.2">
      <c r="A15" s="87" t="s">
        <v>951</v>
      </c>
      <c r="B15" s="424"/>
      <c r="C15" s="758">
        <v>0</v>
      </c>
      <c r="D15" s="755">
        <v>0</v>
      </c>
      <c r="E15" s="743">
        <v>0</v>
      </c>
      <c r="F15" s="743">
        <v>0</v>
      </c>
      <c r="G15" s="743">
        <v>0</v>
      </c>
      <c r="H15" s="743">
        <v>0</v>
      </c>
      <c r="I15" s="45">
        <f t="shared" si="0"/>
        <v>0</v>
      </c>
      <c r="J15" s="333" t="str">
        <f t="shared" si="1"/>
        <v/>
      </c>
      <c r="K15" s="745">
        <v>0</v>
      </c>
    </row>
    <row r="16" spans="1:11" ht="11.25" customHeight="1" x14ac:dyDescent="0.2">
      <c r="A16" s="87" t="s">
        <v>1153</v>
      </c>
      <c r="B16" s="424"/>
      <c r="C16" s="758">
        <v>4991565.21</v>
      </c>
      <c r="D16" s="755">
        <v>16959996</v>
      </c>
      <c r="E16" s="743">
        <v>0</v>
      </c>
      <c r="F16" s="743">
        <v>98220.61</v>
      </c>
      <c r="G16" s="743">
        <v>98220.61</v>
      </c>
      <c r="H16" s="743">
        <v>1413333</v>
      </c>
      <c r="I16" s="45">
        <f t="shared" si="0"/>
        <v>-1315112.3899999999</v>
      </c>
      <c r="J16" s="333">
        <f t="shared" si="1"/>
        <v>-0.93050426898685579</v>
      </c>
      <c r="K16" s="745">
        <v>16959996</v>
      </c>
    </row>
    <row r="17" spans="1:11" ht="11.25" customHeight="1" x14ac:dyDescent="0.2">
      <c r="A17" s="87" t="s">
        <v>864</v>
      </c>
      <c r="B17" s="424"/>
      <c r="C17" s="758">
        <v>30484032.519999996</v>
      </c>
      <c r="D17" s="755">
        <v>15784020</v>
      </c>
      <c r="E17" s="743">
        <v>0</v>
      </c>
      <c r="F17" s="743">
        <v>1108559.28</v>
      </c>
      <c r="G17" s="743">
        <v>1108559.28</v>
      </c>
      <c r="H17" s="743">
        <v>1315335</v>
      </c>
      <c r="I17" s="45">
        <f t="shared" si="0"/>
        <v>-206775.71999999997</v>
      </c>
      <c r="J17" s="333">
        <f t="shared" si="1"/>
        <v>-0.15720384540820398</v>
      </c>
      <c r="K17" s="745">
        <v>15784020</v>
      </c>
    </row>
    <row r="18" spans="1:11" ht="11.25" customHeight="1" x14ac:dyDescent="0.2">
      <c r="A18" s="87" t="s">
        <v>600</v>
      </c>
      <c r="B18" s="424"/>
      <c r="C18" s="758">
        <v>75698862.430000007</v>
      </c>
      <c r="D18" s="755">
        <v>26499996</v>
      </c>
      <c r="E18" s="743">
        <v>0</v>
      </c>
      <c r="F18" s="743">
        <v>9134540.0899999999</v>
      </c>
      <c r="G18" s="743">
        <v>9134540.0899999999</v>
      </c>
      <c r="H18" s="743">
        <v>2208333</v>
      </c>
      <c r="I18" s="45">
        <f t="shared" si="0"/>
        <v>6926207.0899999999</v>
      </c>
      <c r="J18" s="333">
        <f t="shared" si="1"/>
        <v>3.1363961368145112</v>
      </c>
      <c r="K18" s="745">
        <v>26499996</v>
      </c>
    </row>
    <row r="19" spans="1:11" ht="11.25" customHeight="1" x14ac:dyDescent="0.2">
      <c r="A19" s="521" t="s">
        <v>1154</v>
      </c>
      <c r="B19" s="424"/>
      <c r="C19" s="758">
        <v>754960752.45999992</v>
      </c>
      <c r="D19" s="755">
        <v>1039367004</v>
      </c>
      <c r="E19" s="743">
        <v>0</v>
      </c>
      <c r="F19" s="743">
        <v>385169274.88999999</v>
      </c>
      <c r="G19" s="743">
        <v>385169274.88999999</v>
      </c>
      <c r="H19" s="743">
        <v>86613917</v>
      </c>
      <c r="I19" s="45">
        <f t="shared" si="0"/>
        <v>298555357.88999999</v>
      </c>
      <c r="J19" s="333">
        <f t="shared" si="1"/>
        <v>3.4469675108908882</v>
      </c>
      <c r="K19" s="745">
        <v>1039367004</v>
      </c>
    </row>
    <row r="20" spans="1:11" ht="11.25" customHeight="1" x14ac:dyDescent="0.2">
      <c r="A20" s="87" t="s">
        <v>463</v>
      </c>
      <c r="B20" s="424"/>
      <c r="C20" s="758">
        <v>23469435.82</v>
      </c>
      <c r="D20" s="755">
        <v>297848664</v>
      </c>
      <c r="E20" s="743">
        <v>0</v>
      </c>
      <c r="F20" s="743">
        <v>1213503.55</v>
      </c>
      <c r="G20" s="743">
        <v>1213503.55</v>
      </c>
      <c r="H20" s="743">
        <v>24820722</v>
      </c>
      <c r="I20" s="45">
        <f t="shared" si="0"/>
        <v>-23607218.449999999</v>
      </c>
      <c r="J20" s="333">
        <f t="shared" si="1"/>
        <v>-0.95110925661227741</v>
      </c>
      <c r="K20" s="745">
        <v>297848664</v>
      </c>
    </row>
    <row r="21" spans="1:11" ht="11.25" customHeight="1" x14ac:dyDescent="0.2">
      <c r="A21" s="40" t="s">
        <v>865</v>
      </c>
      <c r="B21" s="422"/>
      <c r="C21" s="758">
        <v>0</v>
      </c>
      <c r="D21" s="755">
        <v>0</v>
      </c>
      <c r="E21" s="743">
        <v>0</v>
      </c>
      <c r="F21" s="743">
        <v>0</v>
      </c>
      <c r="G21" s="743">
        <v>0</v>
      </c>
      <c r="H21" s="743">
        <v>0</v>
      </c>
      <c r="I21" s="45">
        <f t="shared" si="0"/>
        <v>0</v>
      </c>
      <c r="J21" s="333" t="str">
        <f t="shared" si="1"/>
        <v/>
      </c>
      <c r="K21" s="745">
        <v>0</v>
      </c>
    </row>
    <row r="22" spans="1:11" ht="24.75" customHeight="1" x14ac:dyDescent="0.2">
      <c r="A22" s="595" t="s">
        <v>140</v>
      </c>
      <c r="B22" s="596"/>
      <c r="C22" s="525">
        <f t="shared" ref="C22:H22" si="2">SUM(C6:C21)</f>
        <v>2802267490.8800001</v>
      </c>
      <c r="D22" s="526">
        <f t="shared" si="2"/>
        <v>3795787632</v>
      </c>
      <c r="E22" s="527">
        <f t="shared" si="2"/>
        <v>0</v>
      </c>
      <c r="F22" s="527">
        <f t="shared" si="2"/>
        <v>568299583.17999995</v>
      </c>
      <c r="G22" s="527">
        <f t="shared" si="2"/>
        <v>568299583.17999995</v>
      </c>
      <c r="H22" s="527">
        <f t="shared" si="2"/>
        <v>316315636</v>
      </c>
      <c r="I22" s="527">
        <f t="shared" si="0"/>
        <v>251983947.17999995</v>
      </c>
      <c r="J22" s="528">
        <f t="shared" si="1"/>
        <v>0.79662185014464459</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814641856.03000069</v>
      </c>
      <c r="D25" s="755">
        <v>921191480</v>
      </c>
      <c r="E25" s="743">
        <v>0</v>
      </c>
      <c r="F25" s="743">
        <v>66737389.730000012</v>
      </c>
      <c r="G25" s="743">
        <v>66737389.730000012</v>
      </c>
      <c r="H25" s="743">
        <v>76765957</v>
      </c>
      <c r="I25" s="45">
        <f t="shared" ref="I25:I36" si="3">G25-H25</f>
        <v>-10028567.269999988</v>
      </c>
      <c r="J25" s="333">
        <f t="shared" ref="J25:J41" si="4">IF(I25=0,"",I25/H25)</f>
        <v>-0.130638210763138</v>
      </c>
      <c r="K25" s="745">
        <v>921191480</v>
      </c>
    </row>
    <row r="26" spans="1:11" ht="12.75" customHeight="1" x14ac:dyDescent="0.2">
      <c r="A26" s="40" t="s">
        <v>489</v>
      </c>
      <c r="B26" s="422"/>
      <c r="C26" s="758">
        <v>37953706.43</v>
      </c>
      <c r="D26" s="755">
        <v>40099968</v>
      </c>
      <c r="E26" s="743">
        <v>0</v>
      </c>
      <c r="F26" s="743">
        <v>3220210.82</v>
      </c>
      <c r="G26" s="743">
        <v>3220210.82</v>
      </c>
      <c r="H26" s="743">
        <v>3341664</v>
      </c>
      <c r="I26" s="45">
        <f t="shared" si="3"/>
        <v>-121453.18000000017</v>
      </c>
      <c r="J26" s="333">
        <f t="shared" si="4"/>
        <v>-3.6345120275407754E-2</v>
      </c>
      <c r="K26" s="745">
        <v>40099968</v>
      </c>
    </row>
    <row r="27" spans="1:11" ht="12.75" customHeight="1" x14ac:dyDescent="0.2">
      <c r="A27" s="87" t="s">
        <v>631</v>
      </c>
      <c r="B27" s="424"/>
      <c r="C27" s="758">
        <v>6098622.8799999999</v>
      </c>
      <c r="D27" s="755">
        <v>200000004</v>
      </c>
      <c r="E27" s="743">
        <v>0</v>
      </c>
      <c r="F27" s="743">
        <v>16666667</v>
      </c>
      <c r="G27" s="743">
        <v>16666667</v>
      </c>
      <c r="H27" s="743">
        <v>16666667</v>
      </c>
      <c r="I27" s="45">
        <f t="shared" si="3"/>
        <v>0</v>
      </c>
      <c r="J27" s="333" t="str">
        <f t="shared" si="4"/>
        <v/>
      </c>
      <c r="K27" s="745">
        <v>200000004</v>
      </c>
    </row>
    <row r="28" spans="1:11" ht="12.75" customHeight="1" x14ac:dyDescent="0.2">
      <c r="A28" s="87" t="s">
        <v>684</v>
      </c>
      <c r="B28" s="424"/>
      <c r="C28" s="758">
        <v>150036.91999999998</v>
      </c>
      <c r="D28" s="755">
        <v>236999988</v>
      </c>
      <c r="E28" s="743">
        <v>0</v>
      </c>
      <c r="F28" s="743">
        <v>19749999</v>
      </c>
      <c r="G28" s="743">
        <v>19749999</v>
      </c>
      <c r="H28" s="743">
        <v>19749999</v>
      </c>
      <c r="I28" s="45">
        <f t="shared" si="3"/>
        <v>0</v>
      </c>
      <c r="J28" s="333" t="str">
        <f t="shared" si="4"/>
        <v/>
      </c>
      <c r="K28" s="745">
        <v>236999988</v>
      </c>
    </row>
    <row r="29" spans="1:11" ht="12.75" customHeight="1" x14ac:dyDescent="0.2">
      <c r="A29" s="87" t="s">
        <v>462</v>
      </c>
      <c r="B29" s="424"/>
      <c r="C29" s="758">
        <v>40268907.729999997</v>
      </c>
      <c r="D29" s="755">
        <v>85122000</v>
      </c>
      <c r="E29" s="743">
        <v>0</v>
      </c>
      <c r="F29" s="743">
        <v>32464062.57</v>
      </c>
      <c r="G29" s="743">
        <v>32464062.57</v>
      </c>
      <c r="H29" s="743">
        <v>7093500</v>
      </c>
      <c r="I29" s="45">
        <f t="shared" si="3"/>
        <v>25370562.57</v>
      </c>
      <c r="J29" s="333">
        <f t="shared" si="4"/>
        <v>3.5765930175512795</v>
      </c>
      <c r="K29" s="745">
        <v>85122000</v>
      </c>
    </row>
    <row r="30" spans="1:11" ht="12.75" customHeight="1" x14ac:dyDescent="0.2">
      <c r="A30" s="87" t="s">
        <v>869</v>
      </c>
      <c r="B30" s="424"/>
      <c r="C30" s="758">
        <v>820979261.64999998</v>
      </c>
      <c r="D30" s="755">
        <v>968547000</v>
      </c>
      <c r="E30" s="743">
        <v>0</v>
      </c>
      <c r="F30" s="743">
        <v>90160964.450000003</v>
      </c>
      <c r="G30" s="743">
        <v>90160964.450000003</v>
      </c>
      <c r="H30" s="743">
        <v>80712250</v>
      </c>
      <c r="I30" s="45">
        <f t="shared" si="3"/>
        <v>9448714.450000003</v>
      </c>
      <c r="J30" s="333">
        <f t="shared" si="4"/>
        <v>0.11706667141604903</v>
      </c>
      <c r="K30" s="745">
        <v>968547000</v>
      </c>
    </row>
    <row r="31" spans="1:11" ht="12.75" customHeight="1" x14ac:dyDescent="0.2">
      <c r="A31" s="87" t="s">
        <v>950</v>
      </c>
      <c r="B31" s="424"/>
      <c r="C31" s="758">
        <v>45217644.449999996</v>
      </c>
      <c r="D31" s="755">
        <v>85588932</v>
      </c>
      <c r="E31" s="743">
        <v>0</v>
      </c>
      <c r="F31" s="743">
        <v>0</v>
      </c>
      <c r="G31" s="743">
        <v>0</v>
      </c>
      <c r="H31" s="743">
        <v>7132412</v>
      </c>
      <c r="I31" s="45">
        <f t="shared" si="3"/>
        <v>-7132412</v>
      </c>
      <c r="J31" s="333">
        <f t="shared" si="4"/>
        <v>-1</v>
      </c>
      <c r="K31" s="745">
        <v>85588932</v>
      </c>
    </row>
    <row r="32" spans="1:11" ht="12.75" customHeight="1" x14ac:dyDescent="0.2">
      <c r="A32" s="87" t="s">
        <v>870</v>
      </c>
      <c r="B32" s="424"/>
      <c r="C32" s="758">
        <v>861957467.26000071</v>
      </c>
      <c r="D32" s="755">
        <v>757055992</v>
      </c>
      <c r="E32" s="743">
        <v>0</v>
      </c>
      <c r="F32" s="743">
        <v>703715.47</v>
      </c>
      <c r="G32" s="743">
        <v>703715.47</v>
      </c>
      <c r="H32" s="743">
        <v>63087999</v>
      </c>
      <c r="I32" s="45">
        <f t="shared" si="3"/>
        <v>-62384283.530000001</v>
      </c>
      <c r="J32" s="333">
        <f t="shared" si="4"/>
        <v>-0.98884549389496412</v>
      </c>
      <c r="K32" s="745">
        <v>757055992</v>
      </c>
    </row>
    <row r="33" spans="1:12" ht="12.75" customHeight="1" x14ac:dyDescent="0.2">
      <c r="A33" s="520" t="s">
        <v>1154</v>
      </c>
      <c r="B33" s="424"/>
      <c r="C33" s="758">
        <v>8420000</v>
      </c>
      <c r="D33" s="755">
        <v>11500008</v>
      </c>
      <c r="E33" s="743">
        <v>0</v>
      </c>
      <c r="F33" s="743">
        <v>1140000</v>
      </c>
      <c r="G33" s="743">
        <v>1140000</v>
      </c>
      <c r="H33" s="743">
        <v>958334</v>
      </c>
      <c r="I33" s="45">
        <f t="shared" si="3"/>
        <v>181666</v>
      </c>
      <c r="J33" s="333">
        <f t="shared" si="4"/>
        <v>0.18956438986825053</v>
      </c>
      <c r="K33" s="745">
        <v>11500008</v>
      </c>
    </row>
    <row r="34" spans="1:12" ht="12.75" customHeight="1" x14ac:dyDescent="0.2">
      <c r="A34" s="87" t="s">
        <v>443</v>
      </c>
      <c r="B34" s="424"/>
      <c r="C34" s="758">
        <v>207057742.22</v>
      </c>
      <c r="D34" s="755">
        <v>243825144</v>
      </c>
      <c r="E34" s="743">
        <v>0</v>
      </c>
      <c r="F34" s="743">
        <v>26219669.149999999</v>
      </c>
      <c r="G34" s="743">
        <v>26219669.149999999</v>
      </c>
      <c r="H34" s="743">
        <v>20318763</v>
      </c>
      <c r="I34" s="45">
        <f t="shared" si="3"/>
        <v>5900906.1499999985</v>
      </c>
      <c r="J34" s="333">
        <f t="shared" si="4"/>
        <v>0.29041660410134212</v>
      </c>
      <c r="K34" s="745">
        <v>243825144</v>
      </c>
    </row>
    <row r="35" spans="1:12" ht="12.75" customHeight="1" x14ac:dyDescent="0.2">
      <c r="A35" s="40" t="s">
        <v>598</v>
      </c>
      <c r="B35" s="422"/>
      <c r="C35" s="758">
        <v>0</v>
      </c>
      <c r="D35" s="755">
        <v>0</v>
      </c>
      <c r="E35" s="743">
        <v>0</v>
      </c>
      <c r="F35" s="743">
        <v>0</v>
      </c>
      <c r="G35" s="743">
        <v>0</v>
      </c>
      <c r="H35" s="743">
        <v>0</v>
      </c>
      <c r="I35" s="45">
        <f t="shared" si="3"/>
        <v>0</v>
      </c>
      <c r="J35" s="333" t="str">
        <f t="shared" si="4"/>
        <v/>
      </c>
      <c r="K35" s="745">
        <v>0</v>
      </c>
    </row>
    <row r="36" spans="1:12" ht="12.75" customHeight="1" x14ac:dyDescent="0.2">
      <c r="A36" s="93" t="s">
        <v>501</v>
      </c>
      <c r="B36" s="425"/>
      <c r="C36" s="244">
        <f t="shared" ref="C36:K36" si="5">SUM(C25:C35)</f>
        <v>2842745245.5700011</v>
      </c>
      <c r="D36" s="75">
        <f>SUM(D25:D35)</f>
        <v>3549930516</v>
      </c>
      <c r="E36" s="74">
        <f>SUM(E25:E35)</f>
        <v>0</v>
      </c>
      <c r="F36" s="74">
        <f t="shared" si="5"/>
        <v>257062678.19</v>
      </c>
      <c r="G36" s="74">
        <f t="shared" si="5"/>
        <v>257062678.19</v>
      </c>
      <c r="H36" s="74">
        <f t="shared" si="5"/>
        <v>295827545</v>
      </c>
      <c r="I36" s="74">
        <f t="shared" si="3"/>
        <v>-38764866.810000002</v>
      </c>
      <c r="J36" s="334">
        <f t="shared" si="4"/>
        <v>-0.13103873342828845</v>
      </c>
      <c r="K36" s="146">
        <f t="shared" si="5"/>
        <v>3549930516</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6">C22-C36</f>
        <v>-40477754.690001011</v>
      </c>
      <c r="D38" s="52">
        <f t="shared" si="6"/>
        <v>245857116</v>
      </c>
      <c r="E38" s="51">
        <f t="shared" si="6"/>
        <v>0</v>
      </c>
      <c r="F38" s="51">
        <f t="shared" si="6"/>
        <v>311236904.98999995</v>
      </c>
      <c r="G38" s="51">
        <f t="shared" si="6"/>
        <v>311236904.98999995</v>
      </c>
      <c r="H38" s="51">
        <f t="shared" si="6"/>
        <v>20488091</v>
      </c>
      <c r="I38" s="103">
        <f>I22-I36</f>
        <v>290748813.98999995</v>
      </c>
      <c r="J38" s="103">
        <f t="shared" si="4"/>
        <v>14.191112973385366</v>
      </c>
      <c r="K38" s="195">
        <f>K22-K36</f>
        <v>245857116</v>
      </c>
    </row>
    <row r="39" spans="1:12" ht="19.95" customHeight="1" x14ac:dyDescent="0.2">
      <c r="A39" s="949" t="s">
        <v>1155</v>
      </c>
      <c r="B39" s="422"/>
      <c r="C39" s="758">
        <v>844474957.95000005</v>
      </c>
      <c r="D39" s="755">
        <v>1267135992</v>
      </c>
      <c r="E39" s="743">
        <v>0</v>
      </c>
      <c r="F39" s="743">
        <v>85297669.118499994</v>
      </c>
      <c r="G39" s="743">
        <v>85297669.118499994</v>
      </c>
      <c r="H39" s="743">
        <v>105594666</v>
      </c>
      <c r="I39" s="48">
        <f>G39-H39</f>
        <v>-20296996.881500006</v>
      </c>
      <c r="J39" s="103">
        <f t="shared" si="4"/>
        <v>-0.19221611896097104</v>
      </c>
      <c r="K39" s="745">
        <v>1267135992</v>
      </c>
    </row>
    <row r="40" spans="1:12" ht="39.6" customHeight="1" x14ac:dyDescent="0.2">
      <c r="A40" s="949" t="s">
        <v>1156</v>
      </c>
      <c r="B40" s="422"/>
      <c r="C40" s="758">
        <v>0</v>
      </c>
      <c r="D40" s="755">
        <v>0</v>
      </c>
      <c r="E40" s="743">
        <v>0</v>
      </c>
      <c r="F40" s="743">
        <v>0</v>
      </c>
      <c r="G40" s="743">
        <v>0</v>
      </c>
      <c r="H40" s="743">
        <v>0</v>
      </c>
      <c r="I40" s="48">
        <f>G40-H40</f>
        <v>0</v>
      </c>
      <c r="J40" s="103" t="str">
        <f t="shared" si="4"/>
        <v/>
      </c>
      <c r="K40" s="745">
        <v>0</v>
      </c>
    </row>
    <row r="41" spans="1:12" ht="12.75" customHeight="1" x14ac:dyDescent="0.2">
      <c r="A41" s="521" t="s">
        <v>1157</v>
      </c>
      <c r="B41" s="422"/>
      <c r="C41" s="759">
        <v>0</v>
      </c>
      <c r="D41" s="760">
        <v>0</v>
      </c>
      <c r="E41" s="761">
        <v>0</v>
      </c>
      <c r="F41" s="761">
        <v>0</v>
      </c>
      <c r="G41" s="761">
        <v>0</v>
      </c>
      <c r="H41" s="743">
        <v>0</v>
      </c>
      <c r="I41" s="48">
        <f>G41-H41</f>
        <v>0</v>
      </c>
      <c r="J41" s="103" t="str">
        <f t="shared" si="4"/>
        <v/>
      </c>
      <c r="K41" s="745">
        <v>0</v>
      </c>
    </row>
    <row r="42" spans="1:12" x14ac:dyDescent="0.2">
      <c r="A42" s="251" t="s">
        <v>774</v>
      </c>
      <c r="B42" s="524"/>
      <c r="C42" s="253">
        <f t="shared" ref="C42:H42" si="7">C38+SUM(C39:C41)</f>
        <v>803997203.25999904</v>
      </c>
      <c r="D42" s="254">
        <f t="shared" si="7"/>
        <v>1512993108</v>
      </c>
      <c r="E42" s="255">
        <f t="shared" si="7"/>
        <v>0</v>
      </c>
      <c r="F42" s="255">
        <f t="shared" si="7"/>
        <v>396534574.10849994</v>
      </c>
      <c r="G42" s="255">
        <f t="shared" si="7"/>
        <v>396534574.10849994</v>
      </c>
      <c r="H42" s="255">
        <f t="shared" si="7"/>
        <v>126082757</v>
      </c>
      <c r="I42" s="332"/>
      <c r="J42" s="332"/>
      <c r="K42" s="256">
        <f>K38+SUM(K39:K41)</f>
        <v>1512993108</v>
      </c>
    </row>
    <row r="43" spans="1:12" ht="12.75" customHeight="1" x14ac:dyDescent="0.2">
      <c r="A43" s="40" t="s">
        <v>478</v>
      </c>
      <c r="B43" s="422"/>
      <c r="C43" s="759"/>
      <c r="D43" s="760">
        <v>0</v>
      </c>
      <c r="E43" s="761">
        <v>0</v>
      </c>
      <c r="F43" s="761">
        <v>0</v>
      </c>
      <c r="G43" s="761">
        <v>0</v>
      </c>
      <c r="H43" s="761">
        <v>0</v>
      </c>
      <c r="I43" s="100">
        <f>G43-H43</f>
        <v>0</v>
      </c>
      <c r="J43" s="100" t="str">
        <f>IF(I43=0,"",I43/H43)</f>
        <v/>
      </c>
      <c r="K43" s="762">
        <v>0</v>
      </c>
    </row>
    <row r="44" spans="1:12" ht="12.75" customHeight="1" x14ac:dyDescent="0.2">
      <c r="A44" s="88" t="s">
        <v>479</v>
      </c>
      <c r="B44" s="422"/>
      <c r="C44" s="110">
        <f t="shared" ref="C44:H44" si="8">C42-C43</f>
        <v>803997203.25999904</v>
      </c>
      <c r="D44" s="52">
        <f t="shared" si="8"/>
        <v>1512993108</v>
      </c>
      <c r="E44" s="51">
        <f t="shared" si="8"/>
        <v>0</v>
      </c>
      <c r="F44" s="51">
        <f t="shared" si="8"/>
        <v>396534574.10849994</v>
      </c>
      <c r="G44" s="51">
        <f t="shared" si="8"/>
        <v>396534574.10849994</v>
      </c>
      <c r="H44" s="51">
        <f t="shared" si="8"/>
        <v>126082757</v>
      </c>
      <c r="I44" s="330"/>
      <c r="J44" s="330"/>
      <c r="K44" s="195">
        <f>K42-K43</f>
        <v>1512993108</v>
      </c>
    </row>
    <row r="45" spans="1:12" ht="12.75" customHeight="1" x14ac:dyDescent="0.2">
      <c r="A45" s="40" t="s">
        <v>480</v>
      </c>
      <c r="B45" s="422"/>
      <c r="C45" s="758"/>
      <c r="D45" s="755">
        <v>0</v>
      </c>
      <c r="E45" s="743">
        <v>0</v>
      </c>
      <c r="F45" s="743">
        <v>0</v>
      </c>
      <c r="G45" s="743">
        <v>0</v>
      </c>
      <c r="H45" s="743">
        <v>0</v>
      </c>
      <c r="I45" s="274"/>
      <c r="J45" s="274"/>
      <c r="K45" s="745">
        <v>0</v>
      </c>
    </row>
    <row r="46" spans="1:12" ht="12.75" customHeight="1" x14ac:dyDescent="0.2">
      <c r="A46" s="530" t="s">
        <v>147</v>
      </c>
      <c r="B46" s="429"/>
      <c r="C46" s="532">
        <f t="shared" ref="C46:H46" si="9">SUM(C44:C45)</f>
        <v>803997203.25999904</v>
      </c>
      <c r="D46" s="533">
        <f t="shared" si="9"/>
        <v>1512993108</v>
      </c>
      <c r="E46" s="531">
        <f t="shared" si="9"/>
        <v>0</v>
      </c>
      <c r="F46" s="531">
        <f t="shared" si="9"/>
        <v>396534574.10849994</v>
      </c>
      <c r="G46" s="531">
        <f t="shared" si="9"/>
        <v>396534574.10849994</v>
      </c>
      <c r="H46" s="531">
        <f t="shared" si="9"/>
        <v>126082757</v>
      </c>
      <c r="I46" s="274"/>
      <c r="J46" s="274"/>
      <c r="K46" s="532">
        <f>SUM(K44:K45)</f>
        <v>1512993108</v>
      </c>
      <c r="L46" s="101"/>
    </row>
    <row r="47" spans="1:12" ht="12.75" customHeight="1" x14ac:dyDescent="0.2">
      <c r="A47" s="257" t="s">
        <v>491</v>
      </c>
      <c r="B47" s="523"/>
      <c r="C47" s="759">
        <v>0</v>
      </c>
      <c r="D47" s="760">
        <v>0</v>
      </c>
      <c r="E47" s="761">
        <v>0</v>
      </c>
      <c r="F47" s="761">
        <v>0</v>
      </c>
      <c r="G47" s="761">
        <v>0</v>
      </c>
      <c r="H47" s="761">
        <v>0</v>
      </c>
      <c r="I47" s="331"/>
      <c r="J47" s="331"/>
      <c r="K47" s="762">
        <v>0</v>
      </c>
    </row>
    <row r="48" spans="1:12" ht="12.75" customHeight="1" x14ac:dyDescent="0.2">
      <c r="A48" s="95" t="s">
        <v>922</v>
      </c>
      <c r="B48" s="421"/>
      <c r="C48" s="245">
        <f t="shared" ref="C48:H48" si="10">C46+C47</f>
        <v>803997203.25999904</v>
      </c>
      <c r="D48" s="78">
        <f t="shared" si="10"/>
        <v>1512993108</v>
      </c>
      <c r="E48" s="77">
        <f t="shared" si="10"/>
        <v>0</v>
      </c>
      <c r="F48" s="77">
        <f t="shared" si="10"/>
        <v>396534574.10849994</v>
      </c>
      <c r="G48" s="77">
        <f t="shared" si="10"/>
        <v>396534574.10849994</v>
      </c>
      <c r="H48" s="77">
        <f t="shared" si="10"/>
        <v>126082757</v>
      </c>
      <c r="I48" s="337"/>
      <c r="J48" s="337"/>
      <c r="K48" s="235">
        <f>K46+K47</f>
        <v>1512993108</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1">C22+SUM(C39:C41)</f>
        <v>3646742448.8299999</v>
      </c>
      <c r="D53" s="63">
        <f t="shared" si="11"/>
        <v>5062923624</v>
      </c>
      <c r="E53" s="63">
        <f t="shared" si="11"/>
        <v>0</v>
      </c>
      <c r="F53" s="63">
        <f t="shared" si="11"/>
        <v>653597252.29849994</v>
      </c>
      <c r="G53" s="63">
        <f t="shared" si="11"/>
        <v>653597252.29849994</v>
      </c>
      <c r="H53" s="63">
        <f t="shared" si="11"/>
        <v>421910302</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8"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 activePane="bottomRight" state="frozen"/>
      <selection pane="topRight"/>
      <selection pane="bottomLeft"/>
      <selection pane="bottomRight" activeCell="H16" sqref="H16"/>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22" t="str">
        <f>muni&amp; " - "&amp;S71D&amp; " - "&amp;date</f>
        <v>LIM354 Polokwane - Table C5 Monthly Budget Statement - Capital Expenditure (municipal vote, functional classification and funding) - M01 July</v>
      </c>
      <c r="B1" s="1022"/>
      <c r="C1" s="1022"/>
      <c r="D1" s="1022"/>
      <c r="E1" s="1022"/>
      <c r="F1" s="1022"/>
      <c r="G1" s="1022"/>
      <c r="H1" s="1022"/>
      <c r="I1" s="1022"/>
      <c r="J1" s="1022"/>
      <c r="K1" s="1022"/>
    </row>
    <row r="2" spans="1:12" x14ac:dyDescent="0.2">
      <c r="A2" s="1020" t="str">
        <f>Vdesc</f>
        <v>Vote Description</v>
      </c>
      <c r="B2" s="1029" t="str">
        <f>head27</f>
        <v>Ref</v>
      </c>
      <c r="C2" s="140" t="str">
        <f>Head1</f>
        <v>2018/19</v>
      </c>
      <c r="D2" s="246" t="str">
        <f>Head2</f>
        <v>Budget Year 2019/20</v>
      </c>
      <c r="E2" s="230"/>
      <c r="F2" s="230"/>
      <c r="G2" s="230"/>
      <c r="H2" s="230"/>
      <c r="I2" s="230"/>
      <c r="J2" s="230"/>
      <c r="K2" s="231"/>
    </row>
    <row r="3" spans="1:12" ht="20.399999999999999" x14ac:dyDescent="0.2">
      <c r="A3" s="1021"/>
      <c r="B3" s="103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5421889.067499876</v>
      </c>
      <c r="D24" s="259">
        <f>'C5C'!D176</f>
        <v>5010000</v>
      </c>
      <c r="E24" s="45">
        <f>'C5C'!E176</f>
        <v>0</v>
      </c>
      <c r="F24" s="45">
        <f>'C5C'!F176</f>
        <v>0</v>
      </c>
      <c r="G24" s="45">
        <f>'C5C'!G176</f>
        <v>0</v>
      </c>
      <c r="H24" s="45">
        <f>'C5C'!H176</f>
        <v>417500</v>
      </c>
      <c r="I24" s="45">
        <f>'C5C'!I176</f>
        <v>-417500</v>
      </c>
      <c r="J24" s="333">
        <f>IF(I24=0,"",I24/H24)</f>
        <v>-1</v>
      </c>
      <c r="K24" s="145">
        <f>'C5C'!K176</f>
        <v>5010000</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641395296.40749991</v>
      </c>
      <c r="D26" s="259">
        <f>'C5C'!D198</f>
        <v>924650640</v>
      </c>
      <c r="E26" s="45">
        <f>'C5C'!E198</f>
        <v>0</v>
      </c>
      <c r="F26" s="45">
        <f>'C5C'!F198</f>
        <v>85297669.118499994</v>
      </c>
      <c r="G26" s="45">
        <f>'C5C'!G198</f>
        <v>85297669.118499994</v>
      </c>
      <c r="H26" s="45">
        <f>'C5C'!H198</f>
        <v>77054220</v>
      </c>
      <c r="I26" s="45">
        <f>'C5C'!I198</f>
        <v>8243449.1184999943</v>
      </c>
      <c r="J26" s="333">
        <f t="shared" si="3"/>
        <v>0.10698244844344663</v>
      </c>
      <c r="K26" s="145">
        <f>'C5C'!K198</f>
        <v>924650640</v>
      </c>
      <c r="L26" s="706"/>
    </row>
    <row r="27" spans="1:12" ht="12.75" customHeight="1" x14ac:dyDescent="0.2">
      <c r="A27" s="410" t="str">
        <f>'Org structure'!A5</f>
        <v>Vote 4 - Energy Services</v>
      </c>
      <c r="B27" s="422"/>
      <c r="C27" s="135">
        <f>'C5C'!C209</f>
        <v>29987341.603</v>
      </c>
      <c r="D27" s="259">
        <f>'C5C'!D209</f>
        <v>62247496</v>
      </c>
      <c r="E27" s="45">
        <f>'C5C'!E209</f>
        <v>0</v>
      </c>
      <c r="F27" s="45">
        <f>'C5C'!F209</f>
        <v>0</v>
      </c>
      <c r="G27" s="45">
        <f>'C5C'!G209</f>
        <v>0</v>
      </c>
      <c r="H27" s="45">
        <f>'C5C'!H209</f>
        <v>5187291.333333333</v>
      </c>
      <c r="I27" s="45">
        <f>'C5C'!I209</f>
        <v>-5187291.333333333</v>
      </c>
      <c r="J27" s="333">
        <f t="shared" si="3"/>
        <v>-1</v>
      </c>
      <c r="K27" s="145">
        <f>'C5C'!K209</f>
        <v>62247496</v>
      </c>
      <c r="L27" s="706"/>
    </row>
    <row r="28" spans="1:12" ht="12.75" customHeight="1" x14ac:dyDescent="0.2">
      <c r="A28" s="410" t="str">
        <f>'Org structure'!A6</f>
        <v>Vote 5 - Community Services</v>
      </c>
      <c r="B28" s="422"/>
      <c r="C28" s="135">
        <f>'C5C'!C220</f>
        <v>25084111.629999999</v>
      </c>
      <c r="D28" s="259">
        <f>'C5C'!D220</f>
        <v>91500792</v>
      </c>
      <c r="E28" s="45">
        <f>'C5C'!E220</f>
        <v>0</v>
      </c>
      <c r="F28" s="45">
        <f>'C5C'!F220</f>
        <v>0</v>
      </c>
      <c r="G28" s="45">
        <f>'C5C'!G220</f>
        <v>0</v>
      </c>
      <c r="H28" s="45">
        <f>'C5C'!H220</f>
        <v>7625066</v>
      </c>
      <c r="I28" s="45">
        <f>'C5C'!I220</f>
        <v>-7625066</v>
      </c>
      <c r="J28" s="333">
        <f t="shared" si="3"/>
        <v>-1</v>
      </c>
      <c r="K28" s="145">
        <f>'C5C'!K220</f>
        <v>91500792</v>
      </c>
      <c r="L28" s="706"/>
    </row>
    <row r="29" spans="1:12" ht="12.75" customHeight="1" x14ac:dyDescent="0.2">
      <c r="A29" s="410" t="str">
        <f>'Org structure'!A7</f>
        <v>Vote 6 - Public Safety</v>
      </c>
      <c r="B29" s="422"/>
      <c r="C29" s="135">
        <f>'C5C'!C231</f>
        <v>5144793.5999999996</v>
      </c>
      <c r="D29" s="259">
        <f>'C5C'!D231</f>
        <v>8639076</v>
      </c>
      <c r="E29" s="45">
        <f>'C5C'!E231</f>
        <v>0</v>
      </c>
      <c r="F29" s="45">
        <f>'C5C'!F231</f>
        <v>0</v>
      </c>
      <c r="G29" s="45">
        <f>'C5C'!G231</f>
        <v>0</v>
      </c>
      <c r="H29" s="45">
        <f>'C5C'!H231</f>
        <v>719923</v>
      </c>
      <c r="I29" s="45">
        <f>'C5C'!I231</f>
        <v>-719923</v>
      </c>
      <c r="J29" s="333">
        <f t="shared" si="3"/>
        <v>-1</v>
      </c>
      <c r="K29" s="145">
        <f>'C5C'!K231</f>
        <v>8639076</v>
      </c>
      <c r="L29" s="706"/>
    </row>
    <row r="30" spans="1:12" ht="12.75" customHeight="1" x14ac:dyDescent="0.2">
      <c r="A30" s="410" t="str">
        <f>'Org structure'!A8</f>
        <v>Vote 7 - Corporate  and Shared Services</v>
      </c>
      <c r="B30" s="422"/>
      <c r="C30" s="135">
        <f>'C5C'!C242</f>
        <v>26628540.934499998</v>
      </c>
      <c r="D30" s="259">
        <f>'C5C'!D242</f>
        <v>64268004</v>
      </c>
      <c r="E30" s="45">
        <f>'C5C'!E242</f>
        <v>0</v>
      </c>
      <c r="F30" s="45">
        <f>'C5C'!F242</f>
        <v>0</v>
      </c>
      <c r="G30" s="45">
        <f>'C5C'!G242</f>
        <v>0</v>
      </c>
      <c r="H30" s="45">
        <f>'C5C'!H242</f>
        <v>5355667</v>
      </c>
      <c r="I30" s="45">
        <f>'C5C'!I242</f>
        <v>-5355667</v>
      </c>
      <c r="J30" s="333">
        <f t="shared" si="3"/>
        <v>-1</v>
      </c>
      <c r="K30" s="145">
        <f>'C5C'!K242</f>
        <v>64268004</v>
      </c>
      <c r="L30" s="706"/>
    </row>
    <row r="31" spans="1:12" ht="12.75" customHeight="1" x14ac:dyDescent="0.2">
      <c r="A31" s="410" t="str">
        <f>'Org structure'!A9</f>
        <v>Vote 8 - Planning and Economic Development</v>
      </c>
      <c r="B31" s="422"/>
      <c r="C31" s="135">
        <f>'C5C'!C253</f>
        <v>358595.85199999996</v>
      </c>
      <c r="D31" s="259">
        <f>'C5C'!D253</f>
        <v>44884020</v>
      </c>
      <c r="E31" s="45">
        <f>'C5C'!E253</f>
        <v>0</v>
      </c>
      <c r="F31" s="45">
        <f>'C5C'!F253</f>
        <v>0</v>
      </c>
      <c r="G31" s="45">
        <f>'C5C'!G253</f>
        <v>0</v>
      </c>
      <c r="H31" s="45">
        <f>'C5C'!H253</f>
        <v>3740335</v>
      </c>
      <c r="I31" s="45">
        <f>'C5C'!I253</f>
        <v>-3740335</v>
      </c>
      <c r="J31" s="333">
        <f t="shared" si="3"/>
        <v>-1</v>
      </c>
      <c r="K31" s="145">
        <f>'C5C'!K253</f>
        <v>44884020</v>
      </c>
      <c r="L31" s="706"/>
    </row>
    <row r="32" spans="1:12" ht="12.75" customHeight="1" x14ac:dyDescent="0.2">
      <c r="A32" s="410" t="str">
        <f>'Org structure'!A10</f>
        <v>Vote 9 - Budget and Treasury</v>
      </c>
      <c r="B32" s="422"/>
      <c r="C32" s="135">
        <f>'C5C'!C264</f>
        <v>9292831.7949999999</v>
      </c>
      <c r="D32" s="259">
        <f>'C5C'!D264</f>
        <v>6500004</v>
      </c>
      <c r="E32" s="45">
        <f>'C5C'!E264</f>
        <v>0</v>
      </c>
      <c r="F32" s="45">
        <f>'C5C'!F264</f>
        <v>0</v>
      </c>
      <c r="G32" s="45">
        <f>'C5C'!G264</f>
        <v>0</v>
      </c>
      <c r="H32" s="45">
        <f>'C5C'!H264</f>
        <v>541667</v>
      </c>
      <c r="I32" s="45">
        <f>'C5C'!I264</f>
        <v>-541667</v>
      </c>
      <c r="J32" s="333">
        <f t="shared" si="3"/>
        <v>-1</v>
      </c>
      <c r="K32" s="145">
        <f>'C5C'!K264</f>
        <v>6500004</v>
      </c>
      <c r="L32" s="706"/>
    </row>
    <row r="33" spans="1:12" ht="12.75" customHeight="1" x14ac:dyDescent="0.2">
      <c r="A33" s="410" t="str">
        <f>'Org structure'!A11</f>
        <v>Vote 10 - Transport Services</v>
      </c>
      <c r="B33" s="422"/>
      <c r="C33" s="135">
        <f>'C5C'!C275</f>
        <v>508367374.64364904</v>
      </c>
      <c r="D33" s="259">
        <f>'C5C'!D275</f>
        <v>681486072</v>
      </c>
      <c r="E33" s="45">
        <f>'C5C'!E275</f>
        <v>0</v>
      </c>
      <c r="F33" s="45">
        <f>'C5C'!F275</f>
        <v>0</v>
      </c>
      <c r="G33" s="45">
        <f>'C5C'!G275</f>
        <v>0</v>
      </c>
      <c r="H33" s="45">
        <f>'C5C'!H275</f>
        <v>56790506</v>
      </c>
      <c r="I33" s="45">
        <f>'C5C'!I275</f>
        <v>-56790506</v>
      </c>
      <c r="J33" s="333">
        <f t="shared" si="3"/>
        <v>-1</v>
      </c>
      <c r="K33" s="145">
        <f>'C5C'!K275</f>
        <v>681486072</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1251680775.5331488</v>
      </c>
      <c r="D39" s="263">
        <f t="shared" si="4"/>
        <v>1889186104</v>
      </c>
      <c r="E39" s="162">
        <f t="shared" si="4"/>
        <v>0</v>
      </c>
      <c r="F39" s="162">
        <f t="shared" si="4"/>
        <v>85297669.118499994</v>
      </c>
      <c r="G39" s="162">
        <f t="shared" si="4"/>
        <v>85297669.118499994</v>
      </c>
      <c r="H39" s="162">
        <f t="shared" si="4"/>
        <v>157432175.33333331</v>
      </c>
      <c r="I39" s="74">
        <f t="shared" si="4"/>
        <v>-72134506.214833334</v>
      </c>
      <c r="J39" s="334">
        <f t="shared" si="3"/>
        <v>-0.45819417829996917</v>
      </c>
      <c r="K39" s="264">
        <f>SUM(K24:K38)</f>
        <v>1889186104</v>
      </c>
      <c r="L39" s="101"/>
    </row>
    <row r="40" spans="1:12" ht="12.75" customHeight="1" x14ac:dyDescent="0.2">
      <c r="A40" s="93" t="s">
        <v>783</v>
      </c>
      <c r="B40" s="425"/>
      <c r="C40" s="244">
        <f t="shared" ref="C40:I40" si="5">C39+C21</f>
        <v>1251680775.5331488</v>
      </c>
      <c r="D40" s="261">
        <f t="shared" si="5"/>
        <v>1889186104</v>
      </c>
      <c r="E40" s="74">
        <f t="shared" si="5"/>
        <v>0</v>
      </c>
      <c r="F40" s="74">
        <f t="shared" si="5"/>
        <v>85297669.118499994</v>
      </c>
      <c r="G40" s="74">
        <f t="shared" si="5"/>
        <v>85297669.118499994</v>
      </c>
      <c r="H40" s="74">
        <f t="shared" si="5"/>
        <v>157432175.33333331</v>
      </c>
      <c r="I40" s="74">
        <f t="shared" si="5"/>
        <v>-72134506.214833334</v>
      </c>
      <c r="J40" s="334">
        <f>IF(I40=0,"",I40/H40)</f>
        <v>-0.45819417829996917</v>
      </c>
      <c r="K40" s="146">
        <f>K39+K21</f>
        <v>1889186104</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42348353.571999997</v>
      </c>
      <c r="D43" s="678">
        <f t="shared" si="6"/>
        <v>104275104</v>
      </c>
      <c r="E43" s="646">
        <f t="shared" si="6"/>
        <v>0</v>
      </c>
      <c r="F43" s="646">
        <f t="shared" si="6"/>
        <v>0</v>
      </c>
      <c r="G43" s="646">
        <f t="shared" si="6"/>
        <v>0</v>
      </c>
      <c r="H43" s="646">
        <f t="shared" si="6"/>
        <v>8689592</v>
      </c>
      <c r="I43" s="45">
        <f t="shared" ref="I43:I62" si="7">G43-H43</f>
        <v>-8689592</v>
      </c>
      <c r="J43" s="333">
        <f>IF(I43=0,"",I43/H43)</f>
        <v>-1</v>
      </c>
      <c r="K43" s="650">
        <f>SUM(K44:K46)</f>
        <v>104275104</v>
      </c>
      <c r="L43" s="101"/>
    </row>
    <row r="44" spans="1:12" ht="12.75" customHeight="1" x14ac:dyDescent="0.2">
      <c r="A44" s="419" t="s">
        <v>112</v>
      </c>
      <c r="B44" s="422"/>
      <c r="C44" s="745">
        <v>0</v>
      </c>
      <c r="D44" s="763">
        <v>0</v>
      </c>
      <c r="E44" s="743">
        <v>0</v>
      </c>
      <c r="F44" s="743">
        <v>0</v>
      </c>
      <c r="G44" s="743">
        <v>0</v>
      </c>
      <c r="H44" s="743">
        <v>0</v>
      </c>
      <c r="I44" s="45">
        <f t="shared" si="7"/>
        <v>0</v>
      </c>
      <c r="J44" s="333" t="str">
        <f t="shared" ref="J44:J63" si="8">IF(I44=0,"",I44/H44)</f>
        <v/>
      </c>
      <c r="K44" s="745">
        <f t="shared" ref="K44:K46" si="9">D44</f>
        <v>0</v>
      </c>
      <c r="L44" s="101"/>
    </row>
    <row r="45" spans="1:12" ht="12.75" customHeight="1" x14ac:dyDescent="0.2">
      <c r="A45" s="419" t="s">
        <v>1159</v>
      </c>
      <c r="B45" s="422"/>
      <c r="C45" s="764">
        <v>42348353.571999997</v>
      </c>
      <c r="D45" s="765">
        <v>104275104</v>
      </c>
      <c r="E45" s="766">
        <v>0</v>
      </c>
      <c r="F45" s="743">
        <v>0</v>
      </c>
      <c r="G45" s="743">
        <v>0</v>
      </c>
      <c r="H45" s="966">
        <v>8689592</v>
      </c>
      <c r="I45" s="45">
        <f t="shared" si="7"/>
        <v>-8689592</v>
      </c>
      <c r="J45" s="333">
        <f t="shared" si="8"/>
        <v>-1</v>
      </c>
      <c r="K45" s="745">
        <f t="shared" si="9"/>
        <v>104275104</v>
      </c>
      <c r="L45" s="101"/>
    </row>
    <row r="46" spans="1:12" ht="12.75" customHeight="1" x14ac:dyDescent="0.2">
      <c r="A46" s="419" t="s">
        <v>1171</v>
      </c>
      <c r="B46" s="422"/>
      <c r="C46" s="745">
        <v>0</v>
      </c>
      <c r="D46" s="763">
        <v>0</v>
      </c>
      <c r="E46" s="743">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0">SUM(C48:C52)</f>
        <v>20178161.3145</v>
      </c>
      <c r="D47" s="678">
        <f t="shared" si="10"/>
        <v>79859124</v>
      </c>
      <c r="E47" s="646">
        <f t="shared" si="10"/>
        <v>0</v>
      </c>
      <c r="F47" s="646">
        <f t="shared" si="10"/>
        <v>0</v>
      </c>
      <c r="G47" s="646">
        <f t="shared" si="10"/>
        <v>0</v>
      </c>
      <c r="H47" s="646">
        <f t="shared" si="10"/>
        <v>6654927</v>
      </c>
      <c r="I47" s="45">
        <f t="shared" si="7"/>
        <v>-6654927</v>
      </c>
      <c r="J47" s="333">
        <f t="shared" si="8"/>
        <v>-1</v>
      </c>
      <c r="K47" s="650">
        <f>SUM(K48:K52)</f>
        <v>79859124</v>
      </c>
      <c r="L47" s="101"/>
    </row>
    <row r="48" spans="1:12" ht="12.75" customHeight="1" x14ac:dyDescent="0.2">
      <c r="A48" s="419" t="s">
        <v>114</v>
      </c>
      <c r="B48" s="422"/>
      <c r="C48" s="745">
        <v>2493554.2919999999</v>
      </c>
      <c r="D48" s="763">
        <v>10379136</v>
      </c>
      <c r="E48" s="743">
        <v>0</v>
      </c>
      <c r="F48" s="967">
        <v>0</v>
      </c>
      <c r="G48" s="743">
        <v>0</v>
      </c>
      <c r="H48" s="743">
        <v>864928</v>
      </c>
      <c r="I48" s="45">
        <f t="shared" si="7"/>
        <v>-864928</v>
      </c>
      <c r="J48" s="333">
        <f t="shared" si="8"/>
        <v>-1</v>
      </c>
      <c r="K48" s="745">
        <f>D48</f>
        <v>10379136</v>
      </c>
      <c r="L48" s="101"/>
    </row>
    <row r="49" spans="1:12" ht="12.75" customHeight="1" x14ac:dyDescent="0.2">
      <c r="A49" s="419" t="s">
        <v>115</v>
      </c>
      <c r="B49" s="422"/>
      <c r="C49" s="745">
        <v>17684607.022500001</v>
      </c>
      <c r="D49" s="763">
        <v>69479988</v>
      </c>
      <c r="E49" s="743">
        <v>0</v>
      </c>
      <c r="F49" s="967">
        <v>0</v>
      </c>
      <c r="G49" s="743">
        <v>0</v>
      </c>
      <c r="H49" s="966">
        <v>5789999</v>
      </c>
      <c r="I49" s="45">
        <f t="shared" si="7"/>
        <v>-5789999</v>
      </c>
      <c r="J49" s="333">
        <f t="shared" si="8"/>
        <v>-1</v>
      </c>
      <c r="K49" s="745">
        <f t="shared" ref="K49:K52" si="11">D49</f>
        <v>69479988</v>
      </c>
      <c r="L49" s="101"/>
    </row>
    <row r="50" spans="1:12" ht="12.75" customHeight="1" x14ac:dyDescent="0.2">
      <c r="A50" s="419" t="s">
        <v>116</v>
      </c>
      <c r="B50" s="422"/>
      <c r="C50" s="745">
        <v>0</v>
      </c>
      <c r="D50" s="763">
        <v>0</v>
      </c>
      <c r="E50" s="743">
        <v>0</v>
      </c>
      <c r="F50" s="967">
        <v>0</v>
      </c>
      <c r="G50" s="743">
        <v>0</v>
      </c>
      <c r="H50" s="743">
        <v>0</v>
      </c>
      <c r="I50" s="45">
        <f t="shared" si="7"/>
        <v>0</v>
      </c>
      <c r="J50" s="333" t="str">
        <f t="shared" si="8"/>
        <v/>
      </c>
      <c r="K50" s="745">
        <f t="shared" si="11"/>
        <v>0</v>
      </c>
      <c r="L50" s="101"/>
    </row>
    <row r="51" spans="1:12" ht="12.75" customHeight="1" x14ac:dyDescent="0.2">
      <c r="A51" s="419" t="s">
        <v>733</v>
      </c>
      <c r="B51" s="422"/>
      <c r="C51" s="745">
        <v>0</v>
      </c>
      <c r="D51" s="763">
        <v>0</v>
      </c>
      <c r="E51" s="743">
        <v>0</v>
      </c>
      <c r="F51" s="967">
        <v>0</v>
      </c>
      <c r="G51" s="743">
        <v>0</v>
      </c>
      <c r="H51" s="743">
        <v>0</v>
      </c>
      <c r="I51" s="45">
        <f t="shared" si="7"/>
        <v>0</v>
      </c>
      <c r="J51" s="333" t="str">
        <f t="shared" si="8"/>
        <v/>
      </c>
      <c r="K51" s="745">
        <f t="shared" si="11"/>
        <v>0</v>
      </c>
      <c r="L51" s="101"/>
    </row>
    <row r="52" spans="1:12" ht="12.75" customHeight="1" x14ac:dyDescent="0.2">
      <c r="A52" s="419" t="s">
        <v>630</v>
      </c>
      <c r="B52" s="422"/>
      <c r="C52" s="764">
        <v>0</v>
      </c>
      <c r="D52" s="765">
        <v>0</v>
      </c>
      <c r="E52" s="766">
        <v>0</v>
      </c>
      <c r="F52" s="967">
        <v>0</v>
      </c>
      <c r="G52" s="966">
        <v>0</v>
      </c>
      <c r="H52" s="743">
        <f t="shared" ref="H52" si="12">E52/12*10</f>
        <v>0</v>
      </c>
      <c r="I52" s="45">
        <f t="shared" si="7"/>
        <v>0</v>
      </c>
      <c r="J52" s="333" t="str">
        <f t="shared" si="8"/>
        <v/>
      </c>
      <c r="K52" s="745">
        <f t="shared" si="11"/>
        <v>0</v>
      </c>
      <c r="L52" s="101"/>
    </row>
    <row r="53" spans="1:12" ht="12.75" customHeight="1" x14ac:dyDescent="0.2">
      <c r="A53" s="417" t="s">
        <v>117</v>
      </c>
      <c r="B53" s="422"/>
      <c r="C53" s="650">
        <f t="shared" ref="C53:H53" si="13">SUM(C54:C56)</f>
        <v>526729793.06914914</v>
      </c>
      <c r="D53" s="678">
        <f t="shared" si="13"/>
        <v>698775336</v>
      </c>
      <c r="E53" s="646">
        <f t="shared" si="13"/>
        <v>0</v>
      </c>
      <c r="F53" s="646">
        <f t="shared" si="13"/>
        <v>0</v>
      </c>
      <c r="G53" s="646">
        <f t="shared" si="13"/>
        <v>0</v>
      </c>
      <c r="H53" s="646">
        <f t="shared" si="13"/>
        <v>58231278</v>
      </c>
      <c r="I53" s="45">
        <f t="shared" si="7"/>
        <v>-58231278</v>
      </c>
      <c r="J53" s="333">
        <f t="shared" si="8"/>
        <v>-1</v>
      </c>
      <c r="K53" s="650">
        <f>SUM(K54:K56)</f>
        <v>698775336</v>
      </c>
      <c r="L53" s="101"/>
    </row>
    <row r="54" spans="1:12" ht="12.75" customHeight="1" x14ac:dyDescent="0.2">
      <c r="A54" s="419" t="s">
        <v>118</v>
      </c>
      <c r="B54" s="422"/>
      <c r="C54" s="745">
        <v>358595.85199999996</v>
      </c>
      <c r="D54" s="763">
        <v>14838516</v>
      </c>
      <c r="E54" s="743">
        <v>0</v>
      </c>
      <c r="F54" s="743">
        <v>0</v>
      </c>
      <c r="G54" s="743">
        <v>0</v>
      </c>
      <c r="H54" s="743">
        <v>1236543</v>
      </c>
      <c r="I54" s="45">
        <f t="shared" si="7"/>
        <v>-1236543</v>
      </c>
      <c r="J54" s="333">
        <f t="shared" si="8"/>
        <v>-1</v>
      </c>
      <c r="K54" s="745">
        <f t="shared" ref="K54:K56" si="14">D54</f>
        <v>14838516</v>
      </c>
      <c r="L54" s="101"/>
    </row>
    <row r="55" spans="1:12" ht="12.75" customHeight="1" x14ac:dyDescent="0.2">
      <c r="A55" s="419" t="s">
        <v>119</v>
      </c>
      <c r="B55" s="422"/>
      <c r="C55" s="745">
        <v>526371197.21714914</v>
      </c>
      <c r="D55" s="763">
        <v>683936820</v>
      </c>
      <c r="E55" s="743">
        <v>0</v>
      </c>
      <c r="F55" s="743">
        <v>0</v>
      </c>
      <c r="G55" s="743">
        <v>0</v>
      </c>
      <c r="H55" s="966">
        <v>56994735</v>
      </c>
      <c r="I55" s="45">
        <f t="shared" si="7"/>
        <v>-56994735</v>
      </c>
      <c r="J55" s="333">
        <f t="shared" si="8"/>
        <v>-1</v>
      </c>
      <c r="K55" s="745">
        <f t="shared" si="14"/>
        <v>683936820</v>
      </c>
      <c r="L55" s="101"/>
    </row>
    <row r="56" spans="1:12" ht="12.75" customHeight="1" x14ac:dyDescent="0.2">
      <c r="A56" s="419" t="s">
        <v>120</v>
      </c>
      <c r="B56" s="422"/>
      <c r="C56" s="745"/>
      <c r="D56" s="763">
        <v>0</v>
      </c>
      <c r="E56" s="743">
        <v>0</v>
      </c>
      <c r="F56" s="743">
        <v>0</v>
      </c>
      <c r="G56" s="743">
        <v>0</v>
      </c>
      <c r="H56" s="743">
        <v>0</v>
      </c>
      <c r="I56" s="45">
        <f t="shared" si="7"/>
        <v>0</v>
      </c>
      <c r="J56" s="333" t="str">
        <f t="shared" si="8"/>
        <v/>
      </c>
      <c r="K56" s="745">
        <f t="shared" si="14"/>
        <v>0</v>
      </c>
      <c r="L56" s="101"/>
    </row>
    <row r="57" spans="1:12" ht="12.75" customHeight="1" x14ac:dyDescent="0.2">
      <c r="A57" s="417" t="s">
        <v>121</v>
      </c>
      <c r="B57" s="422"/>
      <c r="C57" s="650">
        <f t="shared" ref="C57:H57" si="15">SUM(C58:C61)</f>
        <v>662424467.57749987</v>
      </c>
      <c r="D57" s="678">
        <f t="shared" si="15"/>
        <v>1006276500</v>
      </c>
      <c r="E57" s="646">
        <f t="shared" si="15"/>
        <v>0</v>
      </c>
      <c r="F57" s="646">
        <f t="shared" si="15"/>
        <v>85297669.118499994</v>
      </c>
      <c r="G57" s="646">
        <f t="shared" si="15"/>
        <v>85297669.118499994</v>
      </c>
      <c r="H57" s="646">
        <f t="shared" si="15"/>
        <v>83856375</v>
      </c>
      <c r="I57" s="45">
        <f t="shared" si="7"/>
        <v>1441294.1184999943</v>
      </c>
      <c r="J57" s="333">
        <f t="shared" si="8"/>
        <v>1.7187651129684466E-2</v>
      </c>
      <c r="K57" s="650">
        <f>SUM(K58:K61)</f>
        <v>1006276500</v>
      </c>
      <c r="L57" s="101"/>
    </row>
    <row r="58" spans="1:12" ht="12.75" customHeight="1" x14ac:dyDescent="0.2">
      <c r="A58" s="419" t="s">
        <v>1228</v>
      </c>
      <c r="B58" s="422"/>
      <c r="C58" s="745">
        <v>29987341.602999996</v>
      </c>
      <c r="D58" s="763">
        <v>62247500</v>
      </c>
      <c r="E58" s="743">
        <v>0</v>
      </c>
      <c r="F58" s="743">
        <v>0</v>
      </c>
      <c r="G58" s="743">
        <v>0</v>
      </c>
      <c r="H58" s="966">
        <v>5187291.666666667</v>
      </c>
      <c r="I58" s="45">
        <f t="shared" si="7"/>
        <v>-5187291.666666667</v>
      </c>
      <c r="J58" s="333">
        <f t="shared" si="8"/>
        <v>-1</v>
      </c>
      <c r="K58" s="745">
        <f t="shared" ref="K58:K62" si="16">D58</f>
        <v>62247500</v>
      </c>
      <c r="L58" s="101"/>
    </row>
    <row r="59" spans="1:12" ht="12.75" customHeight="1" x14ac:dyDescent="0.2">
      <c r="A59" s="419" t="s">
        <v>1232</v>
      </c>
      <c r="B59" s="422"/>
      <c r="C59" s="745">
        <v>405673117.65899992</v>
      </c>
      <c r="D59" s="763">
        <v>416702973</v>
      </c>
      <c r="E59" s="743">
        <v>0</v>
      </c>
      <c r="F59" s="743">
        <v>13776519.553000001</v>
      </c>
      <c r="G59" s="743">
        <v>13776519.553000001</v>
      </c>
      <c r="H59" s="966">
        <v>34725247.75</v>
      </c>
      <c r="I59" s="45">
        <f t="shared" si="7"/>
        <v>-20948728.196999997</v>
      </c>
      <c r="J59" s="333">
        <f t="shared" si="8"/>
        <v>-0.60327080595126914</v>
      </c>
      <c r="K59" s="745">
        <f t="shared" si="16"/>
        <v>416702973</v>
      </c>
      <c r="L59" s="101"/>
    </row>
    <row r="60" spans="1:12" ht="12.75" customHeight="1" x14ac:dyDescent="0.2">
      <c r="A60" s="419" t="s">
        <v>122</v>
      </c>
      <c r="B60" s="422"/>
      <c r="C60" s="764">
        <v>217757024.33850002</v>
      </c>
      <c r="D60" s="765">
        <v>507947627</v>
      </c>
      <c r="E60" s="766">
        <v>0</v>
      </c>
      <c r="F60" s="743">
        <v>71521149.565499991</v>
      </c>
      <c r="G60" s="766">
        <v>71521149.565499991</v>
      </c>
      <c r="H60" s="966">
        <v>42328968.916666664</v>
      </c>
      <c r="I60" s="45">
        <f t="shared" si="7"/>
        <v>29192180.648833327</v>
      </c>
      <c r="J60" s="333">
        <f t="shared" si="8"/>
        <v>0.68965017093386272</v>
      </c>
      <c r="K60" s="745">
        <f t="shared" si="16"/>
        <v>507947627</v>
      </c>
      <c r="L60" s="101"/>
    </row>
    <row r="61" spans="1:12" ht="12.75" customHeight="1" x14ac:dyDescent="0.2">
      <c r="A61" s="419" t="s">
        <v>123</v>
      </c>
      <c r="B61" s="422"/>
      <c r="C61" s="745">
        <v>9006983.977</v>
      </c>
      <c r="D61" s="763">
        <v>19378400</v>
      </c>
      <c r="E61" s="743">
        <v>0</v>
      </c>
      <c r="F61" s="743">
        <v>0</v>
      </c>
      <c r="G61" s="743">
        <v>0</v>
      </c>
      <c r="H61" s="966">
        <v>1614866.6666666667</v>
      </c>
      <c r="I61" s="45">
        <f t="shared" si="7"/>
        <v>-1614866.6666666667</v>
      </c>
      <c r="J61" s="333">
        <f t="shared" si="8"/>
        <v>-1</v>
      </c>
      <c r="K61" s="745">
        <f t="shared" si="16"/>
        <v>19378400</v>
      </c>
      <c r="L61" s="101"/>
    </row>
    <row r="62" spans="1:12" ht="12.75" customHeight="1" x14ac:dyDescent="0.2">
      <c r="A62" s="417" t="s">
        <v>740</v>
      </c>
      <c r="B62" s="422"/>
      <c r="C62" s="745">
        <v>0</v>
      </c>
      <c r="D62" s="763">
        <v>0</v>
      </c>
      <c r="E62" s="743">
        <v>0</v>
      </c>
      <c r="F62" s="743">
        <v>0</v>
      </c>
      <c r="G62" s="743">
        <v>0</v>
      </c>
      <c r="H62" s="743">
        <v>0</v>
      </c>
      <c r="I62" s="45">
        <f t="shared" si="7"/>
        <v>0</v>
      </c>
      <c r="J62" s="333" t="str">
        <f t="shared" si="8"/>
        <v/>
      </c>
      <c r="K62" s="745">
        <f t="shared" si="16"/>
        <v>0</v>
      </c>
      <c r="L62" s="101"/>
    </row>
    <row r="63" spans="1:12" ht="12.75" customHeight="1" x14ac:dyDescent="0.2">
      <c r="A63" s="540" t="s">
        <v>1250</v>
      </c>
      <c r="B63" s="543">
        <v>3</v>
      </c>
      <c r="C63" s="544">
        <f>C43+C47+C53+C57+C62</f>
        <v>1251680775.533149</v>
      </c>
      <c r="D63" s="545">
        <f t="shared" ref="D63:I63" si="17">D43+D47+D53+D57+D62</f>
        <v>1889186064</v>
      </c>
      <c r="E63" s="481">
        <f t="shared" si="17"/>
        <v>0</v>
      </c>
      <c r="F63" s="481">
        <f t="shared" si="17"/>
        <v>85297669.118499994</v>
      </c>
      <c r="G63" s="481">
        <f t="shared" si="17"/>
        <v>85297669.118499994</v>
      </c>
      <c r="H63" s="481">
        <f t="shared" si="17"/>
        <v>157432172</v>
      </c>
      <c r="I63" s="481">
        <f t="shared" si="17"/>
        <v>-72134502.881500006</v>
      </c>
      <c r="J63" s="546">
        <f t="shared" si="8"/>
        <v>-0.45819416682823894</v>
      </c>
      <c r="K63" s="547">
        <f>K43+K47+K53+K57+K62</f>
        <v>1889186064</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1074026260.6501489</v>
      </c>
      <c r="D66" s="763">
        <v>1267136000</v>
      </c>
      <c r="E66" s="743">
        <v>0</v>
      </c>
      <c r="F66" s="743">
        <v>85297669.118499994</v>
      </c>
      <c r="G66" s="743">
        <v>85297669.118499994</v>
      </c>
      <c r="H66" s="743">
        <v>105594666.66666667</v>
      </c>
      <c r="I66" s="45">
        <f t="shared" ref="I66:I74" si="18">G66-H66</f>
        <v>-20296997.548166677</v>
      </c>
      <c r="J66" s="333">
        <f t="shared" ref="J66:J74" si="19">IF(I66=0,"",I66/H66)</f>
        <v>-0.19221612406087438</v>
      </c>
      <c r="K66" s="745">
        <f t="shared" ref="K66:K69" si="20">D66</f>
        <v>1267136000</v>
      </c>
      <c r="L66" s="101"/>
    </row>
    <row r="67" spans="1:12" ht="12.75" customHeight="1" x14ac:dyDescent="0.2">
      <c r="A67" s="108" t="s">
        <v>623</v>
      </c>
      <c r="B67" s="170"/>
      <c r="C67" s="758">
        <v>0</v>
      </c>
      <c r="D67" s="763">
        <v>0</v>
      </c>
      <c r="E67" s="743">
        <v>0</v>
      </c>
      <c r="F67" s="743">
        <v>0</v>
      </c>
      <c r="G67" s="743">
        <v>0</v>
      </c>
      <c r="H67" s="743">
        <v>0</v>
      </c>
      <c r="I67" s="45">
        <f t="shared" si="18"/>
        <v>0</v>
      </c>
      <c r="J67" s="333" t="str">
        <f t="shared" si="19"/>
        <v/>
      </c>
      <c r="K67" s="745">
        <f t="shared" si="20"/>
        <v>0</v>
      </c>
      <c r="L67" s="101"/>
    </row>
    <row r="68" spans="1:12" ht="12.75" customHeight="1" x14ac:dyDescent="0.2">
      <c r="A68" s="108" t="s">
        <v>624</v>
      </c>
      <c r="B68" s="170"/>
      <c r="C68" s="758">
        <v>0</v>
      </c>
      <c r="D68" s="763">
        <v>0</v>
      </c>
      <c r="E68" s="743">
        <v>0</v>
      </c>
      <c r="F68" s="743">
        <v>0</v>
      </c>
      <c r="G68" s="743">
        <v>0</v>
      </c>
      <c r="H68" s="743">
        <v>0</v>
      </c>
      <c r="I68" s="45">
        <f t="shared" si="18"/>
        <v>0</v>
      </c>
      <c r="J68" s="333" t="str">
        <f t="shared" si="19"/>
        <v/>
      </c>
      <c r="K68" s="745">
        <f t="shared" si="20"/>
        <v>0</v>
      </c>
      <c r="L68" s="101"/>
    </row>
    <row r="69" spans="1:12" ht="12.75" customHeight="1" x14ac:dyDescent="0.2">
      <c r="A69" s="541" t="s">
        <v>72</v>
      </c>
      <c r="B69" s="249"/>
      <c r="C69" s="759">
        <v>0</v>
      </c>
      <c r="D69" s="763">
        <v>14000000</v>
      </c>
      <c r="E69" s="761">
        <v>0</v>
      </c>
      <c r="F69" s="761">
        <v>0</v>
      </c>
      <c r="G69" s="761">
        <v>0</v>
      </c>
      <c r="H69" s="761">
        <v>1166666.6666666667</v>
      </c>
      <c r="I69" s="100">
        <f t="shared" si="18"/>
        <v>-1166666.6666666667</v>
      </c>
      <c r="J69" s="338">
        <f t="shared" si="19"/>
        <v>-1</v>
      </c>
      <c r="K69" s="745">
        <f t="shared" si="20"/>
        <v>14000000</v>
      </c>
      <c r="L69" s="101"/>
    </row>
    <row r="70" spans="1:12" ht="12.75" customHeight="1" x14ac:dyDescent="0.2">
      <c r="A70" s="701" t="s">
        <v>989</v>
      </c>
      <c r="B70" s="170"/>
      <c r="C70" s="110">
        <f t="shared" ref="C70:H70" si="21">SUM(C66:C69)</f>
        <v>1074026260.6501489</v>
      </c>
      <c r="D70" s="260">
        <f t="shared" si="21"/>
        <v>1281136000</v>
      </c>
      <c r="E70" s="51">
        <f t="shared" si="21"/>
        <v>0</v>
      </c>
      <c r="F70" s="51">
        <f t="shared" si="21"/>
        <v>85297669.118499994</v>
      </c>
      <c r="G70" s="51">
        <f t="shared" si="21"/>
        <v>85297669.118499994</v>
      </c>
      <c r="H70" s="51">
        <f t="shared" si="21"/>
        <v>106761333.33333334</v>
      </c>
      <c r="I70" s="51">
        <f t="shared" si="18"/>
        <v>-21463664.214833349</v>
      </c>
      <c r="J70" s="147">
        <f t="shared" si="19"/>
        <v>-0.20104342597351113</v>
      </c>
      <c r="K70" s="51">
        <f>SUM(K66:K69)</f>
        <v>1281136000</v>
      </c>
      <c r="L70" s="707"/>
    </row>
    <row r="71" spans="1:12" ht="12.75" customHeight="1" x14ac:dyDescent="0.2">
      <c r="A71" s="107" t="s">
        <v>490</v>
      </c>
      <c r="B71" s="170">
        <v>5</v>
      </c>
      <c r="C71" s="758">
        <v>0</v>
      </c>
      <c r="D71" s="763">
        <v>0</v>
      </c>
      <c r="E71" s="743">
        <v>0</v>
      </c>
      <c r="F71" s="743">
        <v>0</v>
      </c>
      <c r="G71" s="743">
        <v>0</v>
      </c>
      <c r="H71" s="743">
        <f>E71</f>
        <v>0</v>
      </c>
      <c r="I71" s="45">
        <f t="shared" si="18"/>
        <v>0</v>
      </c>
      <c r="J71" s="333" t="str">
        <f t="shared" si="19"/>
        <v/>
      </c>
      <c r="K71" s="745">
        <f t="shared" ref="K71:K72" si="22">D71</f>
        <v>0</v>
      </c>
      <c r="L71" s="101"/>
    </row>
    <row r="72" spans="1:12" ht="12.75" customHeight="1" x14ac:dyDescent="0.2">
      <c r="A72" s="107" t="s">
        <v>801</v>
      </c>
      <c r="B72" s="170">
        <v>6</v>
      </c>
      <c r="C72" s="758">
        <v>4333108.0460000001</v>
      </c>
      <c r="D72" s="763">
        <v>380000000</v>
      </c>
      <c r="E72" s="743">
        <v>0</v>
      </c>
      <c r="F72" s="743">
        <v>0</v>
      </c>
      <c r="G72" s="743">
        <v>0</v>
      </c>
      <c r="H72" s="743">
        <v>31666666.666666668</v>
      </c>
      <c r="I72" s="45">
        <f t="shared" si="18"/>
        <v>-31666666.666666668</v>
      </c>
      <c r="J72" s="333">
        <f t="shared" si="19"/>
        <v>-1</v>
      </c>
      <c r="K72" s="745">
        <f t="shared" si="22"/>
        <v>380000000</v>
      </c>
      <c r="L72" s="101"/>
    </row>
    <row r="73" spans="1:12" ht="12.75" customHeight="1" x14ac:dyDescent="0.2">
      <c r="A73" s="107" t="s">
        <v>484</v>
      </c>
      <c r="B73" s="249"/>
      <c r="C73" s="759">
        <v>173321406.83700004</v>
      </c>
      <c r="D73" s="767">
        <v>228050104</v>
      </c>
      <c r="E73" s="761">
        <v>0</v>
      </c>
      <c r="F73" s="761">
        <v>0</v>
      </c>
      <c r="G73" s="761">
        <v>0</v>
      </c>
      <c r="H73" s="743">
        <v>19004175.333333332</v>
      </c>
      <c r="I73" s="100">
        <f t="shared" si="18"/>
        <v>-19004175.333333332</v>
      </c>
      <c r="J73" s="338">
        <f t="shared" si="19"/>
        <v>-1</v>
      </c>
      <c r="K73" s="745">
        <f>D73</f>
        <v>228050104</v>
      </c>
      <c r="L73" s="101"/>
    </row>
    <row r="74" spans="1:12" ht="12.75" customHeight="1" x14ac:dyDescent="0.2">
      <c r="A74" s="542" t="s">
        <v>921</v>
      </c>
      <c r="B74" s="120"/>
      <c r="C74" s="245">
        <f t="shared" ref="C74:K74" si="23">SUM(C70:C73)</f>
        <v>1251680775.533149</v>
      </c>
      <c r="D74" s="266">
        <f t="shared" si="23"/>
        <v>1889186104</v>
      </c>
      <c r="E74" s="77">
        <f t="shared" si="23"/>
        <v>0</v>
      </c>
      <c r="F74" s="77">
        <f>SUM(F70:F73)</f>
        <v>85297669.118499994</v>
      </c>
      <c r="G74" s="77">
        <f>SUM(G70:G73)</f>
        <v>85297669.118499994</v>
      </c>
      <c r="H74" s="77">
        <f>SUM(H70:H73)</f>
        <v>157432175.33333334</v>
      </c>
      <c r="I74" s="77">
        <f t="shared" si="18"/>
        <v>-72134506.214833349</v>
      </c>
      <c r="J74" s="336">
        <f t="shared" si="19"/>
        <v>-0.45819417829996917</v>
      </c>
      <c r="K74" s="235">
        <f t="shared" si="23"/>
        <v>1889186104</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32" t="s">
        <v>149</v>
      </c>
      <c r="B77" s="1032"/>
      <c r="C77" s="1032"/>
      <c r="D77" s="1032"/>
      <c r="E77" s="1032"/>
      <c r="F77" s="1032"/>
      <c r="G77" s="1032"/>
      <c r="H77" s="1032"/>
      <c r="I77" s="1032"/>
      <c r="J77" s="1032"/>
      <c r="K77" s="1032"/>
    </row>
    <row r="78" spans="1:12" ht="12" customHeight="1" x14ac:dyDescent="0.2">
      <c r="A78" s="1032" t="s">
        <v>1252</v>
      </c>
      <c r="B78" s="1032"/>
      <c r="C78" s="1032"/>
      <c r="D78" s="1032"/>
      <c r="E78" s="1032"/>
      <c r="F78" s="1032"/>
      <c r="G78" s="1032"/>
      <c r="H78" s="1032"/>
      <c r="I78" s="1032"/>
      <c r="J78" s="1032"/>
      <c r="K78" s="1032"/>
    </row>
    <row r="79" spans="1:12" ht="12" customHeight="1" x14ac:dyDescent="0.2">
      <c r="A79" s="1033" t="s">
        <v>538</v>
      </c>
      <c r="B79" s="1032"/>
      <c r="C79" s="1032"/>
      <c r="D79" s="1032"/>
      <c r="E79" s="1032"/>
      <c r="F79" s="1032"/>
      <c r="G79" s="1032"/>
      <c r="H79" s="1032"/>
      <c r="I79" s="1032"/>
      <c r="J79" s="1032"/>
      <c r="K79" s="1032"/>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4">D40-D74</f>
        <v>0</v>
      </c>
      <c r="E86" s="702">
        <f t="shared" si="24"/>
        <v>0</v>
      </c>
      <c r="F86" s="702">
        <f t="shared" si="24"/>
        <v>0</v>
      </c>
      <c r="G86" s="702">
        <f t="shared" si="24"/>
        <v>0</v>
      </c>
      <c r="H86" s="702">
        <f t="shared" si="24"/>
        <v>0</v>
      </c>
      <c r="I86" s="702"/>
      <c r="J86" s="702"/>
      <c r="K86" s="702">
        <f t="shared" si="24"/>
        <v>0</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8"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260" activePane="bottomRight" state="frozen"/>
      <selection pane="topRight"/>
      <selection pane="bottomLeft"/>
      <selection pane="bottomRight" activeCell="Y350" sqref="Y350"/>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22" t="str">
        <f>muni&amp; " - "&amp;S71D&amp; " - "&amp;"A"&amp; " - "&amp;date</f>
        <v>LIM354 Polokwane - Table C5 Monthly Budget Statement - Capital Expenditure (municipal vote, functional classification and funding) - A - M01 July</v>
      </c>
      <c r="B1" s="1022"/>
      <c r="C1" s="1022"/>
      <c r="D1" s="1022"/>
      <c r="E1" s="1022"/>
      <c r="F1" s="1022"/>
      <c r="G1" s="1022"/>
      <c r="H1" s="1022"/>
      <c r="I1" s="1022"/>
      <c r="J1" s="1022"/>
      <c r="K1" s="1022"/>
    </row>
    <row r="2" spans="1:23" ht="28.5" customHeight="1" x14ac:dyDescent="0.25">
      <c r="A2" s="438" t="str">
        <f>Vdesc</f>
        <v>Vote Description</v>
      </c>
      <c r="B2" s="439" t="str">
        <f>head27</f>
        <v>Ref</v>
      </c>
      <c r="C2" s="143" t="str">
        <f>Head1</f>
        <v>2018/19</v>
      </c>
      <c r="D2" s="1015" t="str">
        <f>Head2</f>
        <v>Budget Year 2019/20</v>
      </c>
      <c r="E2" s="1016"/>
      <c r="F2" s="1016"/>
      <c r="G2" s="1016"/>
      <c r="H2" s="1016"/>
      <c r="I2" s="1016"/>
      <c r="J2" s="1016"/>
      <c r="K2" s="1017"/>
      <c r="L2" s="1026" t="e">
        <f>Head4</f>
        <v>#REF!</v>
      </c>
      <c r="M2" s="1027"/>
      <c r="N2" s="1027"/>
      <c r="O2" s="1027"/>
      <c r="P2" s="1027"/>
      <c r="Q2" s="1027"/>
      <c r="R2" s="1027"/>
      <c r="S2" s="1027"/>
      <c r="T2" s="1027"/>
      <c r="U2" s="1027"/>
      <c r="V2" s="1027"/>
      <c r="W2" s="1028"/>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2">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2">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2">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2">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2">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2">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2">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2">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2">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v>0</v>
      </c>
      <c r="I41" s="45">
        <f t="shared" si="1"/>
        <v>0</v>
      </c>
      <c r="J41" s="333" t="str">
        <f t="shared" si="2"/>
        <v/>
      </c>
      <c r="K41" s="753">
        <f t="shared" ref="K41:K50" si="6">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v>0</v>
      </c>
      <c r="I42" s="45">
        <f t="shared" si="1"/>
        <v>0</v>
      </c>
      <c r="J42" s="333" t="str">
        <f t="shared" si="2"/>
        <v/>
      </c>
      <c r="K42" s="753">
        <f t="shared" si="6"/>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v>0</v>
      </c>
      <c r="I43" s="45">
        <f t="shared" si="1"/>
        <v>0</v>
      </c>
      <c r="J43" s="333" t="str">
        <f t="shared" si="2"/>
        <v/>
      </c>
      <c r="K43" s="753">
        <f t="shared" si="6"/>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v>0</v>
      </c>
      <c r="I44" s="45">
        <f t="shared" si="1"/>
        <v>0</v>
      </c>
      <c r="J44" s="333" t="str">
        <f t="shared" si="2"/>
        <v/>
      </c>
      <c r="K44" s="753">
        <f t="shared" si="6"/>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v>0</v>
      </c>
      <c r="I45" s="45">
        <f t="shared" si="1"/>
        <v>0</v>
      </c>
      <c r="J45" s="333" t="str">
        <f t="shared" si="2"/>
        <v/>
      </c>
      <c r="K45" s="753">
        <f t="shared" si="6"/>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v>0</v>
      </c>
      <c r="I46" s="45">
        <f t="shared" si="1"/>
        <v>0</v>
      </c>
      <c r="J46" s="333" t="str">
        <f t="shared" si="2"/>
        <v/>
      </c>
      <c r="K46" s="753">
        <f t="shared" si="6"/>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v>0</v>
      </c>
      <c r="I47" s="45">
        <f t="shared" si="1"/>
        <v>0</v>
      </c>
      <c r="J47" s="333" t="str">
        <f t="shared" si="2"/>
        <v/>
      </c>
      <c r="K47" s="753">
        <f t="shared" si="6"/>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v>0</v>
      </c>
      <c r="I48" s="45">
        <f t="shared" si="1"/>
        <v>0</v>
      </c>
      <c r="J48" s="333" t="str">
        <f t="shared" si="2"/>
        <v/>
      </c>
      <c r="K48" s="753">
        <f t="shared" si="6"/>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v>0</v>
      </c>
      <c r="I49" s="45">
        <f t="shared" si="1"/>
        <v>0</v>
      </c>
      <c r="J49" s="333" t="str">
        <f t="shared" si="2"/>
        <v/>
      </c>
      <c r="K49" s="753">
        <f t="shared" si="6"/>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v>0</v>
      </c>
      <c r="I50" s="45">
        <f t="shared" si="1"/>
        <v>0</v>
      </c>
      <c r="J50" s="333" t="str">
        <f t="shared" si="2"/>
        <v/>
      </c>
      <c r="K50" s="753">
        <f t="shared" si="6"/>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7">SUM(D52:D61)</f>
        <v>0</v>
      </c>
      <c r="E51" s="444">
        <f t="shared" si="7"/>
        <v>0</v>
      </c>
      <c r="F51" s="446">
        <f t="shared" si="7"/>
        <v>0</v>
      </c>
      <c r="G51" s="444">
        <f t="shared" si="7"/>
        <v>0</v>
      </c>
      <c r="H51" s="446">
        <f t="shared" si="7"/>
        <v>0</v>
      </c>
      <c r="I51" s="45">
        <f t="shared" si="1"/>
        <v>0</v>
      </c>
      <c r="J51" s="333" t="str">
        <f t="shared" si="2"/>
        <v/>
      </c>
      <c r="K51" s="445">
        <f t="shared" si="7"/>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v>0</v>
      </c>
      <c r="I52" s="45">
        <f t="shared" si="1"/>
        <v>0</v>
      </c>
      <c r="J52" s="333" t="str">
        <f t="shared" si="2"/>
        <v/>
      </c>
      <c r="K52" s="753">
        <f t="shared" ref="K52:K61" si="8">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v>0</v>
      </c>
      <c r="I53" s="45">
        <f t="shared" si="1"/>
        <v>0</v>
      </c>
      <c r="J53" s="333" t="str">
        <f t="shared" si="2"/>
        <v/>
      </c>
      <c r="K53" s="753">
        <f t="shared" si="8"/>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v>0</v>
      </c>
      <c r="I54" s="45">
        <f t="shared" si="1"/>
        <v>0</v>
      </c>
      <c r="J54" s="333" t="str">
        <f t="shared" si="2"/>
        <v/>
      </c>
      <c r="K54" s="753">
        <f t="shared" si="8"/>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v>0</v>
      </c>
      <c r="I55" s="45">
        <f t="shared" si="1"/>
        <v>0</v>
      </c>
      <c r="J55" s="333" t="str">
        <f t="shared" si="2"/>
        <v/>
      </c>
      <c r="K55" s="753">
        <f t="shared" si="8"/>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v>0</v>
      </c>
      <c r="I56" s="45">
        <f t="shared" si="1"/>
        <v>0</v>
      </c>
      <c r="J56" s="333" t="str">
        <f t="shared" si="2"/>
        <v/>
      </c>
      <c r="K56" s="753">
        <f t="shared" si="8"/>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v>0</v>
      </c>
      <c r="I57" s="45">
        <f t="shared" si="1"/>
        <v>0</v>
      </c>
      <c r="J57" s="333" t="str">
        <f t="shared" si="2"/>
        <v/>
      </c>
      <c r="K57" s="753">
        <f t="shared" si="8"/>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v>0</v>
      </c>
      <c r="I58" s="45">
        <f t="shared" si="1"/>
        <v>0</v>
      </c>
      <c r="J58" s="333" t="str">
        <f t="shared" si="2"/>
        <v/>
      </c>
      <c r="K58" s="753">
        <f t="shared" si="8"/>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v>0</v>
      </c>
      <c r="I59" s="45">
        <f t="shared" si="1"/>
        <v>0</v>
      </c>
      <c r="J59" s="333" t="str">
        <f t="shared" si="2"/>
        <v/>
      </c>
      <c r="K59" s="753">
        <f t="shared" si="8"/>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v>0</v>
      </c>
      <c r="I60" s="45">
        <f t="shared" si="1"/>
        <v>0</v>
      </c>
      <c r="J60" s="333" t="str">
        <f t="shared" si="2"/>
        <v/>
      </c>
      <c r="K60" s="753">
        <f t="shared" si="8"/>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v>0</v>
      </c>
      <c r="I61" s="45">
        <f t="shared" si="1"/>
        <v>0</v>
      </c>
      <c r="J61" s="333" t="str">
        <f t="shared" si="2"/>
        <v/>
      </c>
      <c r="K61" s="753">
        <f t="shared" si="8"/>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9">SUM(D63:D72)</f>
        <v>0</v>
      </c>
      <c r="E62" s="444">
        <f t="shared" si="9"/>
        <v>0</v>
      </c>
      <c r="F62" s="446">
        <f t="shared" si="9"/>
        <v>0</v>
      </c>
      <c r="G62" s="444">
        <f t="shared" si="9"/>
        <v>0</v>
      </c>
      <c r="H62" s="446">
        <f t="shared" si="9"/>
        <v>0</v>
      </c>
      <c r="I62" s="45">
        <f t="shared" si="1"/>
        <v>0</v>
      </c>
      <c r="J62" s="333" t="str">
        <f t="shared" si="2"/>
        <v/>
      </c>
      <c r="K62" s="445">
        <f t="shared" si="9"/>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v>0</v>
      </c>
      <c r="I63" s="45">
        <f t="shared" si="1"/>
        <v>0</v>
      </c>
      <c r="J63" s="333" t="str">
        <f t="shared" si="2"/>
        <v/>
      </c>
      <c r="K63" s="753">
        <f t="shared" ref="K63:K72" si="10">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v>0</v>
      </c>
      <c r="I64" s="45">
        <f t="shared" si="1"/>
        <v>0</v>
      </c>
      <c r="J64" s="333" t="str">
        <f t="shared" si="2"/>
        <v/>
      </c>
      <c r="K64" s="753">
        <f t="shared" si="10"/>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v>0</v>
      </c>
      <c r="I65" s="45">
        <f t="shared" si="1"/>
        <v>0</v>
      </c>
      <c r="J65" s="333" t="str">
        <f t="shared" si="2"/>
        <v/>
      </c>
      <c r="K65" s="753">
        <f t="shared" si="10"/>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v>0</v>
      </c>
      <c r="I66" s="45">
        <f t="shared" si="1"/>
        <v>0</v>
      </c>
      <c r="J66" s="333" t="str">
        <f t="shared" si="2"/>
        <v/>
      </c>
      <c r="K66" s="753">
        <f t="shared" si="10"/>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v>0</v>
      </c>
      <c r="I67" s="45">
        <f t="shared" si="1"/>
        <v>0</v>
      </c>
      <c r="J67" s="333" t="str">
        <f t="shared" si="2"/>
        <v/>
      </c>
      <c r="K67" s="753">
        <f t="shared" si="10"/>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v>0</v>
      </c>
      <c r="I68" s="45">
        <f t="shared" si="1"/>
        <v>0</v>
      </c>
      <c r="J68" s="333" t="str">
        <f t="shared" si="2"/>
        <v/>
      </c>
      <c r="K68" s="753">
        <f t="shared" si="10"/>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v>0</v>
      </c>
      <c r="I69" s="45">
        <f t="shared" si="1"/>
        <v>0</v>
      </c>
      <c r="J69" s="333" t="str">
        <f t="shared" si="2"/>
        <v/>
      </c>
      <c r="K69" s="753">
        <f t="shared" si="10"/>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v>0</v>
      </c>
      <c r="I70" s="45">
        <f t="shared" si="1"/>
        <v>0</v>
      </c>
      <c r="J70" s="333" t="str">
        <f t="shared" si="2"/>
        <v/>
      </c>
      <c r="K70" s="753">
        <f t="shared" si="10"/>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v>0</v>
      </c>
      <c r="I71" s="45">
        <f t="shared" ref="I71:I134" si="11">G71-H71</f>
        <v>0</v>
      </c>
      <c r="J71" s="333" t="str">
        <f t="shared" ref="J71:J134" si="12">IF(I71=0,"",I71/H71)</f>
        <v/>
      </c>
      <c r="K71" s="753">
        <f t="shared" si="10"/>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v>0</v>
      </c>
      <c r="I72" s="45">
        <f t="shared" si="11"/>
        <v>0</v>
      </c>
      <c r="J72" s="333" t="str">
        <f t="shared" si="12"/>
        <v/>
      </c>
      <c r="K72" s="753">
        <f t="shared" si="10"/>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3">SUM(C74:C83)</f>
        <v>0</v>
      </c>
      <c r="D73" s="447">
        <f t="shared" si="13"/>
        <v>0</v>
      </c>
      <c r="E73" s="444">
        <f t="shared" si="13"/>
        <v>0</v>
      </c>
      <c r="F73" s="446">
        <f t="shared" si="13"/>
        <v>0</v>
      </c>
      <c r="G73" s="444">
        <f t="shared" si="13"/>
        <v>0</v>
      </c>
      <c r="H73" s="446">
        <f t="shared" si="13"/>
        <v>0</v>
      </c>
      <c r="I73" s="45">
        <f t="shared" si="11"/>
        <v>0</v>
      </c>
      <c r="J73" s="333" t="str">
        <f t="shared" si="12"/>
        <v/>
      </c>
      <c r="K73" s="445">
        <f t="shared" si="13"/>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v>0</v>
      </c>
      <c r="I74" s="45">
        <f t="shared" si="11"/>
        <v>0</v>
      </c>
      <c r="J74" s="333" t="str">
        <f t="shared" si="12"/>
        <v/>
      </c>
      <c r="K74" s="753">
        <f t="shared" ref="K74:K83" si="14">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v>0</v>
      </c>
      <c r="I75" s="45">
        <f t="shared" si="11"/>
        <v>0</v>
      </c>
      <c r="J75" s="333" t="str">
        <f t="shared" si="12"/>
        <v/>
      </c>
      <c r="K75" s="753">
        <f t="shared" si="14"/>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v>0</v>
      </c>
      <c r="I76" s="45">
        <f t="shared" si="11"/>
        <v>0</v>
      </c>
      <c r="J76" s="333" t="str">
        <f t="shared" si="12"/>
        <v/>
      </c>
      <c r="K76" s="753">
        <f t="shared" si="14"/>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v>0</v>
      </c>
      <c r="I77" s="45">
        <f t="shared" si="11"/>
        <v>0</v>
      </c>
      <c r="J77" s="333" t="str">
        <f t="shared" si="12"/>
        <v/>
      </c>
      <c r="K77" s="753">
        <f t="shared" si="14"/>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v>0</v>
      </c>
      <c r="I78" s="45">
        <f t="shared" si="11"/>
        <v>0</v>
      </c>
      <c r="J78" s="333" t="str">
        <f t="shared" si="12"/>
        <v/>
      </c>
      <c r="K78" s="753">
        <f t="shared" si="14"/>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v>0</v>
      </c>
      <c r="I79" s="45">
        <f t="shared" si="11"/>
        <v>0</v>
      </c>
      <c r="J79" s="333" t="str">
        <f t="shared" si="12"/>
        <v/>
      </c>
      <c r="K79" s="753">
        <f t="shared" si="14"/>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v>0</v>
      </c>
      <c r="I80" s="45">
        <f t="shared" si="11"/>
        <v>0</v>
      </c>
      <c r="J80" s="333" t="str">
        <f t="shared" si="12"/>
        <v/>
      </c>
      <c r="K80" s="753">
        <f t="shared" si="14"/>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v>0</v>
      </c>
      <c r="I81" s="45">
        <f t="shared" si="11"/>
        <v>0</v>
      </c>
      <c r="J81" s="333" t="str">
        <f t="shared" si="12"/>
        <v/>
      </c>
      <c r="K81" s="753">
        <f t="shared" si="14"/>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v>0</v>
      </c>
      <c r="I82" s="45">
        <f t="shared" si="11"/>
        <v>0</v>
      </c>
      <c r="J82" s="333" t="str">
        <f t="shared" si="12"/>
        <v/>
      </c>
      <c r="K82" s="753">
        <f t="shared" si="14"/>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v>0</v>
      </c>
      <c r="I83" s="45">
        <f t="shared" si="11"/>
        <v>0</v>
      </c>
      <c r="J83" s="333" t="str">
        <f t="shared" si="12"/>
        <v/>
      </c>
      <c r="K83" s="753">
        <f t="shared" si="14"/>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5">SUM(D85:D94)</f>
        <v>0</v>
      </c>
      <c r="E84" s="444">
        <f t="shared" si="15"/>
        <v>0</v>
      </c>
      <c r="F84" s="446">
        <f t="shared" si="15"/>
        <v>0</v>
      </c>
      <c r="G84" s="444">
        <f t="shared" si="15"/>
        <v>0</v>
      </c>
      <c r="H84" s="446">
        <f t="shared" si="15"/>
        <v>0</v>
      </c>
      <c r="I84" s="45">
        <f t="shared" si="11"/>
        <v>0</v>
      </c>
      <c r="J84" s="333" t="str">
        <f t="shared" si="12"/>
        <v/>
      </c>
      <c r="K84" s="445">
        <f t="shared" si="15"/>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v>0</v>
      </c>
      <c r="I85" s="45">
        <f t="shared" si="11"/>
        <v>0</v>
      </c>
      <c r="J85" s="333" t="str">
        <f t="shared" si="12"/>
        <v/>
      </c>
      <c r="K85" s="753">
        <f t="shared" ref="K85:K94" si="16">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v>0</v>
      </c>
      <c r="I86" s="45">
        <f t="shared" si="11"/>
        <v>0</v>
      </c>
      <c r="J86" s="333" t="str">
        <f t="shared" si="12"/>
        <v/>
      </c>
      <c r="K86" s="753">
        <f t="shared" si="16"/>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v>0</v>
      </c>
      <c r="I87" s="45">
        <f t="shared" si="11"/>
        <v>0</v>
      </c>
      <c r="J87" s="333" t="str">
        <f t="shared" si="12"/>
        <v/>
      </c>
      <c r="K87" s="753">
        <f t="shared" si="16"/>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v>0</v>
      </c>
      <c r="I88" s="45">
        <f t="shared" si="11"/>
        <v>0</v>
      </c>
      <c r="J88" s="333" t="str">
        <f t="shared" si="12"/>
        <v/>
      </c>
      <c r="K88" s="753">
        <f t="shared" si="16"/>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v>0</v>
      </c>
      <c r="I89" s="45">
        <f t="shared" si="11"/>
        <v>0</v>
      </c>
      <c r="J89" s="333" t="str">
        <f t="shared" si="12"/>
        <v/>
      </c>
      <c r="K89" s="753">
        <f t="shared" si="16"/>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v>0</v>
      </c>
      <c r="I90" s="45">
        <f t="shared" si="11"/>
        <v>0</v>
      </c>
      <c r="J90" s="333" t="str">
        <f t="shared" si="12"/>
        <v/>
      </c>
      <c r="K90" s="753">
        <f t="shared" si="16"/>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v>0</v>
      </c>
      <c r="I91" s="45">
        <f t="shared" si="11"/>
        <v>0</v>
      </c>
      <c r="J91" s="333" t="str">
        <f t="shared" si="12"/>
        <v/>
      </c>
      <c r="K91" s="753">
        <f t="shared" si="16"/>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v>0</v>
      </c>
      <c r="I92" s="45">
        <f t="shared" si="11"/>
        <v>0</v>
      </c>
      <c r="J92" s="333" t="str">
        <f t="shared" si="12"/>
        <v/>
      </c>
      <c r="K92" s="753">
        <f t="shared" si="16"/>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v>0</v>
      </c>
      <c r="I93" s="45">
        <f t="shared" si="11"/>
        <v>0</v>
      </c>
      <c r="J93" s="333" t="str">
        <f t="shared" si="12"/>
        <v/>
      </c>
      <c r="K93" s="753">
        <f t="shared" si="16"/>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v>0</v>
      </c>
      <c r="I94" s="45">
        <f t="shared" si="11"/>
        <v>0</v>
      </c>
      <c r="J94" s="333" t="str">
        <f t="shared" si="12"/>
        <v/>
      </c>
      <c r="K94" s="753">
        <f t="shared" si="16"/>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7">SUM(D96:D105)</f>
        <v>0</v>
      </c>
      <c r="E95" s="444">
        <f t="shared" si="17"/>
        <v>0</v>
      </c>
      <c r="F95" s="446">
        <f t="shared" si="17"/>
        <v>0</v>
      </c>
      <c r="G95" s="444">
        <f t="shared" si="17"/>
        <v>0</v>
      </c>
      <c r="H95" s="446">
        <f t="shared" si="17"/>
        <v>0</v>
      </c>
      <c r="I95" s="45">
        <f t="shared" si="11"/>
        <v>0</v>
      </c>
      <c r="J95" s="333" t="str">
        <f t="shared" si="12"/>
        <v/>
      </c>
      <c r="K95" s="445">
        <f t="shared" si="17"/>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v>0</v>
      </c>
      <c r="I96" s="45">
        <f t="shared" si="11"/>
        <v>0</v>
      </c>
      <c r="J96" s="333" t="str">
        <f t="shared" si="12"/>
        <v/>
      </c>
      <c r="K96" s="753">
        <f t="shared" ref="K96:K105" si="18">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v>0</v>
      </c>
      <c r="I97" s="45">
        <f t="shared" si="11"/>
        <v>0</v>
      </c>
      <c r="J97" s="333" t="str">
        <f t="shared" si="12"/>
        <v/>
      </c>
      <c r="K97" s="753">
        <f t="shared" si="18"/>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v>0</v>
      </c>
      <c r="I98" s="45">
        <f t="shared" si="11"/>
        <v>0</v>
      </c>
      <c r="J98" s="333" t="str">
        <f t="shared" si="12"/>
        <v/>
      </c>
      <c r="K98" s="753">
        <f t="shared" si="18"/>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v>0</v>
      </c>
      <c r="I99" s="45">
        <f t="shared" si="11"/>
        <v>0</v>
      </c>
      <c r="J99" s="333" t="str">
        <f t="shared" si="12"/>
        <v/>
      </c>
      <c r="K99" s="753">
        <f t="shared" si="18"/>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v>0</v>
      </c>
      <c r="I100" s="45">
        <f t="shared" si="11"/>
        <v>0</v>
      </c>
      <c r="J100" s="333" t="str">
        <f t="shared" si="12"/>
        <v/>
      </c>
      <c r="K100" s="753">
        <f t="shared" si="18"/>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v>0</v>
      </c>
      <c r="I101" s="45">
        <f t="shared" si="11"/>
        <v>0</v>
      </c>
      <c r="J101" s="333" t="str">
        <f t="shared" si="12"/>
        <v/>
      </c>
      <c r="K101" s="753">
        <f t="shared" si="18"/>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v>0</v>
      </c>
      <c r="I102" s="45">
        <f t="shared" si="11"/>
        <v>0</v>
      </c>
      <c r="J102" s="333" t="str">
        <f t="shared" si="12"/>
        <v/>
      </c>
      <c r="K102" s="753">
        <f t="shared" si="18"/>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v>0</v>
      </c>
      <c r="I103" s="45">
        <f t="shared" si="11"/>
        <v>0</v>
      </c>
      <c r="J103" s="333" t="str">
        <f t="shared" si="12"/>
        <v/>
      </c>
      <c r="K103" s="753">
        <f t="shared" si="18"/>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v>0</v>
      </c>
      <c r="I104" s="45">
        <f t="shared" si="11"/>
        <v>0</v>
      </c>
      <c r="J104" s="333" t="str">
        <f t="shared" si="12"/>
        <v/>
      </c>
      <c r="K104" s="753">
        <f t="shared" si="18"/>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v>0</v>
      </c>
      <c r="I105" s="45">
        <f t="shared" si="11"/>
        <v>0</v>
      </c>
      <c r="J105" s="333" t="str">
        <f t="shared" si="12"/>
        <v/>
      </c>
      <c r="K105" s="753">
        <f t="shared" si="18"/>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19">SUM(D107:D116)</f>
        <v>0</v>
      </c>
      <c r="E106" s="444">
        <f t="shared" si="19"/>
        <v>0</v>
      </c>
      <c r="F106" s="446">
        <f t="shared" si="19"/>
        <v>0</v>
      </c>
      <c r="G106" s="444">
        <f t="shared" si="19"/>
        <v>0</v>
      </c>
      <c r="H106" s="446">
        <f t="shared" si="19"/>
        <v>0</v>
      </c>
      <c r="I106" s="45">
        <f t="shared" si="11"/>
        <v>0</v>
      </c>
      <c r="J106" s="333" t="str">
        <f t="shared" si="12"/>
        <v/>
      </c>
      <c r="K106" s="445">
        <f t="shared" si="19"/>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v>0</v>
      </c>
      <c r="I107" s="45">
        <f t="shared" si="11"/>
        <v>0</v>
      </c>
      <c r="J107" s="333" t="str">
        <f t="shared" si="12"/>
        <v/>
      </c>
      <c r="K107" s="753">
        <f t="shared" ref="K107:K116" si="20">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v>0</v>
      </c>
      <c r="I108" s="45">
        <f t="shared" si="11"/>
        <v>0</v>
      </c>
      <c r="J108" s="333" t="str">
        <f t="shared" si="12"/>
        <v/>
      </c>
      <c r="K108" s="753">
        <f t="shared" si="20"/>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v>0</v>
      </c>
      <c r="I109" s="45">
        <f t="shared" si="11"/>
        <v>0</v>
      </c>
      <c r="J109" s="333" t="str">
        <f t="shared" si="12"/>
        <v/>
      </c>
      <c r="K109" s="753">
        <f t="shared" si="20"/>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v>0</v>
      </c>
      <c r="I110" s="45">
        <f t="shared" si="11"/>
        <v>0</v>
      </c>
      <c r="J110" s="333" t="str">
        <f t="shared" si="12"/>
        <v/>
      </c>
      <c r="K110" s="753">
        <f t="shared" si="20"/>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v>0</v>
      </c>
      <c r="I111" s="45">
        <f t="shared" si="11"/>
        <v>0</v>
      </c>
      <c r="J111" s="333" t="str">
        <f t="shared" si="12"/>
        <v/>
      </c>
      <c r="K111" s="753">
        <f t="shared" si="20"/>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v>0</v>
      </c>
      <c r="I112" s="45">
        <f t="shared" si="11"/>
        <v>0</v>
      </c>
      <c r="J112" s="333" t="str">
        <f t="shared" si="12"/>
        <v/>
      </c>
      <c r="K112" s="753">
        <f t="shared" si="20"/>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v>0</v>
      </c>
      <c r="I113" s="45">
        <f t="shared" si="11"/>
        <v>0</v>
      </c>
      <c r="J113" s="333" t="str">
        <f t="shared" si="12"/>
        <v/>
      </c>
      <c r="K113" s="753">
        <f t="shared" si="20"/>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v>0</v>
      </c>
      <c r="I114" s="45">
        <f t="shared" si="11"/>
        <v>0</v>
      </c>
      <c r="J114" s="333" t="str">
        <f t="shared" si="12"/>
        <v/>
      </c>
      <c r="K114" s="753">
        <f t="shared" si="20"/>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v>0</v>
      </c>
      <c r="I115" s="45">
        <f t="shared" si="11"/>
        <v>0</v>
      </c>
      <c r="J115" s="333" t="str">
        <f t="shared" si="12"/>
        <v/>
      </c>
      <c r="K115" s="753">
        <f t="shared" si="20"/>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v>0</v>
      </c>
      <c r="I116" s="45">
        <f t="shared" si="11"/>
        <v>0</v>
      </c>
      <c r="J116" s="333" t="str">
        <f t="shared" si="12"/>
        <v/>
      </c>
      <c r="K116" s="753">
        <f t="shared" si="20"/>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21">SUM(D118:D127)</f>
        <v>0</v>
      </c>
      <c r="E117" s="444">
        <f t="shared" si="21"/>
        <v>0</v>
      </c>
      <c r="F117" s="446">
        <f t="shared" si="21"/>
        <v>0</v>
      </c>
      <c r="G117" s="444">
        <f t="shared" si="21"/>
        <v>0</v>
      </c>
      <c r="H117" s="446">
        <f t="shared" si="21"/>
        <v>0</v>
      </c>
      <c r="I117" s="45">
        <f t="shared" si="11"/>
        <v>0</v>
      </c>
      <c r="J117" s="333" t="str">
        <f t="shared" si="12"/>
        <v/>
      </c>
      <c r="K117" s="445">
        <f t="shared" si="2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v>0</v>
      </c>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v>0</v>
      </c>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v>0</v>
      </c>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v>0</v>
      </c>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v>0</v>
      </c>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v>0</v>
      </c>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v>0</v>
      </c>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v>0</v>
      </c>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v>0</v>
      </c>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v>0</v>
      </c>
      <c r="I127" s="45">
        <f t="shared" si="11"/>
        <v>0</v>
      </c>
      <c r="J127" s="333" t="str">
        <f t="shared" si="12"/>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22">SUM(D129:D138)</f>
        <v>0</v>
      </c>
      <c r="E128" s="444">
        <f t="shared" si="22"/>
        <v>0</v>
      </c>
      <c r="F128" s="446">
        <f t="shared" si="22"/>
        <v>0</v>
      </c>
      <c r="G128" s="444">
        <f t="shared" si="22"/>
        <v>0</v>
      </c>
      <c r="H128" s="446">
        <f t="shared" si="22"/>
        <v>0</v>
      </c>
      <c r="I128" s="45">
        <f t="shared" si="11"/>
        <v>0</v>
      </c>
      <c r="J128" s="333" t="str">
        <f t="shared" si="12"/>
        <v/>
      </c>
      <c r="K128" s="445">
        <f t="shared" si="22"/>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v>0</v>
      </c>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v>0</v>
      </c>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v>0</v>
      </c>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v>0</v>
      </c>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v>0</v>
      </c>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v>0</v>
      </c>
      <c r="I134" s="45">
        <f t="shared" si="11"/>
        <v>0</v>
      </c>
      <c r="J134" s="333" t="str">
        <f t="shared" si="12"/>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v>0</v>
      </c>
      <c r="I135" s="45">
        <f t="shared" ref="I135:I199" si="23">G135-H135</f>
        <v>0</v>
      </c>
      <c r="J135" s="333" t="str">
        <f t="shared" ref="J135:J199" si="24">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v>0</v>
      </c>
      <c r="I136" s="45">
        <f t="shared" si="23"/>
        <v>0</v>
      </c>
      <c r="J136" s="333" t="str">
        <f t="shared" si="24"/>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v>0</v>
      </c>
      <c r="I137" s="45">
        <f t="shared" si="23"/>
        <v>0</v>
      </c>
      <c r="J137" s="333" t="str">
        <f t="shared" si="24"/>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v>0</v>
      </c>
      <c r="I138" s="45">
        <f t="shared" si="23"/>
        <v>0</v>
      </c>
      <c r="J138" s="333" t="str">
        <f t="shared" si="24"/>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25">SUM(D140:D149)</f>
        <v>0</v>
      </c>
      <c r="E139" s="444">
        <f t="shared" si="25"/>
        <v>0</v>
      </c>
      <c r="F139" s="446">
        <f t="shared" si="25"/>
        <v>0</v>
      </c>
      <c r="G139" s="444">
        <f t="shared" si="25"/>
        <v>0</v>
      </c>
      <c r="H139" s="446">
        <f t="shared" si="25"/>
        <v>0</v>
      </c>
      <c r="I139" s="45">
        <f t="shared" si="23"/>
        <v>0</v>
      </c>
      <c r="J139" s="333" t="str">
        <f t="shared" si="24"/>
        <v/>
      </c>
      <c r="K139" s="445">
        <f t="shared" si="25"/>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v>0</v>
      </c>
      <c r="I140" s="45">
        <f t="shared" si="23"/>
        <v>0</v>
      </c>
      <c r="J140" s="333" t="str">
        <f t="shared" si="24"/>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v>0</v>
      </c>
      <c r="I141" s="45">
        <f t="shared" si="23"/>
        <v>0</v>
      </c>
      <c r="J141" s="333" t="str">
        <f t="shared" si="24"/>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v>0</v>
      </c>
      <c r="I142" s="45">
        <f t="shared" si="23"/>
        <v>0</v>
      </c>
      <c r="J142" s="333" t="str">
        <f t="shared" si="24"/>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v>0</v>
      </c>
      <c r="F143" s="752">
        <v>0</v>
      </c>
      <c r="G143" s="751">
        <v>0</v>
      </c>
      <c r="H143" s="752">
        <v>0</v>
      </c>
      <c r="I143" s="45">
        <f t="shared" si="23"/>
        <v>0</v>
      </c>
      <c r="J143" s="333" t="str">
        <f t="shared" si="24"/>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v>0</v>
      </c>
      <c r="I144" s="45">
        <f t="shared" si="23"/>
        <v>0</v>
      </c>
      <c r="J144" s="333" t="str">
        <f t="shared" si="24"/>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v>0</v>
      </c>
      <c r="I145" s="45">
        <f t="shared" si="23"/>
        <v>0</v>
      </c>
      <c r="J145" s="333" t="str">
        <f t="shared" si="24"/>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v>0</v>
      </c>
      <c r="I146" s="45">
        <f t="shared" si="23"/>
        <v>0</v>
      </c>
      <c r="J146" s="333" t="str">
        <f t="shared" si="24"/>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v>0</v>
      </c>
      <c r="I147" s="45">
        <f t="shared" si="23"/>
        <v>0</v>
      </c>
      <c r="J147" s="333" t="str">
        <f t="shared" si="24"/>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v>0</v>
      </c>
      <c r="I148" s="45">
        <f t="shared" si="23"/>
        <v>0</v>
      </c>
      <c r="J148" s="333" t="str">
        <f t="shared" si="24"/>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v>0</v>
      </c>
      <c r="I149" s="45">
        <f t="shared" si="23"/>
        <v>0</v>
      </c>
      <c r="J149" s="333" t="str">
        <f t="shared" si="24"/>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26">SUM(D151:D160)</f>
        <v>0</v>
      </c>
      <c r="E150" s="444">
        <f t="shared" si="26"/>
        <v>0</v>
      </c>
      <c r="F150" s="446">
        <f t="shared" si="26"/>
        <v>0</v>
      </c>
      <c r="G150" s="444">
        <f t="shared" si="26"/>
        <v>0</v>
      </c>
      <c r="H150" s="446">
        <f t="shared" si="26"/>
        <v>0</v>
      </c>
      <c r="I150" s="45">
        <f t="shared" si="23"/>
        <v>0</v>
      </c>
      <c r="J150" s="333" t="str">
        <f t="shared" si="24"/>
        <v/>
      </c>
      <c r="K150" s="445">
        <f t="shared" si="26"/>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v>0</v>
      </c>
      <c r="I151" s="45">
        <f t="shared" si="23"/>
        <v>0</v>
      </c>
      <c r="J151" s="333" t="str">
        <f t="shared" si="24"/>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v>0</v>
      </c>
      <c r="I152" s="45">
        <f t="shared" si="23"/>
        <v>0</v>
      </c>
      <c r="J152" s="333" t="str">
        <f t="shared" si="24"/>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v>0</v>
      </c>
      <c r="I153" s="45">
        <f t="shared" si="23"/>
        <v>0</v>
      </c>
      <c r="J153" s="333" t="str">
        <f t="shared" si="24"/>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v>0</v>
      </c>
      <c r="I154" s="45">
        <f t="shared" si="23"/>
        <v>0</v>
      </c>
      <c r="J154" s="333" t="str">
        <f t="shared" si="24"/>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v>0</v>
      </c>
      <c r="I155" s="45">
        <f t="shared" si="23"/>
        <v>0</v>
      </c>
      <c r="J155" s="333" t="str">
        <f t="shared" si="24"/>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v>0</v>
      </c>
      <c r="I156" s="45">
        <f t="shared" si="23"/>
        <v>0</v>
      </c>
      <c r="J156" s="333" t="str">
        <f t="shared" si="24"/>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v>0</v>
      </c>
      <c r="I157" s="45">
        <f t="shared" si="23"/>
        <v>0</v>
      </c>
      <c r="J157" s="333" t="str">
        <f t="shared" si="24"/>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v>0</v>
      </c>
      <c r="I158" s="45">
        <f t="shared" si="23"/>
        <v>0</v>
      </c>
      <c r="J158" s="333" t="str">
        <f t="shared" si="24"/>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v>0</v>
      </c>
      <c r="I159" s="45">
        <f t="shared" si="23"/>
        <v>0</v>
      </c>
      <c r="J159" s="333" t="str">
        <f t="shared" si="24"/>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v>0</v>
      </c>
      <c r="I160" s="45">
        <f t="shared" si="23"/>
        <v>0</v>
      </c>
      <c r="J160" s="333" t="str">
        <f t="shared" si="24"/>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7">SUM(D162:D171)</f>
        <v>0</v>
      </c>
      <c r="E161" s="444">
        <f t="shared" si="27"/>
        <v>0</v>
      </c>
      <c r="F161" s="446">
        <f t="shared" si="27"/>
        <v>0</v>
      </c>
      <c r="G161" s="444">
        <f t="shared" si="27"/>
        <v>0</v>
      </c>
      <c r="H161" s="446">
        <f t="shared" si="27"/>
        <v>0</v>
      </c>
      <c r="I161" s="45">
        <f t="shared" si="23"/>
        <v>0</v>
      </c>
      <c r="J161" s="333" t="str">
        <f t="shared" si="24"/>
        <v/>
      </c>
      <c r="K161" s="445">
        <f t="shared" si="27"/>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v>0</v>
      </c>
      <c r="I162" s="45">
        <f t="shared" si="23"/>
        <v>0</v>
      </c>
      <c r="J162" s="333" t="str">
        <f t="shared" si="24"/>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v>0</v>
      </c>
      <c r="I163" s="45">
        <f t="shared" si="23"/>
        <v>0</v>
      </c>
      <c r="J163" s="333" t="str">
        <f t="shared" si="24"/>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v>0</v>
      </c>
      <c r="I164" s="45">
        <f t="shared" si="23"/>
        <v>0</v>
      </c>
      <c r="J164" s="333" t="str">
        <f t="shared" si="24"/>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v>0</v>
      </c>
      <c r="I165" s="45">
        <f t="shared" si="23"/>
        <v>0</v>
      </c>
      <c r="J165" s="333" t="str">
        <f t="shared" si="24"/>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v>0</v>
      </c>
      <c r="I166" s="45">
        <f t="shared" si="23"/>
        <v>0</v>
      </c>
      <c r="J166" s="333" t="str">
        <f t="shared" si="24"/>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v>0</v>
      </c>
      <c r="I167" s="45">
        <f t="shared" si="23"/>
        <v>0</v>
      </c>
      <c r="J167" s="333" t="str">
        <f t="shared" si="24"/>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v>0</v>
      </c>
      <c r="I168" s="45">
        <f t="shared" si="23"/>
        <v>0</v>
      </c>
      <c r="J168" s="333" t="str">
        <f t="shared" si="24"/>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v>0</v>
      </c>
      <c r="I169" s="45">
        <f t="shared" si="23"/>
        <v>0</v>
      </c>
      <c r="J169" s="333" t="str">
        <f t="shared" si="24"/>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v>0</v>
      </c>
      <c r="I170" s="45">
        <f t="shared" si="23"/>
        <v>0</v>
      </c>
      <c r="J170" s="333" t="str">
        <f t="shared" si="24"/>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v>0</v>
      </c>
      <c r="I171" s="45">
        <f t="shared" si="23"/>
        <v>0</v>
      </c>
      <c r="J171" s="333" t="str">
        <f t="shared" si="24"/>
        <v/>
      </c>
      <c r="K171" s="753"/>
      <c r="L171" s="455">
        <f t="shared" ref="L171:W171" si="28">SUM(L79:L82)</f>
        <v>0</v>
      </c>
      <c r="M171" s="456">
        <f t="shared" si="28"/>
        <v>0</v>
      </c>
      <c r="N171" s="456">
        <f t="shared" si="28"/>
        <v>0</v>
      </c>
      <c r="O171" s="456">
        <f t="shared" si="28"/>
        <v>0</v>
      </c>
      <c r="P171" s="456">
        <f t="shared" si="28"/>
        <v>0</v>
      </c>
      <c r="Q171" s="456">
        <f t="shared" si="28"/>
        <v>0</v>
      </c>
      <c r="R171" s="456">
        <f t="shared" si="28"/>
        <v>0</v>
      </c>
      <c r="S171" s="456">
        <f t="shared" si="28"/>
        <v>0</v>
      </c>
      <c r="T171" s="456">
        <f t="shared" si="28"/>
        <v>0</v>
      </c>
      <c r="U171" s="456">
        <f t="shared" si="28"/>
        <v>0</v>
      </c>
      <c r="V171" s="456">
        <f t="shared" si="28"/>
        <v>0</v>
      </c>
      <c r="W171" s="456">
        <f t="shared" si="28"/>
        <v>0</v>
      </c>
    </row>
    <row r="172" spans="1:23" ht="12.75" customHeight="1" x14ac:dyDescent="0.2">
      <c r="A172" s="450" t="s">
        <v>820</v>
      </c>
      <c r="B172" s="418"/>
      <c r="C172" s="507">
        <f>C7+C18+C29+C40+C51+C62+C73+C84+C95+C106+C117+C128+C139+C150+C161</f>
        <v>0</v>
      </c>
      <c r="D172" s="454">
        <f t="shared" ref="D172:K172" si="29">D7+D18+D29+D40+D51+D62+D73+D84+D95+D106+D117+D128+D139+D150+D161</f>
        <v>0</v>
      </c>
      <c r="E172" s="451">
        <f t="shared" si="29"/>
        <v>0</v>
      </c>
      <c r="F172" s="453">
        <f t="shared" si="29"/>
        <v>0</v>
      </c>
      <c r="G172" s="451">
        <f t="shared" si="29"/>
        <v>0</v>
      </c>
      <c r="H172" s="453">
        <f t="shared" si="29"/>
        <v>0</v>
      </c>
      <c r="I172" s="517">
        <f t="shared" si="23"/>
        <v>0</v>
      </c>
      <c r="J172" s="518" t="str">
        <f t="shared" si="24"/>
        <v/>
      </c>
      <c r="K172" s="452">
        <f t="shared" si="29"/>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23"/>
        <v>0</v>
      </c>
      <c r="J173" s="134" t="str">
        <f t="shared" si="24"/>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23"/>
        <v>0</v>
      </c>
      <c r="J175" s="333" t="str">
        <f t="shared" si="24"/>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30">SUM(C177:C186)</f>
        <v>5421889.067499876</v>
      </c>
      <c r="D176" s="474">
        <f t="shared" si="30"/>
        <v>5010000</v>
      </c>
      <c r="E176" s="471">
        <f t="shared" si="30"/>
        <v>0</v>
      </c>
      <c r="F176" s="473">
        <f t="shared" si="30"/>
        <v>0</v>
      </c>
      <c r="G176" s="471">
        <f t="shared" si="30"/>
        <v>0</v>
      </c>
      <c r="H176" s="473">
        <f t="shared" si="30"/>
        <v>417500</v>
      </c>
      <c r="I176" s="45">
        <f t="shared" si="23"/>
        <v>-417500</v>
      </c>
      <c r="J176" s="333">
        <f t="shared" si="24"/>
        <v>-1</v>
      </c>
      <c r="K176" s="472">
        <f t="shared" si="30"/>
        <v>5010000</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v>0</v>
      </c>
      <c r="I177" s="45">
        <f t="shared" si="23"/>
        <v>0</v>
      </c>
      <c r="J177" s="333" t="str">
        <f t="shared" si="24"/>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v>0</v>
      </c>
      <c r="I178" s="45">
        <f t="shared" si="23"/>
        <v>0</v>
      </c>
      <c r="J178" s="333" t="str">
        <f t="shared" si="24"/>
        <v/>
      </c>
      <c r="K178" s="757">
        <f t="shared" ref="K178:K186" si="31">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v>0</v>
      </c>
      <c r="I179" s="45">
        <f t="shared" si="23"/>
        <v>0</v>
      </c>
      <c r="J179" s="333" t="str">
        <f t="shared" si="24"/>
        <v/>
      </c>
      <c r="K179" s="757">
        <f t="shared" si="31"/>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v>0</v>
      </c>
      <c r="I180" s="45">
        <f t="shared" si="23"/>
        <v>0</v>
      </c>
      <c r="J180" s="333" t="str">
        <f t="shared" si="24"/>
        <v/>
      </c>
      <c r="K180" s="757">
        <f t="shared" si="31"/>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v>0</v>
      </c>
      <c r="I181" s="45">
        <f t="shared" si="23"/>
        <v>0</v>
      </c>
      <c r="J181" s="333" t="str">
        <f t="shared" si="24"/>
        <v/>
      </c>
      <c r="K181" s="757">
        <f t="shared" si="31"/>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v>0</v>
      </c>
      <c r="I182" s="45">
        <f t="shared" si="23"/>
        <v>0</v>
      </c>
      <c r="J182" s="333" t="str">
        <f t="shared" si="24"/>
        <v/>
      </c>
      <c r="K182" s="757">
        <f t="shared" si="31"/>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5421889.067499876</v>
      </c>
      <c r="D183" s="755">
        <v>0</v>
      </c>
      <c r="E183" s="743">
        <v>0</v>
      </c>
      <c r="F183" s="756">
        <v>0</v>
      </c>
      <c r="G183" s="743">
        <v>0</v>
      </c>
      <c r="H183" s="756">
        <v>0</v>
      </c>
      <c r="I183" s="45">
        <f t="shared" si="23"/>
        <v>0</v>
      </c>
      <c r="J183" s="333" t="str">
        <f t="shared" si="24"/>
        <v/>
      </c>
      <c r="K183" s="757">
        <f t="shared" si="31"/>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0</v>
      </c>
      <c r="F184" s="756">
        <v>0</v>
      </c>
      <c r="G184" s="743">
        <v>0</v>
      </c>
      <c r="H184" s="756">
        <v>417500</v>
      </c>
      <c r="I184" s="45">
        <f t="shared" si="23"/>
        <v>-417500</v>
      </c>
      <c r="J184" s="333">
        <f t="shared" si="24"/>
        <v>-1</v>
      </c>
      <c r="K184" s="757">
        <f t="shared" si="31"/>
        <v>5010000</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v>0</v>
      </c>
      <c r="I185" s="45">
        <f t="shared" si="23"/>
        <v>0</v>
      </c>
      <c r="J185" s="333" t="str">
        <f t="shared" si="24"/>
        <v/>
      </c>
      <c r="K185" s="757">
        <f t="shared" si="31"/>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v>0</v>
      </c>
      <c r="I186" s="45">
        <f t="shared" si="23"/>
        <v>0</v>
      </c>
      <c r="J186" s="333" t="str">
        <f t="shared" si="24"/>
        <v/>
      </c>
      <c r="K186" s="757">
        <f t="shared" si="31"/>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32">SUM(E188:E197)</f>
        <v>0</v>
      </c>
      <c r="F187" s="446">
        <f t="shared" si="32"/>
        <v>0</v>
      </c>
      <c r="G187" s="444">
        <f t="shared" si="32"/>
        <v>0</v>
      </c>
      <c r="H187" s="446">
        <f t="shared" si="32"/>
        <v>0</v>
      </c>
      <c r="I187" s="45">
        <f t="shared" si="23"/>
        <v>0</v>
      </c>
      <c r="J187" s="333" t="str">
        <f t="shared" si="24"/>
        <v/>
      </c>
      <c r="K187" s="445">
        <f t="shared" si="32"/>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v>0</v>
      </c>
      <c r="I188" s="45">
        <f t="shared" si="23"/>
        <v>0</v>
      </c>
      <c r="J188" s="333" t="str">
        <f t="shared" si="24"/>
        <v/>
      </c>
      <c r="K188" s="757">
        <f t="shared" ref="K188:K197" si="33">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v>0</v>
      </c>
      <c r="I189" s="45">
        <f t="shared" si="23"/>
        <v>0</v>
      </c>
      <c r="J189" s="333" t="str">
        <f t="shared" si="24"/>
        <v/>
      </c>
      <c r="K189" s="757">
        <f t="shared" si="33"/>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v>0</v>
      </c>
      <c r="I190" s="45">
        <f t="shared" si="23"/>
        <v>0</v>
      </c>
      <c r="J190" s="333" t="str">
        <f t="shared" si="24"/>
        <v/>
      </c>
      <c r="K190" s="757">
        <f t="shared" si="33"/>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v>0</v>
      </c>
      <c r="I191" s="45">
        <f t="shared" si="23"/>
        <v>0</v>
      </c>
      <c r="J191" s="333" t="str">
        <f t="shared" si="24"/>
        <v/>
      </c>
      <c r="K191" s="757">
        <f t="shared" si="33"/>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v>0</v>
      </c>
      <c r="I192" s="45">
        <f t="shared" si="23"/>
        <v>0</v>
      </c>
      <c r="J192" s="333" t="str">
        <f t="shared" si="24"/>
        <v/>
      </c>
      <c r="K192" s="757">
        <f t="shared" si="33"/>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v>0</v>
      </c>
      <c r="I193" s="45">
        <f t="shared" si="23"/>
        <v>0</v>
      </c>
      <c r="J193" s="333" t="str">
        <f t="shared" si="24"/>
        <v/>
      </c>
      <c r="K193" s="757">
        <f t="shared" si="33"/>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v>0</v>
      </c>
      <c r="I194" s="45">
        <f t="shared" si="23"/>
        <v>0</v>
      </c>
      <c r="J194" s="333" t="str">
        <f t="shared" si="24"/>
        <v/>
      </c>
      <c r="K194" s="757">
        <f t="shared" si="33"/>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v>0</v>
      </c>
      <c r="I195" s="45">
        <f t="shared" si="23"/>
        <v>0</v>
      </c>
      <c r="J195" s="333" t="str">
        <f t="shared" si="24"/>
        <v/>
      </c>
      <c r="K195" s="757">
        <f t="shared" si="33"/>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v>0</v>
      </c>
      <c r="I196" s="45">
        <f t="shared" si="23"/>
        <v>0</v>
      </c>
      <c r="J196" s="333" t="str">
        <f t="shared" si="24"/>
        <v/>
      </c>
      <c r="K196" s="757">
        <f t="shared" si="33"/>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v>0</v>
      </c>
      <c r="I197" s="45">
        <f t="shared" si="23"/>
        <v>0</v>
      </c>
      <c r="J197" s="333" t="str">
        <f t="shared" si="24"/>
        <v/>
      </c>
      <c r="K197" s="757">
        <f t="shared" si="33"/>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34">SUM(C199:C208)</f>
        <v>641395296.40749991</v>
      </c>
      <c r="D198" s="447">
        <f t="shared" si="34"/>
        <v>924650640</v>
      </c>
      <c r="E198" s="444">
        <f>SUM(E199:E208)</f>
        <v>0</v>
      </c>
      <c r="F198" s="446">
        <f t="shared" si="34"/>
        <v>85297669.118499994</v>
      </c>
      <c r="G198" s="444">
        <f t="shared" si="34"/>
        <v>85297669.118499994</v>
      </c>
      <c r="H198" s="446">
        <f t="shared" si="34"/>
        <v>77054220</v>
      </c>
      <c r="I198" s="45">
        <f t="shared" si="23"/>
        <v>8243449.1184999943</v>
      </c>
      <c r="J198" s="333">
        <f t="shared" si="24"/>
        <v>0.10698244844344663</v>
      </c>
      <c r="K198" s="445">
        <f t="shared" si="34"/>
        <v>924650640</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v>0</v>
      </c>
      <c r="I199" s="45">
        <f t="shared" si="23"/>
        <v>0</v>
      </c>
      <c r="J199" s="333" t="str">
        <f t="shared" si="24"/>
        <v/>
      </c>
      <c r="K199" s="757">
        <f t="shared" ref="K199:K208" si="35">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187127162.53999999</v>
      </c>
      <c r="D200" s="755">
        <v>0</v>
      </c>
      <c r="E200" s="743">
        <v>0</v>
      </c>
      <c r="F200" s="756">
        <v>0</v>
      </c>
      <c r="G200" s="743">
        <v>0</v>
      </c>
      <c r="H200" s="756">
        <v>0</v>
      </c>
      <c r="I200" s="45">
        <f t="shared" ref="I200:I263" si="36">G200-H200</f>
        <v>0</v>
      </c>
      <c r="J200" s="333" t="str">
        <f t="shared" ref="J200:J263" si="37">IF(I200=0,"",I200/H200)</f>
        <v/>
      </c>
      <c r="K200" s="757">
        <f t="shared" si="35"/>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v>0</v>
      </c>
      <c r="I201" s="45">
        <f t="shared" si="36"/>
        <v>0</v>
      </c>
      <c r="J201" s="333" t="str">
        <f t="shared" si="37"/>
        <v/>
      </c>
      <c r="K201" s="398">
        <f t="shared" si="35"/>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293952123.60749996</v>
      </c>
      <c r="D202" s="755">
        <v>507947652</v>
      </c>
      <c r="E202" s="743">
        <v>0</v>
      </c>
      <c r="F202" s="756">
        <v>85297669.118499994</v>
      </c>
      <c r="G202" s="743">
        <v>85297669.118499994</v>
      </c>
      <c r="H202" s="756">
        <v>42328971</v>
      </c>
      <c r="I202" s="45">
        <f t="shared" si="36"/>
        <v>42968698.118499994</v>
      </c>
      <c r="J202" s="333">
        <f t="shared" si="37"/>
        <v>1.0151132215923697</v>
      </c>
      <c r="K202" s="398">
        <f t="shared" si="35"/>
        <v>507947652</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160316010.25999999</v>
      </c>
      <c r="D203" s="755">
        <v>416702988</v>
      </c>
      <c r="E203" s="743">
        <v>0</v>
      </c>
      <c r="F203" s="756">
        <v>0</v>
      </c>
      <c r="G203" s="743">
        <v>0</v>
      </c>
      <c r="H203" s="756">
        <v>34725249</v>
      </c>
      <c r="I203" s="45">
        <f t="shared" si="36"/>
        <v>-34725249</v>
      </c>
      <c r="J203" s="333">
        <f t="shared" si="37"/>
        <v>-1</v>
      </c>
      <c r="K203" s="398">
        <f t="shared" si="35"/>
        <v>416702988</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v>0</v>
      </c>
      <c r="I204" s="45">
        <f t="shared" si="36"/>
        <v>0</v>
      </c>
      <c r="J204" s="333" t="str">
        <f t="shared" si="37"/>
        <v/>
      </c>
      <c r="K204" s="398">
        <f t="shared" si="35"/>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v>0</v>
      </c>
      <c r="I205" s="45">
        <f t="shared" si="36"/>
        <v>0</v>
      </c>
      <c r="J205" s="333" t="str">
        <f t="shared" si="37"/>
        <v/>
      </c>
      <c r="K205" s="398">
        <f t="shared" si="35"/>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v>0</v>
      </c>
      <c r="I206" s="45">
        <f t="shared" si="36"/>
        <v>0</v>
      </c>
      <c r="J206" s="333" t="str">
        <f t="shared" si="37"/>
        <v/>
      </c>
      <c r="K206" s="398">
        <f t="shared" si="35"/>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v>0</v>
      </c>
      <c r="I207" s="45">
        <f t="shared" si="36"/>
        <v>0</v>
      </c>
      <c r="J207" s="333" t="str">
        <f t="shared" si="37"/>
        <v/>
      </c>
      <c r="K207" s="398">
        <f t="shared" si="35"/>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v>0</v>
      </c>
      <c r="I208" s="45">
        <f t="shared" si="36"/>
        <v>0</v>
      </c>
      <c r="J208" s="333" t="str">
        <f t="shared" si="37"/>
        <v/>
      </c>
      <c r="K208" s="398">
        <f t="shared" si="35"/>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38">SUM(C210:C219)</f>
        <v>29987341.603</v>
      </c>
      <c r="D209" s="447">
        <f t="shared" si="38"/>
        <v>62247496</v>
      </c>
      <c r="E209" s="444">
        <f>SUM(E210:E219)</f>
        <v>0</v>
      </c>
      <c r="F209" s="446">
        <f t="shared" si="38"/>
        <v>0</v>
      </c>
      <c r="G209" s="444">
        <f t="shared" si="38"/>
        <v>0</v>
      </c>
      <c r="H209" s="446">
        <f t="shared" si="38"/>
        <v>5187291.333333333</v>
      </c>
      <c r="I209" s="45">
        <f t="shared" si="36"/>
        <v>-5187291.333333333</v>
      </c>
      <c r="J209" s="333">
        <f t="shared" si="37"/>
        <v>-1</v>
      </c>
      <c r="K209" s="445">
        <f t="shared" si="38"/>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v>0</v>
      </c>
      <c r="G210" s="387">
        <v>0</v>
      </c>
      <c r="H210" s="387">
        <v>0</v>
      </c>
      <c r="I210" s="45">
        <f t="shared" si="36"/>
        <v>0</v>
      </c>
      <c r="J210" s="333" t="str">
        <f t="shared" si="37"/>
        <v/>
      </c>
      <c r="K210" s="398">
        <f t="shared" ref="K210:K219" si="39">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v>0</v>
      </c>
      <c r="I211" s="45">
        <f t="shared" si="36"/>
        <v>0</v>
      </c>
      <c r="J211" s="333" t="str">
        <f t="shared" si="37"/>
        <v/>
      </c>
      <c r="K211" s="398">
        <f t="shared" si="39"/>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v>0</v>
      </c>
      <c r="I212" s="45">
        <f t="shared" si="36"/>
        <v>0</v>
      </c>
      <c r="J212" s="333" t="str">
        <f t="shared" si="37"/>
        <v/>
      </c>
      <c r="K212" s="398">
        <f t="shared" si="39"/>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v>0</v>
      </c>
      <c r="I213" s="45">
        <f t="shared" si="36"/>
        <v>0</v>
      </c>
      <c r="J213" s="333" t="str">
        <f t="shared" si="37"/>
        <v/>
      </c>
      <c r="K213" s="398">
        <f t="shared" si="39"/>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29987341.603</v>
      </c>
      <c r="D214" s="386">
        <v>62247496</v>
      </c>
      <c r="E214" s="387">
        <v>0</v>
      </c>
      <c r="F214" s="475">
        <v>0</v>
      </c>
      <c r="G214" s="387">
        <v>0</v>
      </c>
      <c r="H214" s="387">
        <v>5187291.333333333</v>
      </c>
      <c r="I214" s="45">
        <f t="shared" si="36"/>
        <v>-5187291.333333333</v>
      </c>
      <c r="J214" s="333">
        <f t="shared" si="37"/>
        <v>-1</v>
      </c>
      <c r="K214" s="398">
        <f t="shared" si="39"/>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v>0</v>
      </c>
      <c r="I215" s="45">
        <f t="shared" si="36"/>
        <v>0</v>
      </c>
      <c r="J215" s="333" t="str">
        <f t="shared" si="37"/>
        <v/>
      </c>
      <c r="K215" s="398">
        <f t="shared" si="39"/>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v>0</v>
      </c>
      <c r="I216" s="45">
        <f t="shared" si="36"/>
        <v>0</v>
      </c>
      <c r="J216" s="333" t="str">
        <f t="shared" si="37"/>
        <v/>
      </c>
      <c r="K216" s="398">
        <f t="shared" si="39"/>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v>0</v>
      </c>
      <c r="I217" s="45">
        <f t="shared" si="36"/>
        <v>0</v>
      </c>
      <c r="J217" s="333" t="str">
        <f t="shared" si="37"/>
        <v/>
      </c>
      <c r="K217" s="398">
        <f t="shared" si="39"/>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v>0</v>
      </c>
      <c r="I218" s="45">
        <f t="shared" si="36"/>
        <v>0</v>
      </c>
      <c r="J218" s="333" t="str">
        <f t="shared" si="37"/>
        <v/>
      </c>
      <c r="K218" s="398">
        <f t="shared" si="39"/>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v>0</v>
      </c>
      <c r="I219" s="45">
        <f t="shared" si="36"/>
        <v>0</v>
      </c>
      <c r="J219" s="333" t="str">
        <f t="shared" si="37"/>
        <v/>
      </c>
      <c r="K219" s="398">
        <f t="shared" si="39"/>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40">SUM(C221:C230)</f>
        <v>25084111.629999999</v>
      </c>
      <c r="D220" s="447">
        <f t="shared" si="40"/>
        <v>91500792</v>
      </c>
      <c r="E220" s="444">
        <f t="shared" si="40"/>
        <v>0</v>
      </c>
      <c r="F220" s="446">
        <f t="shared" si="40"/>
        <v>0</v>
      </c>
      <c r="G220" s="444">
        <f t="shared" si="40"/>
        <v>0</v>
      </c>
      <c r="H220" s="446">
        <f t="shared" si="40"/>
        <v>7625066</v>
      </c>
      <c r="I220" s="45">
        <f t="shared" si="36"/>
        <v>-7625066</v>
      </c>
      <c r="J220" s="333">
        <f t="shared" si="37"/>
        <v>-1</v>
      </c>
      <c r="K220" s="445">
        <f t="shared" si="40"/>
        <v>91500792</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v>0</v>
      </c>
      <c r="I221" s="45">
        <f t="shared" si="36"/>
        <v>0</v>
      </c>
      <c r="J221" s="333" t="str">
        <f t="shared" si="37"/>
        <v/>
      </c>
      <c r="K221" s="398">
        <f t="shared" ref="K221:K230" si="41">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4861660.5599999996</v>
      </c>
      <c r="D222" s="386">
        <v>61184496</v>
      </c>
      <c r="E222" s="387">
        <v>0</v>
      </c>
      <c r="F222" s="387">
        <v>0</v>
      </c>
      <c r="G222" s="387">
        <v>0</v>
      </c>
      <c r="H222" s="387">
        <v>5098708</v>
      </c>
      <c r="I222" s="45">
        <f t="shared" si="36"/>
        <v>-5098708</v>
      </c>
      <c r="J222" s="333">
        <f t="shared" si="37"/>
        <v>-1</v>
      </c>
      <c r="K222" s="398">
        <f t="shared" si="41"/>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387">
        <v>0</v>
      </c>
      <c r="I223" s="45">
        <f t="shared" si="36"/>
        <v>0</v>
      </c>
      <c r="J223" s="333" t="str">
        <f t="shared" si="37"/>
        <v/>
      </c>
      <c r="K223" s="398">
        <f t="shared" si="41"/>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4">
        <v>0</v>
      </c>
      <c r="D224" s="386">
        <v>0</v>
      </c>
      <c r="E224" s="387">
        <v>0</v>
      </c>
      <c r="F224" s="387">
        <v>0</v>
      </c>
      <c r="G224" s="387">
        <v>0</v>
      </c>
      <c r="H224" s="387">
        <v>0</v>
      </c>
      <c r="I224" s="45">
        <f t="shared" si="36"/>
        <v>0</v>
      </c>
      <c r="J224" s="333" t="str">
        <f t="shared" si="37"/>
        <v/>
      </c>
      <c r="K224" s="398">
        <f t="shared" si="41"/>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0</v>
      </c>
      <c r="F225" s="387">
        <v>0</v>
      </c>
      <c r="G225" s="387">
        <v>0</v>
      </c>
      <c r="H225" s="387">
        <v>220200</v>
      </c>
      <c r="I225" s="45">
        <f t="shared" si="36"/>
        <v>-220200</v>
      </c>
      <c r="J225" s="333">
        <f t="shared" si="37"/>
        <v>-1</v>
      </c>
      <c r="K225" s="398">
        <f t="shared" si="41"/>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803904.81</v>
      </c>
      <c r="D226" s="386">
        <v>0</v>
      </c>
      <c r="E226" s="387">
        <v>0</v>
      </c>
      <c r="F226" s="387">
        <v>0</v>
      </c>
      <c r="G226" s="387">
        <v>0</v>
      </c>
      <c r="H226" s="387">
        <v>0</v>
      </c>
      <c r="I226" s="45">
        <f t="shared" si="36"/>
        <v>0</v>
      </c>
      <c r="J226" s="333" t="str">
        <f t="shared" si="37"/>
        <v/>
      </c>
      <c r="K226" s="398">
        <f t="shared" si="41"/>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387">
        <v>0</v>
      </c>
      <c r="I227" s="45">
        <f t="shared" si="36"/>
        <v>0</v>
      </c>
      <c r="J227" s="333" t="str">
        <f t="shared" si="37"/>
        <v/>
      </c>
      <c r="K227" s="398">
        <f t="shared" si="41"/>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387">
        <v>0</v>
      </c>
      <c r="I228" s="45">
        <f t="shared" si="36"/>
        <v>0</v>
      </c>
      <c r="J228" s="333" t="str">
        <f t="shared" si="37"/>
        <v/>
      </c>
      <c r="K228" s="398">
        <f t="shared" si="41"/>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3">
        <v>7832160.9000000004</v>
      </c>
      <c r="D229" s="386">
        <v>19378404</v>
      </c>
      <c r="E229" s="387">
        <v>0</v>
      </c>
      <c r="F229" s="387">
        <v>0</v>
      </c>
      <c r="G229" s="387">
        <v>0</v>
      </c>
      <c r="H229" s="387">
        <v>1614867</v>
      </c>
      <c r="I229" s="45">
        <f t="shared" si="36"/>
        <v>-1614867</v>
      </c>
      <c r="J229" s="333">
        <f t="shared" si="37"/>
        <v>-1</v>
      </c>
      <c r="K229" s="398">
        <f t="shared" si="41"/>
        <v>19378404</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11586385.359999999</v>
      </c>
      <c r="D230" s="386">
        <v>8295492</v>
      </c>
      <c r="E230" s="387">
        <v>0</v>
      </c>
      <c r="F230" s="387">
        <v>0</v>
      </c>
      <c r="G230" s="387">
        <v>0</v>
      </c>
      <c r="H230" s="387">
        <v>691291</v>
      </c>
      <c r="I230" s="45">
        <f t="shared" si="36"/>
        <v>-691291</v>
      </c>
      <c r="J230" s="333">
        <f t="shared" si="37"/>
        <v>-1</v>
      </c>
      <c r="K230" s="398">
        <f t="shared" si="41"/>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42">SUM(C232:C241)</f>
        <v>5144793.5999999996</v>
      </c>
      <c r="D231" s="447">
        <f t="shared" si="42"/>
        <v>8639076</v>
      </c>
      <c r="E231" s="444">
        <f t="shared" si="42"/>
        <v>0</v>
      </c>
      <c r="F231" s="446">
        <f t="shared" si="42"/>
        <v>0</v>
      </c>
      <c r="G231" s="444">
        <f t="shared" si="42"/>
        <v>0</v>
      </c>
      <c r="H231" s="446">
        <f t="shared" si="42"/>
        <v>719923</v>
      </c>
      <c r="I231" s="45">
        <f t="shared" si="36"/>
        <v>-719923</v>
      </c>
      <c r="J231" s="333">
        <f t="shared" si="37"/>
        <v>-1</v>
      </c>
      <c r="K231" s="445">
        <f t="shared" si="42"/>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174327.06</v>
      </c>
      <c r="D232" s="386">
        <v>3461592</v>
      </c>
      <c r="E232" s="387">
        <v>0</v>
      </c>
      <c r="F232" s="387">
        <v>0</v>
      </c>
      <c r="G232" s="387">
        <v>0</v>
      </c>
      <c r="H232" s="475">
        <v>288466</v>
      </c>
      <c r="I232" s="45">
        <f t="shared" si="36"/>
        <v>-288466</v>
      </c>
      <c r="J232" s="333">
        <f t="shared" si="37"/>
        <v>-1</v>
      </c>
      <c r="K232" s="398">
        <f t="shared" ref="K232:K241" si="43">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832487.18</v>
      </c>
      <c r="D233" s="386">
        <v>0</v>
      </c>
      <c r="E233" s="387">
        <v>0</v>
      </c>
      <c r="F233" s="387">
        <v>0</v>
      </c>
      <c r="G233" s="387">
        <v>0</v>
      </c>
      <c r="H233" s="475">
        <v>0</v>
      </c>
      <c r="I233" s="45">
        <f t="shared" si="36"/>
        <v>0</v>
      </c>
      <c r="J233" s="333" t="str">
        <f t="shared" si="37"/>
        <v/>
      </c>
      <c r="K233" s="398">
        <f t="shared" si="43"/>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v>0</v>
      </c>
      <c r="I234" s="45">
        <f t="shared" si="36"/>
        <v>0</v>
      </c>
      <c r="J234" s="333" t="str">
        <f t="shared" si="37"/>
        <v/>
      </c>
      <c r="K234" s="398">
        <f t="shared" si="43"/>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v>0</v>
      </c>
      <c r="I235" s="45">
        <f t="shared" si="36"/>
        <v>0</v>
      </c>
      <c r="J235" s="333" t="str">
        <f t="shared" si="37"/>
        <v/>
      </c>
      <c r="K235" s="398">
        <f t="shared" si="43"/>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0</v>
      </c>
      <c r="H236" s="475">
        <v>0</v>
      </c>
      <c r="I236" s="45">
        <f t="shared" si="36"/>
        <v>0</v>
      </c>
      <c r="J236" s="333" t="str">
        <f t="shared" si="37"/>
        <v/>
      </c>
      <c r="K236" s="398">
        <f t="shared" si="43"/>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2">
        <v>4137979.36</v>
      </c>
      <c r="D237" s="386">
        <v>2450748</v>
      </c>
      <c r="E237" s="387">
        <v>0</v>
      </c>
      <c r="F237" s="387">
        <v>0</v>
      </c>
      <c r="G237" s="387">
        <v>0</v>
      </c>
      <c r="H237" s="475">
        <v>204229</v>
      </c>
      <c r="I237" s="45">
        <f t="shared" si="36"/>
        <v>-204229</v>
      </c>
      <c r="J237" s="333">
        <f t="shared" si="37"/>
        <v>-1</v>
      </c>
      <c r="K237" s="398">
        <f t="shared" si="43"/>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v>0</v>
      </c>
      <c r="I238" s="45">
        <f t="shared" si="36"/>
        <v>0</v>
      </c>
      <c r="J238" s="333" t="str">
        <f t="shared" si="37"/>
        <v/>
      </c>
      <c r="K238" s="398">
        <f t="shared" si="43"/>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0</v>
      </c>
      <c r="F239" s="387">
        <v>0</v>
      </c>
      <c r="G239" s="387">
        <v>0</v>
      </c>
      <c r="H239" s="475">
        <v>227228</v>
      </c>
      <c r="I239" s="45">
        <f t="shared" si="36"/>
        <v>-227228</v>
      </c>
      <c r="J239" s="333">
        <f t="shared" si="37"/>
        <v>-1</v>
      </c>
      <c r="K239" s="398">
        <f t="shared" si="43"/>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v>0</v>
      </c>
      <c r="I240" s="45">
        <f t="shared" si="36"/>
        <v>0</v>
      </c>
      <c r="J240" s="333" t="str">
        <f t="shared" si="37"/>
        <v/>
      </c>
      <c r="K240" s="398">
        <f t="shared" si="43"/>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v>0</v>
      </c>
      <c r="I241" s="45">
        <f t="shared" si="36"/>
        <v>0</v>
      </c>
      <c r="J241" s="333" t="str">
        <f t="shared" si="37"/>
        <v/>
      </c>
      <c r="K241" s="398">
        <f t="shared" si="43"/>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44">SUM(C243:C252)</f>
        <v>26628540.934499998</v>
      </c>
      <c r="D242" s="447">
        <f t="shared" si="44"/>
        <v>64268004</v>
      </c>
      <c r="E242" s="444">
        <f t="shared" si="44"/>
        <v>0</v>
      </c>
      <c r="F242" s="446">
        <f t="shared" si="44"/>
        <v>0</v>
      </c>
      <c r="G242" s="444">
        <f t="shared" si="44"/>
        <v>0</v>
      </c>
      <c r="H242" s="446">
        <f t="shared" si="44"/>
        <v>5355667</v>
      </c>
      <c r="I242" s="45">
        <f t="shared" si="36"/>
        <v>-5355667</v>
      </c>
      <c r="J242" s="333">
        <f t="shared" si="37"/>
        <v>-1</v>
      </c>
      <c r="K242" s="445">
        <f t="shared" si="44"/>
        <v>64268004</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10375998.57</v>
      </c>
      <c r="D243" s="386">
        <v>0</v>
      </c>
      <c r="E243" s="387">
        <v>0</v>
      </c>
      <c r="F243" s="387">
        <v>0</v>
      </c>
      <c r="G243" s="387">
        <v>0</v>
      </c>
      <c r="H243" s="387">
        <v>0</v>
      </c>
      <c r="I243" s="45">
        <f t="shared" si="36"/>
        <v>0</v>
      </c>
      <c r="J243" s="333" t="str">
        <f t="shared" si="37"/>
        <v/>
      </c>
      <c r="K243" s="398">
        <f t="shared" ref="K243:K252" si="45">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8198515.2599999998</v>
      </c>
      <c r="D244" s="386">
        <v>14268000</v>
      </c>
      <c r="E244" s="387">
        <v>0</v>
      </c>
      <c r="F244" s="387">
        <v>0</v>
      </c>
      <c r="G244" s="387">
        <v>0</v>
      </c>
      <c r="H244" s="387">
        <v>1189000</v>
      </c>
      <c r="I244" s="45">
        <f t="shared" si="36"/>
        <v>-1189000</v>
      </c>
      <c r="J244" s="333">
        <f t="shared" si="37"/>
        <v>-1</v>
      </c>
      <c r="K244" s="398">
        <f t="shared" si="45"/>
        <v>14268000</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v>0</v>
      </c>
      <c r="I245" s="45">
        <f t="shared" si="36"/>
        <v>0</v>
      </c>
      <c r="J245" s="333" t="str">
        <f t="shared" si="37"/>
        <v/>
      </c>
      <c r="K245" s="398">
        <f t="shared" si="45"/>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8054027.1045000004</v>
      </c>
      <c r="D246" s="386">
        <v>50000004</v>
      </c>
      <c r="E246" s="387">
        <v>0</v>
      </c>
      <c r="F246" s="387">
        <v>0</v>
      </c>
      <c r="G246" s="387">
        <v>0</v>
      </c>
      <c r="H246" s="387">
        <v>4166667</v>
      </c>
      <c r="I246" s="45">
        <f t="shared" si="36"/>
        <v>-4166667</v>
      </c>
      <c r="J246" s="333">
        <f t="shared" si="37"/>
        <v>-1</v>
      </c>
      <c r="K246" s="398">
        <f t="shared" si="45"/>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v>0</v>
      </c>
      <c r="I247" s="45">
        <f t="shared" si="36"/>
        <v>0</v>
      </c>
      <c r="J247" s="333" t="str">
        <f t="shared" si="37"/>
        <v/>
      </c>
      <c r="K247" s="398">
        <f t="shared" si="45"/>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v>0</v>
      </c>
      <c r="I248" s="45">
        <f t="shared" si="36"/>
        <v>0</v>
      </c>
      <c r="J248" s="333" t="str">
        <f t="shared" si="37"/>
        <v/>
      </c>
      <c r="K248" s="398">
        <f t="shared" si="45"/>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v>0</v>
      </c>
      <c r="I249" s="45">
        <f t="shared" si="36"/>
        <v>0</v>
      </c>
      <c r="J249" s="333" t="str">
        <f t="shared" si="37"/>
        <v/>
      </c>
      <c r="K249" s="398">
        <f t="shared" si="45"/>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v>0</v>
      </c>
      <c r="I250" s="45">
        <f t="shared" si="36"/>
        <v>0</v>
      </c>
      <c r="J250" s="333" t="str">
        <f t="shared" si="37"/>
        <v/>
      </c>
      <c r="K250" s="398">
        <f t="shared" si="45"/>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v>0</v>
      </c>
      <c r="I251" s="45">
        <f t="shared" si="36"/>
        <v>0</v>
      </c>
      <c r="J251" s="333" t="str">
        <f t="shared" si="37"/>
        <v/>
      </c>
      <c r="K251" s="398">
        <f t="shared" si="45"/>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0</v>
      </c>
      <c r="F252" s="387">
        <v>0</v>
      </c>
      <c r="G252" s="387">
        <v>0</v>
      </c>
      <c r="H252" s="387">
        <v>0</v>
      </c>
      <c r="I252" s="45">
        <f t="shared" si="36"/>
        <v>0</v>
      </c>
      <c r="J252" s="333" t="str">
        <f t="shared" si="37"/>
        <v/>
      </c>
      <c r="K252" s="398">
        <f t="shared" si="45"/>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46">SUM(C254:C263)</f>
        <v>358595.85199999996</v>
      </c>
      <c r="D253" s="447">
        <f t="shared" si="46"/>
        <v>44884020</v>
      </c>
      <c r="E253" s="444">
        <f t="shared" si="46"/>
        <v>0</v>
      </c>
      <c r="F253" s="446">
        <f t="shared" si="46"/>
        <v>0</v>
      </c>
      <c r="G253" s="444">
        <f t="shared" si="46"/>
        <v>0</v>
      </c>
      <c r="H253" s="446">
        <f t="shared" si="46"/>
        <v>3740335</v>
      </c>
      <c r="I253" s="45">
        <f t="shared" si="36"/>
        <v>-3740335</v>
      </c>
      <c r="J253" s="333">
        <f t="shared" si="37"/>
        <v>-1</v>
      </c>
      <c r="K253" s="445">
        <f t="shared" si="46"/>
        <v>44884020</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v>0</v>
      </c>
      <c r="I254" s="45">
        <f t="shared" si="36"/>
        <v>0</v>
      </c>
      <c r="J254" s="333" t="str">
        <f t="shared" si="37"/>
        <v/>
      </c>
      <c r="K254" s="398">
        <f t="shared" ref="K254:K263" si="47">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0</v>
      </c>
      <c r="D255" s="386">
        <v>30045504</v>
      </c>
      <c r="E255" s="387">
        <v>0</v>
      </c>
      <c r="F255" s="387">
        <v>0</v>
      </c>
      <c r="G255" s="387">
        <v>0</v>
      </c>
      <c r="H255" s="475">
        <v>2503792</v>
      </c>
      <c r="I255" s="45">
        <f t="shared" si="36"/>
        <v>-2503792</v>
      </c>
      <c r="J255" s="333">
        <f t="shared" si="37"/>
        <v>-1</v>
      </c>
      <c r="K255" s="398">
        <f t="shared" si="47"/>
        <v>30045504</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12238512</v>
      </c>
      <c r="E256" s="387">
        <v>0</v>
      </c>
      <c r="F256" s="387">
        <v>0</v>
      </c>
      <c r="G256" s="387">
        <v>0</v>
      </c>
      <c r="H256" s="475">
        <v>1019876</v>
      </c>
      <c r="I256" s="45">
        <f t="shared" si="36"/>
        <v>-1019876</v>
      </c>
      <c r="J256" s="333">
        <f t="shared" si="37"/>
        <v>-1</v>
      </c>
      <c r="K256" s="398">
        <f t="shared" si="47"/>
        <v>12238512</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2600004</v>
      </c>
      <c r="E257" s="387">
        <v>0</v>
      </c>
      <c r="F257" s="387">
        <v>0</v>
      </c>
      <c r="G257" s="387">
        <v>0</v>
      </c>
      <c r="H257" s="475">
        <v>216667</v>
      </c>
      <c r="I257" s="45">
        <f t="shared" si="36"/>
        <v>-216667</v>
      </c>
      <c r="J257" s="333">
        <f t="shared" si="37"/>
        <v>-1</v>
      </c>
      <c r="K257" s="398">
        <f t="shared" si="47"/>
        <v>2600004</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v>0</v>
      </c>
      <c r="I258" s="45">
        <f t="shared" si="36"/>
        <v>0</v>
      </c>
      <c r="J258" s="333" t="str">
        <f t="shared" si="37"/>
        <v/>
      </c>
      <c r="K258" s="398">
        <f t="shared" si="47"/>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v>0</v>
      </c>
      <c r="I259" s="45">
        <f t="shared" si="36"/>
        <v>0</v>
      </c>
      <c r="J259" s="333" t="str">
        <f t="shared" si="37"/>
        <v/>
      </c>
      <c r="K259" s="398">
        <f t="shared" si="47"/>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v>0</v>
      </c>
      <c r="I260" s="45">
        <f t="shared" si="36"/>
        <v>0</v>
      </c>
      <c r="J260" s="333" t="str">
        <f t="shared" si="37"/>
        <v/>
      </c>
      <c r="K260" s="398">
        <f t="shared" si="47"/>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v>0</v>
      </c>
      <c r="I261" s="45">
        <f t="shared" si="36"/>
        <v>0</v>
      </c>
      <c r="J261" s="333" t="str">
        <f t="shared" si="37"/>
        <v/>
      </c>
      <c r="K261" s="398">
        <f t="shared" si="47"/>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v>0</v>
      </c>
      <c r="I262" s="45">
        <f t="shared" si="36"/>
        <v>0</v>
      </c>
      <c r="J262" s="333" t="str">
        <f t="shared" si="37"/>
        <v/>
      </c>
      <c r="K262" s="398">
        <f t="shared" si="47"/>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358595.85199999996</v>
      </c>
      <c r="D263" s="386">
        <v>0</v>
      </c>
      <c r="E263" s="387">
        <v>0</v>
      </c>
      <c r="F263" s="475">
        <v>0</v>
      </c>
      <c r="G263" s="387">
        <v>0</v>
      </c>
      <c r="H263" s="475">
        <v>0</v>
      </c>
      <c r="I263" s="45">
        <f t="shared" si="36"/>
        <v>0</v>
      </c>
      <c r="J263" s="333" t="str">
        <f t="shared" si="37"/>
        <v/>
      </c>
      <c r="K263" s="398">
        <f t="shared" si="47"/>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48">SUM(C265:C274)</f>
        <v>9292831.7949999999</v>
      </c>
      <c r="D264" s="447">
        <f t="shared" si="48"/>
        <v>6500004</v>
      </c>
      <c r="E264" s="444">
        <f t="shared" si="48"/>
        <v>0</v>
      </c>
      <c r="F264" s="446">
        <f t="shared" si="48"/>
        <v>0</v>
      </c>
      <c r="G264" s="444">
        <f t="shared" si="48"/>
        <v>0</v>
      </c>
      <c r="H264" s="446">
        <f t="shared" si="48"/>
        <v>541667</v>
      </c>
      <c r="I264" s="45">
        <f t="shared" ref="I264:I327" si="49">G264-H264</f>
        <v>-541667</v>
      </c>
      <c r="J264" s="333">
        <f t="shared" ref="J264:J327" si="50">IF(I264=0,"",I264/H264)</f>
        <v>-1</v>
      </c>
      <c r="K264" s="445">
        <f t="shared" si="48"/>
        <v>6500004</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v>0</v>
      </c>
      <c r="I265" s="45">
        <f t="shared" si="49"/>
        <v>0</v>
      </c>
      <c r="J265" s="333" t="str">
        <f t="shared" si="50"/>
        <v/>
      </c>
      <c r="K265" s="398">
        <f t="shared" ref="K265:K274" si="51">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v>0</v>
      </c>
      <c r="I266" s="45">
        <f t="shared" si="49"/>
        <v>0</v>
      </c>
      <c r="J266" s="333" t="str">
        <f t="shared" si="50"/>
        <v/>
      </c>
      <c r="K266" s="398">
        <f t="shared" si="51"/>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1">
        <v>0</v>
      </c>
      <c r="D267" s="386">
        <v>0</v>
      </c>
      <c r="E267" s="387">
        <v>0</v>
      </c>
      <c r="F267" s="387">
        <v>0</v>
      </c>
      <c r="G267" s="387">
        <v>0</v>
      </c>
      <c r="H267" s="475">
        <v>0</v>
      </c>
      <c r="I267" s="45">
        <f t="shared" si="49"/>
        <v>0</v>
      </c>
      <c r="J267" s="333" t="str">
        <f t="shared" si="50"/>
        <v/>
      </c>
      <c r="K267" s="398">
        <f t="shared" si="51"/>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9292831.7949999999</v>
      </c>
      <c r="D268" s="386">
        <v>6500004</v>
      </c>
      <c r="E268" s="387">
        <v>0</v>
      </c>
      <c r="F268" s="387">
        <v>0</v>
      </c>
      <c r="G268" s="387">
        <v>0</v>
      </c>
      <c r="H268" s="475">
        <v>541667</v>
      </c>
      <c r="I268" s="45">
        <f t="shared" si="49"/>
        <v>-541667</v>
      </c>
      <c r="J268" s="333">
        <f t="shared" si="50"/>
        <v>-1</v>
      </c>
      <c r="K268" s="398">
        <f t="shared" si="51"/>
        <v>6500004</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v>0</v>
      </c>
      <c r="I269" s="45">
        <f t="shared" si="49"/>
        <v>0</v>
      </c>
      <c r="J269" s="333" t="str">
        <f t="shared" si="50"/>
        <v/>
      </c>
      <c r="K269" s="398">
        <f t="shared" si="51"/>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v>0</v>
      </c>
      <c r="I270" s="45">
        <f t="shared" si="49"/>
        <v>0</v>
      </c>
      <c r="J270" s="333" t="str">
        <f t="shared" si="50"/>
        <v/>
      </c>
      <c r="K270" s="398">
        <f t="shared" si="51"/>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v>0</v>
      </c>
      <c r="I271" s="45">
        <f t="shared" si="49"/>
        <v>0</v>
      </c>
      <c r="J271" s="333" t="str">
        <f t="shared" si="50"/>
        <v/>
      </c>
      <c r="K271" s="398">
        <f t="shared" si="51"/>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v>0</v>
      </c>
      <c r="I272" s="45">
        <f t="shared" si="49"/>
        <v>0</v>
      </c>
      <c r="J272" s="333" t="str">
        <f t="shared" si="50"/>
        <v/>
      </c>
      <c r="K272" s="398">
        <f t="shared" si="51"/>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v>0</v>
      </c>
      <c r="I273" s="45">
        <f t="shared" si="49"/>
        <v>0</v>
      </c>
      <c r="J273" s="333" t="str">
        <f t="shared" si="50"/>
        <v/>
      </c>
      <c r="K273" s="398">
        <f t="shared" si="51"/>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v>0</v>
      </c>
      <c r="I274" s="45">
        <f t="shared" si="49"/>
        <v>0</v>
      </c>
      <c r="J274" s="333" t="str">
        <f t="shared" si="50"/>
        <v/>
      </c>
      <c r="K274" s="398">
        <f t="shared" si="51"/>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52">SUM(C276:C285)</f>
        <v>508367374.64364904</v>
      </c>
      <c r="D275" s="447">
        <f t="shared" si="52"/>
        <v>681486072</v>
      </c>
      <c r="E275" s="444">
        <f t="shared" si="52"/>
        <v>0</v>
      </c>
      <c r="F275" s="446">
        <f t="shared" si="52"/>
        <v>0</v>
      </c>
      <c r="G275" s="444">
        <f t="shared" si="52"/>
        <v>0</v>
      </c>
      <c r="H275" s="446">
        <f t="shared" si="52"/>
        <v>56790506</v>
      </c>
      <c r="I275" s="45">
        <f t="shared" si="49"/>
        <v>-56790506</v>
      </c>
      <c r="J275" s="333">
        <f t="shared" si="50"/>
        <v>-1</v>
      </c>
      <c r="K275" s="445">
        <f>SUM(K276:K285)</f>
        <v>681486072</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202711903.68800002</v>
      </c>
      <c r="D276" s="386">
        <v>522053064</v>
      </c>
      <c r="E276" s="387">
        <v>0</v>
      </c>
      <c r="F276" s="475">
        <v>0</v>
      </c>
      <c r="G276" s="387">
        <v>0</v>
      </c>
      <c r="H276" s="475">
        <v>43504422</v>
      </c>
      <c r="I276" s="45">
        <f t="shared" si="49"/>
        <v>-43504422</v>
      </c>
      <c r="J276" s="333">
        <f t="shared" si="50"/>
        <v>-1</v>
      </c>
      <c r="K276" s="398">
        <f t="shared" ref="K276:K285" si="53">D276</f>
        <v>522053064</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305655470.95564902</v>
      </c>
      <c r="D277" s="386">
        <v>159433008</v>
      </c>
      <c r="E277" s="387">
        <v>0</v>
      </c>
      <c r="F277" s="387">
        <v>0</v>
      </c>
      <c r="G277" s="387">
        <v>0</v>
      </c>
      <c r="H277" s="387">
        <v>13286084</v>
      </c>
      <c r="I277" s="45">
        <f t="shared" si="49"/>
        <v>-13286084</v>
      </c>
      <c r="J277" s="333">
        <f t="shared" si="50"/>
        <v>-1</v>
      </c>
      <c r="K277" s="398">
        <f t="shared" si="53"/>
        <v>159433008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387">
        <v>0</v>
      </c>
      <c r="I278" s="45">
        <f t="shared" si="49"/>
        <v>0</v>
      </c>
      <c r="J278" s="333" t="str">
        <f t="shared" si="50"/>
        <v/>
      </c>
      <c r="K278" s="398">
        <f t="shared" si="53"/>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387">
        <v>0</v>
      </c>
      <c r="I279" s="45">
        <f t="shared" si="49"/>
        <v>0</v>
      </c>
      <c r="J279" s="333" t="str">
        <f t="shared" si="50"/>
        <v/>
      </c>
      <c r="K279" s="398">
        <f t="shared" si="53"/>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387">
        <v>0</v>
      </c>
      <c r="I280" s="45">
        <f t="shared" si="49"/>
        <v>0</v>
      </c>
      <c r="J280" s="333" t="str">
        <f t="shared" si="50"/>
        <v/>
      </c>
      <c r="K280" s="398">
        <f t="shared" si="53"/>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387">
        <v>0</v>
      </c>
      <c r="I281" s="45">
        <f t="shared" si="49"/>
        <v>0</v>
      </c>
      <c r="J281" s="333" t="str">
        <f t="shared" si="50"/>
        <v/>
      </c>
      <c r="K281" s="398">
        <f t="shared" si="53"/>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387">
        <v>0</v>
      </c>
      <c r="I282" s="45">
        <f t="shared" si="49"/>
        <v>0</v>
      </c>
      <c r="J282" s="333" t="str">
        <f t="shared" si="50"/>
        <v/>
      </c>
      <c r="K282" s="398">
        <f t="shared" si="53"/>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387">
        <v>0</v>
      </c>
      <c r="I283" s="45">
        <f t="shared" si="49"/>
        <v>0</v>
      </c>
      <c r="J283" s="333" t="str">
        <f t="shared" si="50"/>
        <v/>
      </c>
      <c r="K283" s="398">
        <f t="shared" si="53"/>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387">
        <v>0</v>
      </c>
      <c r="I284" s="45">
        <f t="shared" si="49"/>
        <v>0</v>
      </c>
      <c r="J284" s="333" t="str">
        <f t="shared" si="50"/>
        <v/>
      </c>
      <c r="K284" s="398">
        <f t="shared" si="53"/>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387">
        <v>0</v>
      </c>
      <c r="I285" s="45">
        <f t="shared" si="49"/>
        <v>0</v>
      </c>
      <c r="J285" s="333" t="str">
        <f t="shared" si="50"/>
        <v/>
      </c>
      <c r="K285" s="398">
        <f t="shared" si="53"/>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54">SUM(C287:C296)</f>
        <v>0</v>
      </c>
      <c r="D286" s="447">
        <f t="shared" si="54"/>
        <v>0</v>
      </c>
      <c r="E286" s="444">
        <f t="shared" si="54"/>
        <v>0</v>
      </c>
      <c r="F286" s="446">
        <f t="shared" si="54"/>
        <v>0</v>
      </c>
      <c r="G286" s="444">
        <f t="shared" si="54"/>
        <v>0</v>
      </c>
      <c r="H286" s="446">
        <f t="shared" si="54"/>
        <v>0</v>
      </c>
      <c r="I286" s="45">
        <f t="shared" si="49"/>
        <v>0</v>
      </c>
      <c r="J286" s="333" t="str">
        <f t="shared" si="50"/>
        <v/>
      </c>
      <c r="K286" s="445">
        <f t="shared" si="54"/>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475">
        <v>0</v>
      </c>
      <c r="I287" s="45">
        <f t="shared" si="49"/>
        <v>0</v>
      </c>
      <c r="J287" s="333" t="str">
        <f t="shared" si="50"/>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475">
        <v>0</v>
      </c>
      <c r="I288" s="45">
        <f t="shared" si="49"/>
        <v>0</v>
      </c>
      <c r="J288" s="333" t="str">
        <f t="shared" si="50"/>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475">
        <v>0</v>
      </c>
      <c r="I289" s="45">
        <f t="shared" si="49"/>
        <v>0</v>
      </c>
      <c r="J289" s="333" t="str">
        <f t="shared" si="50"/>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475">
        <v>0</v>
      </c>
      <c r="I290" s="45">
        <f t="shared" si="49"/>
        <v>0</v>
      </c>
      <c r="J290" s="333" t="str">
        <f t="shared" si="50"/>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475">
        <v>0</v>
      </c>
      <c r="I291" s="45">
        <f t="shared" si="49"/>
        <v>0</v>
      </c>
      <c r="J291" s="333" t="str">
        <f t="shared" si="50"/>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475">
        <v>0</v>
      </c>
      <c r="I292" s="45">
        <f t="shared" si="49"/>
        <v>0</v>
      </c>
      <c r="J292" s="333" t="str">
        <f t="shared" si="50"/>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475">
        <v>0</v>
      </c>
      <c r="I293" s="45">
        <f t="shared" si="49"/>
        <v>0</v>
      </c>
      <c r="J293" s="333" t="str">
        <f t="shared" si="50"/>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475">
        <v>0</v>
      </c>
      <c r="I294" s="45">
        <f t="shared" si="49"/>
        <v>0</v>
      </c>
      <c r="J294" s="333" t="str">
        <f t="shared" si="50"/>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475">
        <v>0</v>
      </c>
      <c r="I295" s="45">
        <f t="shared" si="49"/>
        <v>0</v>
      </c>
      <c r="J295" s="333" t="str">
        <f t="shared" si="50"/>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475">
        <v>0</v>
      </c>
      <c r="I296" s="45">
        <f t="shared" si="49"/>
        <v>0</v>
      </c>
      <c r="J296" s="333" t="str">
        <f t="shared" si="50"/>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55">SUM(C298:C307)</f>
        <v>0</v>
      </c>
      <c r="D297" s="447">
        <f t="shared" si="55"/>
        <v>0</v>
      </c>
      <c r="E297" s="444">
        <f t="shared" si="55"/>
        <v>0</v>
      </c>
      <c r="F297" s="446">
        <f t="shared" si="55"/>
        <v>0</v>
      </c>
      <c r="G297" s="444">
        <f t="shared" si="55"/>
        <v>0</v>
      </c>
      <c r="H297" s="446">
        <f t="shared" si="55"/>
        <v>0</v>
      </c>
      <c r="I297" s="45">
        <f t="shared" si="49"/>
        <v>0</v>
      </c>
      <c r="J297" s="333" t="str">
        <f t="shared" si="50"/>
        <v/>
      </c>
      <c r="K297" s="445">
        <f t="shared" si="55"/>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v>0</v>
      </c>
      <c r="I298" s="45">
        <f t="shared" si="49"/>
        <v>0</v>
      </c>
      <c r="J298" s="333" t="str">
        <f t="shared" si="50"/>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v>0</v>
      </c>
      <c r="I299" s="45">
        <f t="shared" si="49"/>
        <v>0</v>
      </c>
      <c r="J299" s="333" t="str">
        <f t="shared" si="50"/>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v>0</v>
      </c>
      <c r="I300" s="45">
        <f t="shared" si="49"/>
        <v>0</v>
      </c>
      <c r="J300" s="333" t="str">
        <f t="shared" si="50"/>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v>0</v>
      </c>
      <c r="I301" s="45">
        <f t="shared" si="49"/>
        <v>0</v>
      </c>
      <c r="J301" s="333" t="str">
        <f t="shared" si="50"/>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v>0</v>
      </c>
      <c r="I302" s="45">
        <f t="shared" si="49"/>
        <v>0</v>
      </c>
      <c r="J302" s="333" t="str">
        <f t="shared" si="50"/>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v>0</v>
      </c>
      <c r="I303" s="45">
        <f t="shared" si="49"/>
        <v>0</v>
      </c>
      <c r="J303" s="333" t="str">
        <f t="shared" si="50"/>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v>0</v>
      </c>
      <c r="I304" s="45">
        <f t="shared" si="49"/>
        <v>0</v>
      </c>
      <c r="J304" s="333" t="str">
        <f t="shared" si="50"/>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v>0</v>
      </c>
      <c r="I305" s="45">
        <f t="shared" si="49"/>
        <v>0</v>
      </c>
      <c r="J305" s="333" t="str">
        <f t="shared" si="50"/>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v>0</v>
      </c>
      <c r="I306" s="45">
        <f t="shared" si="49"/>
        <v>0</v>
      </c>
      <c r="J306" s="333" t="str">
        <f t="shared" si="50"/>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v>0</v>
      </c>
      <c r="I307" s="45">
        <f t="shared" si="49"/>
        <v>0</v>
      </c>
      <c r="J307" s="333" t="str">
        <f t="shared" si="50"/>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56">SUM(C309:C318)</f>
        <v>0</v>
      </c>
      <c r="D308" s="447">
        <f t="shared" si="56"/>
        <v>0</v>
      </c>
      <c r="E308" s="444">
        <f t="shared" si="56"/>
        <v>0</v>
      </c>
      <c r="F308" s="446">
        <f t="shared" si="56"/>
        <v>0</v>
      </c>
      <c r="G308" s="444">
        <f t="shared" si="56"/>
        <v>0</v>
      </c>
      <c r="H308" s="446">
        <f t="shared" si="56"/>
        <v>0</v>
      </c>
      <c r="I308" s="45">
        <f t="shared" si="49"/>
        <v>0</v>
      </c>
      <c r="J308" s="333" t="str">
        <f t="shared" si="50"/>
        <v/>
      </c>
      <c r="K308" s="445">
        <f t="shared" si="56"/>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475">
        <v>0</v>
      </c>
      <c r="I309" s="45">
        <f t="shared" si="49"/>
        <v>0</v>
      </c>
      <c r="J309" s="333" t="str">
        <f t="shared" si="50"/>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475">
        <v>0</v>
      </c>
      <c r="I310" s="45">
        <f t="shared" si="49"/>
        <v>0</v>
      </c>
      <c r="J310" s="333" t="str">
        <f t="shared" si="50"/>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475">
        <v>0</v>
      </c>
      <c r="I311" s="45">
        <f t="shared" si="49"/>
        <v>0</v>
      </c>
      <c r="J311" s="333" t="str">
        <f t="shared" si="50"/>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475">
        <v>0</v>
      </c>
      <c r="I312" s="45">
        <f t="shared" si="49"/>
        <v>0</v>
      </c>
      <c r="J312" s="333" t="str">
        <f t="shared" si="50"/>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475">
        <v>0</v>
      </c>
      <c r="I313" s="45">
        <f t="shared" si="49"/>
        <v>0</v>
      </c>
      <c r="J313" s="333" t="str">
        <f t="shared" si="50"/>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475">
        <v>0</v>
      </c>
      <c r="I314" s="45">
        <f t="shared" si="49"/>
        <v>0</v>
      </c>
      <c r="J314" s="333" t="str">
        <f t="shared" si="50"/>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475">
        <v>0</v>
      </c>
      <c r="I315" s="45">
        <f t="shared" si="49"/>
        <v>0</v>
      </c>
      <c r="J315" s="333" t="str">
        <f t="shared" si="50"/>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475">
        <v>0</v>
      </c>
      <c r="I316" s="45">
        <f t="shared" si="49"/>
        <v>0</v>
      </c>
      <c r="J316" s="333" t="str">
        <f t="shared" si="50"/>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475">
        <v>0</v>
      </c>
      <c r="I317" s="45">
        <f t="shared" si="49"/>
        <v>0</v>
      </c>
      <c r="J317" s="333" t="str">
        <f t="shared" si="50"/>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475">
        <v>0</v>
      </c>
      <c r="I318" s="45">
        <f t="shared" si="49"/>
        <v>0</v>
      </c>
      <c r="J318" s="333" t="str">
        <f t="shared" si="50"/>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57">SUM(C320:C329)</f>
        <v>0</v>
      </c>
      <c r="D319" s="447">
        <f t="shared" si="57"/>
        <v>0</v>
      </c>
      <c r="E319" s="444">
        <f t="shared" si="57"/>
        <v>0</v>
      </c>
      <c r="F319" s="446">
        <f t="shared" si="57"/>
        <v>0</v>
      </c>
      <c r="G319" s="444">
        <f t="shared" si="57"/>
        <v>0</v>
      </c>
      <c r="H319" s="446">
        <f t="shared" si="57"/>
        <v>0</v>
      </c>
      <c r="I319" s="45">
        <f t="shared" si="49"/>
        <v>0</v>
      </c>
      <c r="J319" s="333" t="str">
        <f t="shared" si="50"/>
        <v/>
      </c>
      <c r="K319" s="445">
        <f t="shared" si="57"/>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49"/>
        <v>0</v>
      </c>
      <c r="J320" s="333" t="str">
        <f t="shared" si="50"/>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49"/>
        <v>0</v>
      </c>
      <c r="J321" s="333" t="str">
        <f t="shared" si="50"/>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49"/>
        <v>0</v>
      </c>
      <c r="J322" s="333" t="str">
        <f t="shared" si="50"/>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49"/>
        <v>0</v>
      </c>
      <c r="J323" s="333" t="str">
        <f t="shared" si="50"/>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49"/>
        <v>0</v>
      </c>
      <c r="J324" s="333" t="str">
        <f t="shared" si="50"/>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49"/>
        <v>0</v>
      </c>
      <c r="J325" s="333" t="str">
        <f t="shared" si="50"/>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49"/>
        <v>0</v>
      </c>
      <c r="J326" s="333" t="str">
        <f t="shared" si="50"/>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49"/>
        <v>0</v>
      </c>
      <c r="J327" s="333" t="str">
        <f t="shared" si="50"/>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58">G328-H328</f>
        <v>0</v>
      </c>
      <c r="J328" s="333" t="str">
        <f t="shared" ref="J328:J343" si="59">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58"/>
        <v>0</v>
      </c>
      <c r="J329" s="333" t="str">
        <f t="shared" si="59"/>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60">SUM(C331:C340)</f>
        <v>0</v>
      </c>
      <c r="D330" s="447">
        <f t="shared" si="60"/>
        <v>0</v>
      </c>
      <c r="E330" s="444">
        <f t="shared" si="60"/>
        <v>0</v>
      </c>
      <c r="F330" s="446">
        <f t="shared" si="60"/>
        <v>0</v>
      </c>
      <c r="G330" s="444">
        <f t="shared" si="60"/>
        <v>0</v>
      </c>
      <c r="H330" s="446">
        <f t="shared" si="60"/>
        <v>0</v>
      </c>
      <c r="I330" s="45">
        <f t="shared" si="58"/>
        <v>0</v>
      </c>
      <c r="J330" s="333" t="str">
        <f t="shared" si="59"/>
        <v/>
      </c>
      <c r="K330" s="445">
        <f t="shared" si="60"/>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58"/>
        <v>0</v>
      </c>
      <c r="J331" s="333" t="str">
        <f t="shared" si="59"/>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58"/>
        <v>0</v>
      </c>
      <c r="J332" s="333" t="str">
        <f t="shared" si="59"/>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58"/>
        <v>0</v>
      </c>
      <c r="J333" s="333" t="str">
        <f t="shared" si="59"/>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58"/>
        <v>0</v>
      </c>
      <c r="J334" s="333" t="str">
        <f t="shared" si="59"/>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58"/>
        <v>0</v>
      </c>
      <c r="J335" s="333" t="str">
        <f t="shared" si="59"/>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58"/>
        <v>0</v>
      </c>
      <c r="J336" s="333" t="str">
        <f t="shared" si="59"/>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58"/>
        <v>0</v>
      </c>
      <c r="J337" s="333" t="str">
        <f t="shared" si="59"/>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58"/>
        <v>0</v>
      </c>
      <c r="J338" s="333" t="str">
        <f t="shared" si="59"/>
        <v/>
      </c>
      <c r="K338" s="398">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58"/>
        <v>0</v>
      </c>
      <c r="J339" s="333" t="str">
        <f t="shared" si="59"/>
        <v/>
      </c>
      <c r="K339" s="398">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58"/>
        <v>0</v>
      </c>
      <c r="J340" s="333" t="str">
        <f t="shared" si="59"/>
        <v/>
      </c>
      <c r="K340" s="398">
        <v>0</v>
      </c>
      <c r="L340" s="455">
        <f t="shared" ref="L340:W340" si="61">SUM(L175:L251)</f>
        <v>0</v>
      </c>
      <c r="M340" s="456">
        <f t="shared" si="61"/>
        <v>0</v>
      </c>
      <c r="N340" s="456">
        <f t="shared" si="61"/>
        <v>0</v>
      </c>
      <c r="O340" s="456">
        <f t="shared" si="61"/>
        <v>0</v>
      </c>
      <c r="P340" s="456">
        <f t="shared" si="61"/>
        <v>0</v>
      </c>
      <c r="Q340" s="456">
        <f t="shared" si="61"/>
        <v>0</v>
      </c>
      <c r="R340" s="456">
        <f t="shared" si="61"/>
        <v>0</v>
      </c>
      <c r="S340" s="456">
        <f t="shared" si="61"/>
        <v>0</v>
      </c>
      <c r="T340" s="456">
        <f t="shared" si="61"/>
        <v>0</v>
      </c>
      <c r="U340" s="456">
        <f t="shared" si="61"/>
        <v>0</v>
      </c>
      <c r="V340" s="456">
        <f t="shared" si="61"/>
        <v>0</v>
      </c>
      <c r="W340" s="456">
        <f t="shared" si="61"/>
        <v>0</v>
      </c>
    </row>
    <row r="341" spans="1:24" ht="12.75" customHeight="1" x14ac:dyDescent="0.2">
      <c r="A341" s="720" t="s">
        <v>821</v>
      </c>
      <c r="B341" s="721"/>
      <c r="C341" s="511">
        <f>C176+C187+C198+C209+C220+C231+C242+C253+C264+C286+C297+C308+C319+C330+C275</f>
        <v>1251680775.5331488</v>
      </c>
      <c r="D341" s="478">
        <f t="shared" ref="D341:K341" si="62">D176+D187+D198+D209+D220+D231+D242+D253+D264+D286+D297+D308+D319+D330+D275</f>
        <v>1889186104</v>
      </c>
      <c r="E341" s="433">
        <f t="shared" si="62"/>
        <v>0</v>
      </c>
      <c r="F341" s="477">
        <f t="shared" si="62"/>
        <v>85297669.118499994</v>
      </c>
      <c r="G341" s="433">
        <f t="shared" si="62"/>
        <v>85297669.118499994</v>
      </c>
      <c r="H341" s="477">
        <f t="shared" si="62"/>
        <v>157432175.33333331</v>
      </c>
      <c r="I341" s="433">
        <f t="shared" si="58"/>
        <v>-72134506.214833319</v>
      </c>
      <c r="J341" s="433">
        <f t="shared" si="59"/>
        <v>-0.45819417829996911</v>
      </c>
      <c r="K341" s="516">
        <f t="shared" si="62"/>
        <v>1889186104</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58"/>
        <v>0</v>
      </c>
      <c r="J342" s="51" t="str">
        <f t="shared" si="59"/>
        <v/>
      </c>
      <c r="K342" s="195"/>
      <c r="L342" s="483">
        <f t="shared" ref="L342:W342" si="63">L171-L340</f>
        <v>0</v>
      </c>
      <c r="M342" s="484">
        <f t="shared" si="63"/>
        <v>0</v>
      </c>
      <c r="N342" s="484">
        <f t="shared" si="63"/>
        <v>0</v>
      </c>
      <c r="O342" s="484">
        <f t="shared" si="63"/>
        <v>0</v>
      </c>
      <c r="P342" s="484">
        <f t="shared" si="63"/>
        <v>0</v>
      </c>
      <c r="Q342" s="484">
        <f t="shared" si="63"/>
        <v>0</v>
      </c>
      <c r="R342" s="484">
        <f t="shared" si="63"/>
        <v>0</v>
      </c>
      <c r="S342" s="484">
        <f t="shared" si="63"/>
        <v>0</v>
      </c>
      <c r="T342" s="484">
        <f t="shared" si="63"/>
        <v>0</v>
      </c>
      <c r="U342" s="484">
        <f t="shared" si="63"/>
        <v>0</v>
      </c>
      <c r="V342" s="484">
        <f t="shared" si="63"/>
        <v>0</v>
      </c>
      <c r="W342" s="484">
        <f t="shared" si="63"/>
        <v>0</v>
      </c>
    </row>
    <row r="343" spans="1:24" s="489" customFormat="1" ht="13.5" customHeight="1" thickTop="1" x14ac:dyDescent="0.2">
      <c r="A343" s="54" t="s">
        <v>783</v>
      </c>
      <c r="B343" s="480"/>
      <c r="C343" s="512">
        <f>C172+C341</f>
        <v>1251680775.5331488</v>
      </c>
      <c r="D343" s="515">
        <f t="shared" ref="D343:K343" si="64">D172+D341</f>
        <v>1889186104</v>
      </c>
      <c r="E343" s="56">
        <f t="shared" si="64"/>
        <v>0</v>
      </c>
      <c r="F343" s="482">
        <f t="shared" si="64"/>
        <v>85297669.118499994</v>
      </c>
      <c r="G343" s="56">
        <f t="shared" si="64"/>
        <v>85297669.118499994</v>
      </c>
      <c r="H343" s="482">
        <f t="shared" si="64"/>
        <v>157432175.33333331</v>
      </c>
      <c r="I343" s="56">
        <f t="shared" si="58"/>
        <v>-72134506.214833319</v>
      </c>
      <c r="J343" s="56">
        <f t="shared" si="59"/>
        <v>-0.45819417829996911</v>
      </c>
      <c r="K343" s="236">
        <f t="shared" si="64"/>
        <v>1889186104</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8"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17" activePane="bottomRight" state="frozen"/>
      <selection pane="topRight"/>
      <selection pane="bottomLeft"/>
      <selection pane="bottomRight" activeCell="L38" sqref="L3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35" t="str">
        <f>muni&amp; " - "&amp;S71E&amp; " - "&amp;date</f>
        <v>LIM354 Polokwane - Table C6 Monthly Budget Statement - Financial Position - M01 July</v>
      </c>
      <c r="B1" s="1035"/>
      <c r="C1" s="1035"/>
      <c r="D1" s="1035"/>
      <c r="E1" s="1035"/>
      <c r="F1" s="1035"/>
      <c r="G1" s="1035"/>
    </row>
    <row r="2" spans="1:8" x14ac:dyDescent="0.2">
      <c r="A2" s="1020" t="str">
        <f>desc</f>
        <v>Description</v>
      </c>
      <c r="B2" s="1013" t="str">
        <f>head27</f>
        <v>Ref</v>
      </c>
      <c r="C2" s="141" t="str">
        <f>Head1</f>
        <v>2018/19</v>
      </c>
      <c r="D2" s="246" t="str">
        <f>Head2</f>
        <v>Budget Year 2019/20</v>
      </c>
      <c r="E2" s="230"/>
      <c r="F2" s="230"/>
      <c r="G2" s="231"/>
    </row>
    <row r="3" spans="1:8" ht="20.399999999999999" x14ac:dyDescent="0.2">
      <c r="A3" s="1021"/>
      <c r="B3" s="1024"/>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142983081</v>
      </c>
      <c r="D7" s="763">
        <v>166129395.45000017</v>
      </c>
      <c r="E7" s="743">
        <v>0</v>
      </c>
      <c r="F7" s="743">
        <f>'C7-CFlow'!G41</f>
        <v>248641009.54999992</v>
      </c>
      <c r="G7" s="745">
        <v>109347408.36000001</v>
      </c>
    </row>
    <row r="8" spans="1:8" ht="12.75" customHeight="1" x14ac:dyDescent="0.2">
      <c r="A8" s="40" t="s">
        <v>610</v>
      </c>
      <c r="B8" s="170"/>
      <c r="C8" s="758">
        <v>122636522</v>
      </c>
      <c r="D8" s="763">
        <v>131000000</v>
      </c>
      <c r="E8" s="743">
        <v>0</v>
      </c>
      <c r="F8" s="743">
        <v>0</v>
      </c>
      <c r="G8" s="745">
        <v>50200000</v>
      </c>
    </row>
    <row r="9" spans="1:8" ht="12.75" customHeight="1" x14ac:dyDescent="0.2">
      <c r="A9" s="40" t="s">
        <v>608</v>
      </c>
      <c r="B9" s="170"/>
      <c r="C9" s="758">
        <v>1232709412</v>
      </c>
      <c r="D9" s="763">
        <v>534565270.20000005</v>
      </c>
      <c r="E9" s="743">
        <v>0</v>
      </c>
      <c r="F9" s="743">
        <v>1302709111</v>
      </c>
      <c r="G9" s="745">
        <v>491894843.06999993</v>
      </c>
    </row>
    <row r="10" spans="1:8" ht="12.75" customHeight="1" x14ac:dyDescent="0.2">
      <c r="A10" s="40" t="s">
        <v>609</v>
      </c>
      <c r="B10" s="170"/>
      <c r="C10" s="758">
        <v>168980762</v>
      </c>
      <c r="D10" s="763">
        <v>45000000</v>
      </c>
      <c r="E10" s="743">
        <v>0</v>
      </c>
      <c r="F10" s="743">
        <v>168980762</v>
      </c>
      <c r="G10" s="745">
        <v>45000000</v>
      </c>
    </row>
    <row r="11" spans="1:8" ht="12.75" customHeight="1" x14ac:dyDescent="0.2">
      <c r="A11" s="40" t="s">
        <v>808</v>
      </c>
      <c r="B11" s="170"/>
      <c r="C11" s="758">
        <v>148243</v>
      </c>
      <c r="D11" s="763">
        <v>500000</v>
      </c>
      <c r="E11" s="743">
        <v>0</v>
      </c>
      <c r="F11" s="743">
        <v>763056.9</v>
      </c>
      <c r="G11" s="745">
        <v>500000</v>
      </c>
    </row>
    <row r="12" spans="1:8" ht="12.75" customHeight="1" x14ac:dyDescent="0.2">
      <c r="A12" s="40" t="s">
        <v>607</v>
      </c>
      <c r="B12" s="170"/>
      <c r="C12" s="758">
        <v>201135862.36000001</v>
      </c>
      <c r="D12" s="763">
        <v>96214114</v>
      </c>
      <c r="E12" s="743">
        <v>0</v>
      </c>
      <c r="F12" s="743">
        <v>15471986.549999997</v>
      </c>
      <c r="G12" s="745">
        <v>36214114</v>
      </c>
    </row>
    <row r="13" spans="1:8" ht="12.75" customHeight="1" x14ac:dyDescent="0.2">
      <c r="A13" s="93" t="s">
        <v>652</v>
      </c>
      <c r="B13" s="234"/>
      <c r="C13" s="244">
        <f>SUM(C7:C12)</f>
        <v>1868593882.3600001</v>
      </c>
      <c r="D13" s="261">
        <f>SUM(D7:D12)</f>
        <v>973408779.65000021</v>
      </c>
      <c r="E13" s="74">
        <f>SUM(E7:E12)</f>
        <v>0</v>
      </c>
      <c r="F13" s="74">
        <f>SUM(F7:F12)</f>
        <v>1736565926</v>
      </c>
      <c r="G13" s="146">
        <f>SUM(G7:G12)</f>
        <v>733156365.42999995</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0</v>
      </c>
      <c r="D16" s="763">
        <v>0</v>
      </c>
      <c r="E16" s="743">
        <v>0</v>
      </c>
      <c r="F16" s="743">
        <v>0</v>
      </c>
      <c r="G16" s="745">
        <v>0</v>
      </c>
      <c r="H16" s="40"/>
    </row>
    <row r="17" spans="1:8" ht="12.75" customHeight="1" x14ac:dyDescent="0.2">
      <c r="A17" s="40" t="s">
        <v>563</v>
      </c>
      <c r="B17" s="170"/>
      <c r="C17" s="758">
        <v>1000.0000001</v>
      </c>
      <c r="D17" s="763">
        <v>1000</v>
      </c>
      <c r="E17" s="743">
        <v>0</v>
      </c>
      <c r="F17" s="743">
        <v>1000.0000001</v>
      </c>
      <c r="G17" s="745">
        <v>0</v>
      </c>
      <c r="H17" s="40"/>
    </row>
    <row r="18" spans="1:8" ht="12.75" customHeight="1" x14ac:dyDescent="0.2">
      <c r="A18" s="40" t="s">
        <v>605</v>
      </c>
      <c r="B18" s="170"/>
      <c r="C18" s="758">
        <v>732808388</v>
      </c>
      <c r="D18" s="763">
        <v>732808388</v>
      </c>
      <c r="E18" s="743">
        <v>0</v>
      </c>
      <c r="F18" s="743">
        <v>732808388</v>
      </c>
      <c r="G18" s="745">
        <v>658489237</v>
      </c>
      <c r="H18" s="40"/>
    </row>
    <row r="19" spans="1:8" ht="12.75" customHeight="1" x14ac:dyDescent="0.2">
      <c r="A19" s="40" t="s">
        <v>286</v>
      </c>
      <c r="B19" s="170"/>
      <c r="C19" s="758">
        <v>0</v>
      </c>
      <c r="D19" s="763">
        <v>0</v>
      </c>
      <c r="E19" s="743">
        <v>0</v>
      </c>
      <c r="F19" s="743">
        <v>0</v>
      </c>
      <c r="G19" s="745">
        <v>0</v>
      </c>
      <c r="H19" s="40"/>
    </row>
    <row r="20" spans="1:8" ht="12.75" customHeight="1" x14ac:dyDescent="0.2">
      <c r="A20" s="40" t="s">
        <v>604</v>
      </c>
      <c r="B20" s="170"/>
      <c r="C20" s="758">
        <v>14264086538.470098</v>
      </c>
      <c r="D20" s="763">
        <v>15950812807</v>
      </c>
      <c r="E20" s="743">
        <v>0</v>
      </c>
      <c r="F20" s="743">
        <v>13700031785.41</v>
      </c>
      <c r="G20" s="745">
        <v>14787765958.950001</v>
      </c>
    </row>
    <row r="21" spans="1:8" ht="12.75" customHeight="1" x14ac:dyDescent="0.2">
      <c r="A21" s="40" t="s">
        <v>734</v>
      </c>
      <c r="B21" s="170"/>
      <c r="C21" s="758">
        <v>0</v>
      </c>
      <c r="D21" s="763">
        <v>0</v>
      </c>
      <c r="E21" s="743">
        <v>0</v>
      </c>
      <c r="F21" s="743">
        <v>0</v>
      </c>
      <c r="G21" s="745">
        <v>0</v>
      </c>
      <c r="H21" s="40"/>
    </row>
    <row r="22" spans="1:8" ht="12.75" customHeight="1" x14ac:dyDescent="0.2">
      <c r="A22" s="40" t="s">
        <v>476</v>
      </c>
      <c r="B22" s="170"/>
      <c r="C22" s="758">
        <v>11833140</v>
      </c>
      <c r="D22" s="763">
        <v>11833140</v>
      </c>
      <c r="E22" s="743">
        <v>0</v>
      </c>
      <c r="F22" s="743">
        <v>11833140</v>
      </c>
      <c r="G22" s="745">
        <v>11833140</v>
      </c>
      <c r="H22" s="40"/>
    </row>
    <row r="23" spans="1:8" ht="12.75" customHeight="1" x14ac:dyDescent="0.2">
      <c r="A23" s="40" t="s">
        <v>477</v>
      </c>
      <c r="B23" s="170"/>
      <c r="C23" s="758">
        <v>11383052</v>
      </c>
      <c r="D23" s="763">
        <v>11383052</v>
      </c>
      <c r="E23" s="743">
        <v>0</v>
      </c>
      <c r="F23" s="743">
        <v>11383052</v>
      </c>
      <c r="G23" s="745">
        <v>11383052</v>
      </c>
      <c r="H23" s="40"/>
    </row>
    <row r="24" spans="1:8" ht="12.75" customHeight="1" x14ac:dyDescent="0.2">
      <c r="A24" s="40" t="s">
        <v>817</v>
      </c>
      <c r="B24" s="170"/>
      <c r="C24" s="758"/>
      <c r="D24" s="763"/>
      <c r="E24" s="743"/>
      <c r="F24" s="743"/>
      <c r="G24" s="745"/>
      <c r="H24" s="40"/>
    </row>
    <row r="25" spans="1:8" ht="12.75" customHeight="1" x14ac:dyDescent="0.2">
      <c r="A25" s="93" t="s">
        <v>651</v>
      </c>
      <c r="B25" s="234"/>
      <c r="C25" s="244">
        <f>SUM(C16:C24)</f>
        <v>15020112118.470098</v>
      </c>
      <c r="D25" s="261">
        <f>SUM(D16:D24)</f>
        <v>16706838387</v>
      </c>
      <c r="E25" s="74">
        <f>SUM(E16:E24)</f>
        <v>0</v>
      </c>
      <c r="F25" s="74">
        <f>SUM(F16:F24)</f>
        <v>14456057365.41</v>
      </c>
      <c r="G25" s="146">
        <f>SUM(G16:G24)</f>
        <v>15469471387.950001</v>
      </c>
      <c r="H25" s="40"/>
    </row>
    <row r="26" spans="1:8" ht="12.75" customHeight="1" x14ac:dyDescent="0.2">
      <c r="A26" s="93" t="s">
        <v>800</v>
      </c>
      <c r="B26" s="234"/>
      <c r="C26" s="244">
        <f>C13+C25</f>
        <v>16888706000.830099</v>
      </c>
      <c r="D26" s="261">
        <f>D13+D25</f>
        <v>17680247166.650002</v>
      </c>
      <c r="E26" s="74">
        <f>E13+E25</f>
        <v>0</v>
      </c>
      <c r="F26" s="74">
        <f>F13+F25</f>
        <v>16192623291.41</v>
      </c>
      <c r="G26" s="146">
        <f>G13+G25</f>
        <v>16202627753.380001</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f>D30</f>
        <v>0</v>
      </c>
    </row>
    <row r="31" spans="1:8" ht="12.75" customHeight="1" x14ac:dyDescent="0.2">
      <c r="A31" s="40" t="s">
        <v>801</v>
      </c>
      <c r="B31" s="170"/>
      <c r="C31" s="758">
        <v>49092949.060000002</v>
      </c>
      <c r="D31" s="763">
        <v>64205000</v>
      </c>
      <c r="E31" s="743">
        <v>0</v>
      </c>
      <c r="F31" s="743">
        <v>49092949.060000002</v>
      </c>
      <c r="G31" s="745">
        <v>147812000</v>
      </c>
    </row>
    <row r="32" spans="1:8" ht="12.75" customHeight="1" x14ac:dyDescent="0.2">
      <c r="A32" s="40" t="s">
        <v>603</v>
      </c>
      <c r="B32" s="170"/>
      <c r="C32" s="758">
        <v>67783604.299999997</v>
      </c>
      <c r="D32" s="763">
        <v>73000000</v>
      </c>
      <c r="E32" s="743">
        <v>0</v>
      </c>
      <c r="F32" s="743">
        <v>67783604.299999997</v>
      </c>
      <c r="G32" s="745">
        <v>72000000</v>
      </c>
    </row>
    <row r="33" spans="1:7" ht="12.75" customHeight="1" x14ac:dyDescent="0.2">
      <c r="A33" s="40" t="s">
        <v>809</v>
      </c>
      <c r="B33" s="170"/>
      <c r="C33" s="758">
        <v>546488114.27207756</v>
      </c>
      <c r="D33" s="763">
        <v>494599000</v>
      </c>
      <c r="E33" s="743">
        <v>0</v>
      </c>
      <c r="F33" s="743">
        <v>546488114.27207756</v>
      </c>
      <c r="G33" s="745">
        <v>518124000</v>
      </c>
    </row>
    <row r="34" spans="1:7" ht="12.75" customHeight="1" x14ac:dyDescent="0.2">
      <c r="A34" s="40" t="s">
        <v>565</v>
      </c>
      <c r="B34" s="170"/>
      <c r="C34" s="758">
        <v>154218549</v>
      </c>
      <c r="D34" s="763">
        <v>0</v>
      </c>
      <c r="E34" s="743">
        <v>0</v>
      </c>
      <c r="F34" s="743">
        <v>154218549</v>
      </c>
      <c r="G34" s="745">
        <v>154218549</v>
      </c>
    </row>
    <row r="35" spans="1:7" ht="12.75" customHeight="1" x14ac:dyDescent="0.2">
      <c r="A35" s="93" t="s">
        <v>469</v>
      </c>
      <c r="B35" s="234"/>
      <c r="C35" s="244">
        <f>SUM(C30:C34)</f>
        <v>817583216.63207757</v>
      </c>
      <c r="D35" s="261">
        <f>SUM(D30:D34)</f>
        <v>631804000</v>
      </c>
      <c r="E35" s="74">
        <f>SUM(E30:E34)</f>
        <v>0</v>
      </c>
      <c r="F35" s="74">
        <f>SUM(F30:F34)</f>
        <v>817583216.63207757</v>
      </c>
      <c r="G35" s="146">
        <f>SUM(G30:G34)</f>
        <v>892154549</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516939431</v>
      </c>
      <c r="D38" s="763">
        <v>783313000</v>
      </c>
      <c r="E38" s="743">
        <v>0</v>
      </c>
      <c r="F38" s="743">
        <f>516939431</f>
        <v>516939431</v>
      </c>
      <c r="G38" s="745">
        <v>897158000</v>
      </c>
    </row>
    <row r="39" spans="1:7" ht="12.75" customHeight="1" x14ac:dyDescent="0.2">
      <c r="A39" s="40" t="s">
        <v>565</v>
      </c>
      <c r="B39" s="170"/>
      <c r="C39" s="758">
        <v>299243705</v>
      </c>
      <c r="D39" s="763">
        <v>347176654</v>
      </c>
      <c r="E39" s="743">
        <v>0</v>
      </c>
      <c r="F39" s="743">
        <v>299243705</v>
      </c>
      <c r="G39" s="745">
        <v>299243705</v>
      </c>
    </row>
    <row r="40" spans="1:7" ht="12.75" customHeight="1" x14ac:dyDescent="0.2">
      <c r="A40" s="93" t="s">
        <v>468</v>
      </c>
      <c r="B40" s="234"/>
      <c r="C40" s="244">
        <f>SUM(C38:C39)</f>
        <v>816183136</v>
      </c>
      <c r="D40" s="261">
        <f>SUM(D38:D39)</f>
        <v>1130489654</v>
      </c>
      <c r="E40" s="74">
        <f>SUM(E38:E39)</f>
        <v>0</v>
      </c>
      <c r="F40" s="74">
        <f>SUM(F38:F39)</f>
        <v>816183136</v>
      </c>
      <c r="G40" s="146">
        <f>SUM(G38:G39)</f>
        <v>1196401705</v>
      </c>
    </row>
    <row r="41" spans="1:7" ht="12.75" customHeight="1" x14ac:dyDescent="0.2">
      <c r="A41" s="93" t="s">
        <v>1</v>
      </c>
      <c r="B41" s="234"/>
      <c r="C41" s="244">
        <f>C35+C40</f>
        <v>1633766352.6320777</v>
      </c>
      <c r="D41" s="261">
        <f>D35+D40</f>
        <v>1762293654</v>
      </c>
      <c r="E41" s="74">
        <f>E35+E40</f>
        <v>0</v>
      </c>
      <c r="F41" s="74">
        <f>F35+F40</f>
        <v>1633766352.6320777</v>
      </c>
      <c r="G41" s="146">
        <f>G35+G40</f>
        <v>2088556254</v>
      </c>
    </row>
    <row r="42" spans="1:7" ht="5.0999999999999996" customHeight="1" x14ac:dyDescent="0.2">
      <c r="A42" s="43"/>
      <c r="B42" s="170"/>
      <c r="C42" s="135"/>
      <c r="D42" s="259"/>
      <c r="E42" s="45"/>
      <c r="F42" s="45"/>
      <c r="G42" s="145"/>
    </row>
    <row r="43" spans="1:7" ht="12.75" customHeight="1" x14ac:dyDescent="0.2">
      <c r="A43" s="95" t="s">
        <v>799</v>
      </c>
      <c r="B43" s="120">
        <v>2</v>
      </c>
      <c r="C43" s="245">
        <f>C26-C41</f>
        <v>15254939648.198021</v>
      </c>
      <c r="D43" s="266">
        <f>D26-D41</f>
        <v>15917953512.650002</v>
      </c>
      <c r="E43" s="77">
        <f>E26-E41</f>
        <v>0</v>
      </c>
      <c r="F43" s="77">
        <f>F26-F41</f>
        <v>14558856938.777922</v>
      </c>
      <c r="G43" s="235">
        <f>G26-G41</f>
        <v>14114071499.380001</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7828919093.1980209</v>
      </c>
      <c r="D46" s="763">
        <v>8416279674.6500015</v>
      </c>
      <c r="E46" s="743">
        <v>0</v>
      </c>
      <c r="F46" s="743">
        <v>7132836383.7779198</v>
      </c>
      <c r="G46" s="745">
        <v>6688050944.3800001</v>
      </c>
    </row>
    <row r="47" spans="1:7" ht="12.75" customHeight="1" x14ac:dyDescent="0.2">
      <c r="A47" s="40" t="s">
        <v>931</v>
      </c>
      <c r="B47" s="170"/>
      <c r="C47" s="758">
        <v>7426020555</v>
      </c>
      <c r="D47" s="763">
        <v>7501673838</v>
      </c>
      <c r="E47" s="743">
        <v>0</v>
      </c>
      <c r="F47" s="743">
        <v>7426020555</v>
      </c>
      <c r="G47" s="745">
        <v>7426020555</v>
      </c>
    </row>
    <row r="48" spans="1:7" ht="12.75" customHeight="1" x14ac:dyDescent="0.2">
      <c r="A48" s="54" t="s">
        <v>646</v>
      </c>
      <c r="B48" s="237">
        <v>2</v>
      </c>
      <c r="C48" s="113">
        <f>SUM(C46:C47)</f>
        <v>15254939648.198021</v>
      </c>
      <c r="D48" s="272">
        <f>SUM(D46:D47)</f>
        <v>15917953512.650002</v>
      </c>
      <c r="E48" s="56">
        <f>SUM(E46:E47)</f>
        <v>0</v>
      </c>
      <c r="F48" s="56">
        <f>SUM(F46:F47)</f>
        <v>14558856938.77792</v>
      </c>
      <c r="G48" s="236">
        <f>SUM(G46:G47)</f>
        <v>14114071499.380001</v>
      </c>
    </row>
    <row r="49" spans="1:7" ht="12.75" customHeight="1" x14ac:dyDescent="0.2">
      <c r="A49" s="79" t="str">
        <f>head27a</f>
        <v>References</v>
      </c>
      <c r="B49" s="59"/>
      <c r="C49" s="50"/>
      <c r="D49" s="50"/>
      <c r="E49" s="50"/>
      <c r="F49" s="50"/>
      <c r="G49" s="50"/>
    </row>
    <row r="50" spans="1:7" ht="13.5" customHeight="1" x14ac:dyDescent="0.2">
      <c r="A50" s="1034" t="s">
        <v>152</v>
      </c>
      <c r="B50" s="1034"/>
      <c r="C50" s="1034"/>
      <c r="D50" s="1034"/>
      <c r="E50" s="1034"/>
      <c r="F50" s="1034"/>
      <c r="G50" s="1034"/>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8"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M36" sqref="M36"/>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"&amp;S71F&amp; " - "&amp;date</f>
        <v>LIM354 Polokwane - Table C7 Monthly Budget Statement - Cash Flow  - M01 July</v>
      </c>
      <c r="B1" s="1031"/>
      <c r="C1" s="1031"/>
      <c r="D1" s="1031"/>
      <c r="E1" s="1031"/>
      <c r="F1" s="1031"/>
      <c r="G1" s="1031"/>
      <c r="H1" s="1031"/>
      <c r="I1" s="1031"/>
      <c r="J1" s="1031"/>
      <c r="K1" s="1031"/>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0</v>
      </c>
      <c r="F7" s="960">
        <v>21527649.159999922</v>
      </c>
      <c r="G7" s="960">
        <v>21527649.159999922</v>
      </c>
      <c r="H7" s="743">
        <f>D7/12</f>
        <v>35200000</v>
      </c>
      <c r="I7" s="45">
        <f t="shared" ref="I7:I13" si="0">G7-H7</f>
        <v>-13672350.840000078</v>
      </c>
      <c r="J7" s="333">
        <f>IF(I7=0,"",I7/H7)</f>
        <v>-0.38841905795454768</v>
      </c>
      <c r="K7" s="745">
        <f>D7</f>
        <v>422400000</v>
      </c>
    </row>
    <row r="8" spans="1:11" ht="12.75" customHeight="1" x14ac:dyDescent="0.2">
      <c r="A8" s="521" t="s">
        <v>992</v>
      </c>
      <c r="B8" s="170"/>
      <c r="C8" s="758">
        <v>1279991317.2562022</v>
      </c>
      <c r="D8" s="755">
        <v>1607124610</v>
      </c>
      <c r="E8" s="743">
        <v>0</v>
      </c>
      <c r="F8" s="960">
        <v>97329883.950000077</v>
      </c>
      <c r="G8" s="960">
        <v>97329883.950000077</v>
      </c>
      <c r="H8" s="743">
        <f t="shared" ref="H8:H12" si="1">D8/12</f>
        <v>133927050.83333333</v>
      </c>
      <c r="I8" s="45">
        <f t="shared" si="0"/>
        <v>-36597166.883333251</v>
      </c>
      <c r="J8" s="333">
        <f>IF(I8=0,"",I8/H8)</f>
        <v>-0.27326194861766134</v>
      </c>
      <c r="K8" s="745">
        <f t="shared" ref="K8:K12" si="2">D8</f>
        <v>1607124610</v>
      </c>
    </row>
    <row r="9" spans="1:11" ht="12.75" customHeight="1" x14ac:dyDescent="0.2">
      <c r="A9" s="521" t="s">
        <v>463</v>
      </c>
      <c r="B9" s="170"/>
      <c r="C9" s="758">
        <v>927896090.82330287</v>
      </c>
      <c r="D9" s="755">
        <v>350731130</v>
      </c>
      <c r="E9" s="743">
        <v>0</v>
      </c>
      <c r="F9" s="960">
        <f>140862872.117192+122636522</f>
        <v>263499394.117192</v>
      </c>
      <c r="G9" s="960">
        <f t="shared" ref="G9" si="3">F9</f>
        <v>263499394.117192</v>
      </c>
      <c r="H9" s="743">
        <f t="shared" si="1"/>
        <v>29227594.166666668</v>
      </c>
      <c r="I9" s="45">
        <f t="shared" si="0"/>
        <v>234271799.95052534</v>
      </c>
      <c r="J9" s="333">
        <f>IF(I9=0,"",I9/H9)</f>
        <v>8.0154322184241362</v>
      </c>
      <c r="K9" s="745">
        <f t="shared" si="2"/>
        <v>350731130</v>
      </c>
    </row>
    <row r="10" spans="1:11" ht="12.75" customHeight="1" x14ac:dyDescent="0.2">
      <c r="A10" s="87" t="s">
        <v>716</v>
      </c>
      <c r="B10" s="172"/>
      <c r="C10" s="758">
        <v>948928027.3269459</v>
      </c>
      <c r="D10" s="755">
        <v>1039367000</v>
      </c>
      <c r="E10" s="743">
        <v>0</v>
      </c>
      <c r="F10" s="960">
        <v>391834885</v>
      </c>
      <c r="G10" s="960">
        <v>391834885</v>
      </c>
      <c r="H10" s="743">
        <f t="shared" si="1"/>
        <v>86613916.666666672</v>
      </c>
      <c r="I10" s="45">
        <f t="shared" si="0"/>
        <v>305220968.33333331</v>
      </c>
      <c r="J10" s="333">
        <f>IF(I10=0,"",I10/H10)</f>
        <v>3.5239252545058672</v>
      </c>
      <c r="K10" s="745">
        <f t="shared" si="2"/>
        <v>1039367000</v>
      </c>
    </row>
    <row r="11" spans="1:11" ht="12.75" customHeight="1" x14ac:dyDescent="0.2">
      <c r="A11" s="87" t="s">
        <v>717</v>
      </c>
      <c r="B11" s="172"/>
      <c r="C11" s="758">
        <v>1050027972.6730541</v>
      </c>
      <c r="D11" s="755">
        <v>1267136000</v>
      </c>
      <c r="E11" s="743">
        <v>0</v>
      </c>
      <c r="F11" s="960">
        <v>199992115</v>
      </c>
      <c r="G11" s="960">
        <v>199992115</v>
      </c>
      <c r="H11" s="743">
        <f t="shared" si="1"/>
        <v>105594666.66666667</v>
      </c>
      <c r="I11" s="45">
        <f t="shared" si="0"/>
        <v>94397448.333333328</v>
      </c>
      <c r="J11" s="333">
        <f t="shared" ref="J11:J18" si="4">IF(I11=0,"",I11/H11)</f>
        <v>0.89396037994343136</v>
      </c>
      <c r="K11" s="745">
        <f t="shared" si="2"/>
        <v>1267136000</v>
      </c>
    </row>
    <row r="12" spans="1:11" ht="12.75" customHeight="1" x14ac:dyDescent="0.2">
      <c r="A12" s="87" t="s">
        <v>911</v>
      </c>
      <c r="B12" s="172"/>
      <c r="C12" s="758">
        <v>25979289.917086422</v>
      </c>
      <c r="D12" s="755">
        <v>103483380</v>
      </c>
      <c r="E12" s="743">
        <v>0</v>
      </c>
      <c r="F12" s="960">
        <v>10214010.709999999</v>
      </c>
      <c r="G12" s="960">
        <v>10214010.709999999</v>
      </c>
      <c r="H12" s="743">
        <f t="shared" si="1"/>
        <v>8623615</v>
      </c>
      <c r="I12" s="45">
        <f t="shared" si="0"/>
        <v>1590395.709999999</v>
      </c>
      <c r="J12" s="333">
        <f t="shared" si="4"/>
        <v>0.18442332015054</v>
      </c>
      <c r="K12" s="745">
        <f t="shared" si="2"/>
        <v>103483380</v>
      </c>
    </row>
    <row r="13" spans="1:11" ht="12.75" customHeight="1" x14ac:dyDescent="0.2">
      <c r="A13" s="87" t="s">
        <v>686</v>
      </c>
      <c r="B13" s="172"/>
      <c r="C13" s="758"/>
      <c r="D13" s="755"/>
      <c r="E13" s="743"/>
      <c r="F13" s="960"/>
      <c r="G13" s="960"/>
      <c r="H13" s="743"/>
      <c r="I13" s="45">
        <f t="shared" si="0"/>
        <v>0</v>
      </c>
      <c r="J13" s="333" t="str">
        <f t="shared" si="4"/>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f>-3173570585.70339-203984519.000001</f>
        <v>-3377555104.7033911</v>
      </c>
      <c r="D15" s="755">
        <v>-3110914077</v>
      </c>
      <c r="E15" s="743">
        <v>0</v>
      </c>
      <c r="F15" s="743">
        <v>-662046507.55719197</v>
      </c>
      <c r="G15" s="743">
        <f t="shared" ref="G15" si="5">F15</f>
        <v>-662046507.55719197</v>
      </c>
      <c r="H15" s="743">
        <f t="shared" ref="H15:H17" si="6">D15/12</f>
        <v>-259242839.75</v>
      </c>
      <c r="I15" s="45">
        <f>H15-G15</f>
        <v>402803667.80719197</v>
      </c>
      <c r="J15" s="333">
        <f t="shared" si="4"/>
        <v>-1.5537696940661287</v>
      </c>
      <c r="K15" s="745">
        <f t="shared" ref="K15:K17" si="7">D15</f>
        <v>-3110914077</v>
      </c>
    </row>
    <row r="16" spans="1:11" ht="12.75" customHeight="1" x14ac:dyDescent="0.2">
      <c r="A16" s="87" t="s">
        <v>462</v>
      </c>
      <c r="B16" s="172"/>
      <c r="C16" s="758">
        <v>-20585735.190000001</v>
      </c>
      <c r="D16" s="755">
        <v>-84866634</v>
      </c>
      <c r="E16" s="743">
        <v>0</v>
      </c>
      <c r="F16" s="743">
        <v>-32464062.57</v>
      </c>
      <c r="G16" s="743">
        <v>-32464062.57</v>
      </c>
      <c r="H16" s="743">
        <f t="shared" si="6"/>
        <v>-7072219.5</v>
      </c>
      <c r="I16" s="45">
        <f>H16-G16</f>
        <v>25391843.07</v>
      </c>
      <c r="J16" s="333">
        <f t="shared" si="4"/>
        <v>-3.5903641098809222</v>
      </c>
      <c r="K16" s="745">
        <f t="shared" si="7"/>
        <v>-84866634</v>
      </c>
    </row>
    <row r="17" spans="1:11" ht="12.75" customHeight="1" x14ac:dyDescent="0.2">
      <c r="A17" s="87" t="s">
        <v>70</v>
      </c>
      <c r="B17" s="172"/>
      <c r="C17" s="758">
        <v>-8380000</v>
      </c>
      <c r="D17" s="755">
        <v>-11500000</v>
      </c>
      <c r="E17" s="743">
        <v>0</v>
      </c>
      <c r="F17" s="743">
        <v>-1140000</v>
      </c>
      <c r="G17" s="743">
        <v>-1140000</v>
      </c>
      <c r="H17" s="743">
        <f t="shared" si="6"/>
        <v>-958333.33333333337</v>
      </c>
      <c r="I17" s="45">
        <f>H17-G17</f>
        <v>181666.66666666663</v>
      </c>
      <c r="J17" s="333">
        <f t="shared" si="4"/>
        <v>-0.1895652173913043</v>
      </c>
      <c r="K17" s="745">
        <f t="shared" si="7"/>
        <v>-11500000</v>
      </c>
    </row>
    <row r="18" spans="1:11" ht="12.75" customHeight="1" x14ac:dyDescent="0.2">
      <c r="A18" s="93" t="s">
        <v>915</v>
      </c>
      <c r="B18" s="234"/>
      <c r="C18" s="244">
        <f t="shared" ref="C18:H18" si="8">SUM(C7:C13)+SUM(C15:C17)</f>
        <v>1208789812.1638007</v>
      </c>
      <c r="D18" s="75">
        <f t="shared" si="8"/>
        <v>1582961409</v>
      </c>
      <c r="E18" s="74">
        <f t="shared" si="8"/>
        <v>0</v>
      </c>
      <c r="F18" s="74">
        <f t="shared" si="8"/>
        <v>288747367.80999994</v>
      </c>
      <c r="G18" s="74">
        <f t="shared" si="8"/>
        <v>288747367.80999994</v>
      </c>
      <c r="H18" s="74">
        <f t="shared" si="8"/>
        <v>131913450.74999997</v>
      </c>
      <c r="I18" s="74">
        <f>H18-G18</f>
        <v>-156833917.05999997</v>
      </c>
      <c r="J18" s="334">
        <f t="shared" si="4"/>
        <v>-1.1889152786794186</v>
      </c>
      <c r="K18" s="146">
        <f>SUM(K7:K13)+SUM(K15:K17)</f>
        <v>1582961409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f t="shared" ref="G22:G25" si="9">F22</f>
        <v>0</v>
      </c>
      <c r="H22" s="743">
        <f t="shared" ref="H22:H25" si="10">D22/12</f>
        <v>0</v>
      </c>
      <c r="I22" s="45">
        <f>G22-H22</f>
        <v>0</v>
      </c>
      <c r="J22" s="333" t="str">
        <f t="shared" ref="J22:J28" si="11">IF(I22=0,"",I22/H22)</f>
        <v/>
      </c>
      <c r="K22" s="745">
        <f t="shared" ref="K22:K25" si="12">D22</f>
        <v>0</v>
      </c>
    </row>
    <row r="23" spans="1:11" ht="12.75" customHeight="1" x14ac:dyDescent="0.2">
      <c r="A23" s="40" t="s">
        <v>449</v>
      </c>
      <c r="B23" s="170"/>
      <c r="C23" s="758">
        <v>0</v>
      </c>
      <c r="D23" s="755">
        <v>0</v>
      </c>
      <c r="E23" s="743">
        <v>0</v>
      </c>
      <c r="F23" s="743">
        <v>0</v>
      </c>
      <c r="G23" s="743">
        <f t="shared" si="9"/>
        <v>0</v>
      </c>
      <c r="H23" s="743">
        <f t="shared" si="10"/>
        <v>0</v>
      </c>
      <c r="I23" s="45">
        <f>G23-H23</f>
        <v>0</v>
      </c>
      <c r="J23" s="333" t="str">
        <f t="shared" si="11"/>
        <v/>
      </c>
      <c r="K23" s="745">
        <f t="shared" si="12"/>
        <v>0</v>
      </c>
    </row>
    <row r="24" spans="1:11" ht="12.75" customHeight="1" x14ac:dyDescent="0.2">
      <c r="A24" s="40" t="s">
        <v>913</v>
      </c>
      <c r="B24" s="176"/>
      <c r="C24" s="758">
        <v>0</v>
      </c>
      <c r="D24" s="755">
        <v>0</v>
      </c>
      <c r="E24" s="743">
        <v>0</v>
      </c>
      <c r="F24" s="743">
        <v>0</v>
      </c>
      <c r="G24" s="743">
        <f t="shared" si="9"/>
        <v>0</v>
      </c>
      <c r="H24" s="743">
        <f t="shared" si="10"/>
        <v>0</v>
      </c>
      <c r="I24" s="45">
        <f>G24-H24</f>
        <v>0</v>
      </c>
      <c r="J24" s="333" t="str">
        <f t="shared" si="11"/>
        <v/>
      </c>
      <c r="K24" s="745">
        <f t="shared" si="12"/>
        <v>0</v>
      </c>
    </row>
    <row r="25" spans="1:11" ht="12.75" customHeight="1" x14ac:dyDescent="0.2">
      <c r="A25" s="40" t="s">
        <v>914</v>
      </c>
      <c r="B25" s="170"/>
      <c r="C25" s="758">
        <v>1850000</v>
      </c>
      <c r="D25" s="755">
        <v>0</v>
      </c>
      <c r="E25" s="743">
        <v>0</v>
      </c>
      <c r="F25" s="743">
        <v>0</v>
      </c>
      <c r="G25" s="743">
        <f t="shared" si="9"/>
        <v>0</v>
      </c>
      <c r="H25" s="743">
        <f t="shared" si="10"/>
        <v>0</v>
      </c>
      <c r="I25" s="45">
        <f>G25-H25</f>
        <v>0</v>
      </c>
      <c r="J25" s="333" t="str">
        <f t="shared" si="11"/>
        <v/>
      </c>
      <c r="K25" s="745">
        <f t="shared" si="12"/>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-1063265964.723804</v>
      </c>
      <c r="D27" s="755">
        <v>-1816379813.4399998</v>
      </c>
      <c r="E27" s="743">
        <v>0</v>
      </c>
      <c r="F27" s="743">
        <v>-85297669.120000005</v>
      </c>
      <c r="G27" s="743">
        <f>F27</f>
        <v>-85297669.120000005</v>
      </c>
      <c r="H27" s="743">
        <f>D27/12</f>
        <v>-151364984.45333332</v>
      </c>
      <c r="I27" s="45">
        <f>H27-G27</f>
        <v>-66067315.333333313</v>
      </c>
      <c r="J27" s="333">
        <f t="shared" si="11"/>
        <v>0.43647687456871664</v>
      </c>
      <c r="K27" s="745">
        <f>D27</f>
        <v>-1816379813.4399998</v>
      </c>
    </row>
    <row r="28" spans="1:11" ht="12.75" customHeight="1" x14ac:dyDescent="0.2">
      <c r="A28" s="93" t="s">
        <v>916</v>
      </c>
      <c r="B28" s="234"/>
      <c r="C28" s="549">
        <f t="shared" ref="C28:H28" si="13">SUM(C22:C25)+C27</f>
        <v>-1061415964.723804</v>
      </c>
      <c r="D28" s="75">
        <f>SUM(D22:D25)+D27</f>
        <v>-1816379813.4399998</v>
      </c>
      <c r="E28" s="74">
        <f t="shared" si="13"/>
        <v>0</v>
      </c>
      <c r="F28" s="74">
        <f t="shared" si="13"/>
        <v>-85297669.120000005</v>
      </c>
      <c r="G28" s="74">
        <f t="shared" si="13"/>
        <v>-85297669.120000005</v>
      </c>
      <c r="H28" s="74">
        <f t="shared" si="13"/>
        <v>-151364984.45333332</v>
      </c>
      <c r="I28" s="74">
        <f>H28-G28</f>
        <v>-66067315.333333313</v>
      </c>
      <c r="J28" s="334">
        <f t="shared" si="11"/>
        <v>0.43647687456871664</v>
      </c>
      <c r="K28" s="146">
        <f>SUM(K22:K25)+K27</f>
        <v>-1816379813.4399998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f t="shared" ref="G32:G34" si="14">F32</f>
        <v>0</v>
      </c>
      <c r="H32" s="743">
        <f t="shared" ref="H32:H34" si="15">D32/12</f>
        <v>0</v>
      </c>
      <c r="I32" s="45">
        <f>G32-H32</f>
        <v>0</v>
      </c>
      <c r="J32" s="333" t="str">
        <f t="shared" ref="J32:J37" si="16">IF(I32=0,"",I32/H32)</f>
        <v/>
      </c>
      <c r="K32" s="745">
        <f t="shared" ref="K32:K34" si="17">D32</f>
        <v>0</v>
      </c>
    </row>
    <row r="33" spans="1:11" ht="12.75" customHeight="1" x14ac:dyDescent="0.2">
      <c r="A33" s="40" t="s">
        <v>988</v>
      </c>
      <c r="B33" s="170"/>
      <c r="C33" s="758">
        <v>0</v>
      </c>
      <c r="D33" s="755">
        <v>300000000</v>
      </c>
      <c r="E33" s="743">
        <v>0</v>
      </c>
      <c r="F33" s="743">
        <v>0</v>
      </c>
      <c r="G33" s="743">
        <f t="shared" si="14"/>
        <v>0</v>
      </c>
      <c r="H33" s="743">
        <f t="shared" si="15"/>
        <v>25000000</v>
      </c>
      <c r="I33" s="45">
        <f>G33-H33</f>
        <v>-25000000</v>
      </c>
      <c r="J33" s="333">
        <f t="shared" si="16"/>
        <v>-1</v>
      </c>
      <c r="K33" s="745">
        <f t="shared" si="17"/>
        <v>300000000</v>
      </c>
    </row>
    <row r="34" spans="1:11" ht="12.75" customHeight="1" x14ac:dyDescent="0.2">
      <c r="A34" s="40" t="s">
        <v>71</v>
      </c>
      <c r="B34" s="170"/>
      <c r="C34" s="758">
        <v>-2822817.99</v>
      </c>
      <c r="D34" s="755">
        <v>0</v>
      </c>
      <c r="E34" s="743">
        <v>0</v>
      </c>
      <c r="F34" s="743">
        <v>0</v>
      </c>
      <c r="G34" s="743">
        <f t="shared" si="14"/>
        <v>0</v>
      </c>
      <c r="H34" s="743">
        <f t="shared" si="15"/>
        <v>0</v>
      </c>
      <c r="I34" s="45">
        <f>G34-H34</f>
        <v>0</v>
      </c>
      <c r="J34" s="333" t="str">
        <f t="shared" si="16"/>
        <v/>
      </c>
      <c r="K34" s="745">
        <f t="shared" si="17"/>
        <v>0</v>
      </c>
    </row>
    <row r="35" spans="1:11" ht="12.75" customHeight="1" x14ac:dyDescent="0.2">
      <c r="A35" s="88" t="s">
        <v>926</v>
      </c>
      <c r="B35" s="170"/>
      <c r="C35" s="135"/>
      <c r="D35" s="47"/>
      <c r="E35" s="45"/>
      <c r="F35" s="45"/>
      <c r="G35" s="45"/>
      <c r="H35" s="45"/>
      <c r="I35" s="45"/>
      <c r="J35" s="333" t="str">
        <f t="shared" si="16"/>
        <v/>
      </c>
      <c r="K35" s="145"/>
    </row>
    <row r="36" spans="1:11" ht="12.75" customHeight="1" x14ac:dyDescent="0.2">
      <c r="A36" s="40" t="s">
        <v>928</v>
      </c>
      <c r="B36" s="170"/>
      <c r="C36" s="758">
        <v>-84933749.340000004</v>
      </c>
      <c r="D36" s="755">
        <v>-60000000</v>
      </c>
      <c r="E36" s="743">
        <v>0</v>
      </c>
      <c r="F36" s="743">
        <v>-16428618.869999999</v>
      </c>
      <c r="G36" s="743">
        <f>F36</f>
        <v>-16428618.869999999</v>
      </c>
      <c r="H36" s="743">
        <f>D36/12</f>
        <v>-5000000</v>
      </c>
      <c r="I36" s="45">
        <f>H36-G36</f>
        <v>11428618.869999999</v>
      </c>
      <c r="J36" s="333">
        <f t="shared" si="16"/>
        <v>-2.285723774</v>
      </c>
      <c r="K36" s="745">
        <f>D36</f>
        <v>-60000000</v>
      </c>
    </row>
    <row r="37" spans="1:11" ht="12.75" customHeight="1" x14ac:dyDescent="0.2">
      <c r="A37" s="93" t="s">
        <v>917</v>
      </c>
      <c r="B37" s="234"/>
      <c r="C37" s="549">
        <f t="shared" ref="C37:H37" si="18">SUM(C32:C34)+C36</f>
        <v>-87756567.329999998</v>
      </c>
      <c r="D37" s="75">
        <f t="shared" si="18"/>
        <v>240000000</v>
      </c>
      <c r="E37" s="74">
        <f t="shared" si="18"/>
        <v>0</v>
      </c>
      <c r="F37" s="74">
        <f t="shared" si="18"/>
        <v>-16428618.869999999</v>
      </c>
      <c r="G37" s="74">
        <f t="shared" si="18"/>
        <v>-16428618.869999999</v>
      </c>
      <c r="H37" s="74">
        <f t="shared" si="18"/>
        <v>20000000</v>
      </c>
      <c r="I37" s="74">
        <f>H37-G37</f>
        <v>36428618.869999997</v>
      </c>
      <c r="J37" s="334">
        <f t="shared" si="16"/>
        <v>1.8214309434999998</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9">C18+C28+C37</f>
        <v>59617280.109996721</v>
      </c>
      <c r="D39" s="52">
        <f t="shared" si="19"/>
        <v>6581595.5600001812</v>
      </c>
      <c r="E39" s="51">
        <f t="shared" si="19"/>
        <v>0</v>
      </c>
      <c r="F39" s="51">
        <f t="shared" si="19"/>
        <v>187021079.81999993</v>
      </c>
      <c r="G39" s="51">
        <f t="shared" si="19"/>
        <v>187021079.81999993</v>
      </c>
      <c r="H39" s="51">
        <f t="shared" si="19"/>
        <v>548466.29666665196</v>
      </c>
      <c r="I39" s="330"/>
      <c r="J39" s="330"/>
      <c r="K39" s="195">
        <f>K18+K28+K37</f>
        <v>6581595.5600001812</v>
      </c>
    </row>
    <row r="40" spans="1:11" ht="12.75" customHeight="1" x14ac:dyDescent="0.2">
      <c r="A40" s="40" t="s">
        <v>518</v>
      </c>
      <c r="B40" s="170"/>
      <c r="C40" s="758">
        <v>2017803.8900000001</v>
      </c>
      <c r="D40" s="755">
        <v>159547799.88999999</v>
      </c>
      <c r="E40" s="743">
        <v>0</v>
      </c>
      <c r="F40" s="274"/>
      <c r="G40" s="743">
        <v>61619929.729999997</v>
      </c>
      <c r="H40" s="45">
        <f>IF(E40=0, D40, E40)</f>
        <v>159547799.88999999</v>
      </c>
      <c r="I40" s="274"/>
      <c r="J40" s="274"/>
      <c r="K40" s="388">
        <f>G40</f>
        <v>61619929.729999997</v>
      </c>
    </row>
    <row r="41" spans="1:11" ht="12.75" customHeight="1" x14ac:dyDescent="0.2">
      <c r="A41" s="130" t="s">
        <v>55</v>
      </c>
      <c r="B41" s="120"/>
      <c r="C41" s="226">
        <f>C39+C40</f>
        <v>61635083.999996722</v>
      </c>
      <c r="D41" s="117">
        <f>D39+D40</f>
        <v>166129395.45000017</v>
      </c>
      <c r="E41" s="116">
        <f>E39+E40</f>
        <v>0</v>
      </c>
      <c r="F41" s="275"/>
      <c r="G41" s="116">
        <f>G39+G40</f>
        <v>248641009.54999992</v>
      </c>
      <c r="H41" s="116">
        <f>H39+H40</f>
        <v>160096266.18666664</v>
      </c>
      <c r="I41" s="275"/>
      <c r="J41" s="275"/>
      <c r="K41" s="191">
        <f>K39+K40</f>
        <v>68201525.29000017</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8"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F20" sqref="E20:F20"/>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31" t="str">
        <f>muni&amp; " - "&amp;S71G&amp; " - "&amp;date</f>
        <v>LIM354 Polokwane - Supporting Table SC1 Material variance explanations  - M01 July</v>
      </c>
      <c r="B1" s="1031"/>
      <c r="C1" s="1031"/>
      <c r="D1" s="1031"/>
      <c r="E1" s="1031"/>
    </row>
    <row r="2" spans="1:5" x14ac:dyDescent="0.2">
      <c r="A2" s="1013" t="str">
        <f>head27</f>
        <v>Ref</v>
      </c>
      <c r="B2" s="1020" t="str">
        <f>desc</f>
        <v>Description</v>
      </c>
      <c r="C2" s="270"/>
      <c r="D2" s="270"/>
      <c r="E2" s="276"/>
    </row>
    <row r="3" spans="1:5" x14ac:dyDescent="0.2">
      <c r="A3" s="1024"/>
      <c r="B3" s="1021"/>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c r="C8" s="758"/>
      <c r="D8" s="768"/>
      <c r="E8" s="768"/>
    </row>
    <row r="9" spans="1:5" ht="11.25" customHeight="1" x14ac:dyDescent="0.2">
      <c r="A9" s="170"/>
      <c r="B9" s="768"/>
      <c r="C9" s="758"/>
      <c r="D9" s="768"/>
      <c r="E9" s="768"/>
    </row>
    <row r="10" spans="1:5" ht="11.25" customHeight="1" x14ac:dyDescent="0.2">
      <c r="A10" s="170">
        <v>2</v>
      </c>
      <c r="B10" s="389" t="str">
        <f>'C4-FinPerf RE'!A24</f>
        <v>Expenditure By Type</v>
      </c>
      <c r="C10" s="390"/>
      <c r="D10" s="390"/>
      <c r="E10" s="390"/>
    </row>
    <row r="11" spans="1:5" ht="11.25" customHeight="1" x14ac:dyDescent="0.2">
      <c r="A11" s="170"/>
      <c r="B11" s="768" t="s">
        <v>866</v>
      </c>
      <c r="C11" s="758">
        <f>'C4-FinPerf RE'!I25</f>
        <v>-10028567.269999988</v>
      </c>
      <c r="D11" s="768" t="s">
        <v>1467</v>
      </c>
      <c r="E11" s="768"/>
    </row>
    <row r="12" spans="1:5" ht="11.25" customHeight="1" x14ac:dyDescent="0.2">
      <c r="A12" s="170"/>
      <c r="B12" s="768" t="s">
        <v>950</v>
      </c>
      <c r="C12" s="758">
        <f>'C4-FinPerf RE'!I31</f>
        <v>-7132412</v>
      </c>
      <c r="D12" s="768" t="s">
        <v>1468</v>
      </c>
      <c r="E12" s="768"/>
    </row>
    <row r="13" spans="1:5" ht="11.25" customHeight="1" x14ac:dyDescent="0.2">
      <c r="A13" s="170"/>
      <c r="B13" s="768"/>
      <c r="C13" s="758"/>
      <c r="D13" s="768"/>
      <c r="E13" s="768"/>
    </row>
    <row r="14" spans="1:5" ht="11.25" customHeight="1" x14ac:dyDescent="0.2">
      <c r="A14" s="170"/>
      <c r="B14" s="768"/>
      <c r="C14" s="758"/>
      <c r="D14" s="768"/>
      <c r="E14" s="768"/>
    </row>
    <row r="15" spans="1:5" ht="11.25" customHeight="1" x14ac:dyDescent="0.2">
      <c r="A15" s="170">
        <v>3</v>
      </c>
      <c r="B15" s="389" t="str">
        <f>RIGHT('C5-Capex'!A40,19)</f>
        <v>Capital Expenditure</v>
      </c>
      <c r="C15" s="390"/>
      <c r="D15" s="390"/>
      <c r="E15" s="390"/>
    </row>
    <row r="16" spans="1:5" ht="11.25" customHeight="1" x14ac:dyDescent="0.2">
      <c r="A16" s="170"/>
      <c r="B16" s="768"/>
      <c r="C16" s="758">
        <v>-497024055.81117868</v>
      </c>
      <c r="D16" s="768" t="s">
        <v>1465</v>
      </c>
      <c r="E16" s="768"/>
    </row>
    <row r="17" spans="1:5" ht="11.25" customHeight="1" x14ac:dyDescent="0.2">
      <c r="A17" s="170"/>
      <c r="B17" s="768"/>
      <c r="C17" s="758"/>
      <c r="D17" s="768" t="s">
        <v>1466</v>
      </c>
      <c r="E17" s="768"/>
    </row>
    <row r="18" spans="1:5" ht="11.25" customHeight="1" x14ac:dyDescent="0.2">
      <c r="A18" s="170"/>
      <c r="B18" s="768"/>
      <c r="C18" s="758"/>
      <c r="D18" s="768"/>
      <c r="E18" s="768"/>
    </row>
    <row r="19" spans="1:5" ht="11.25" customHeight="1" x14ac:dyDescent="0.2">
      <c r="A19" s="170"/>
      <c r="B19" s="768"/>
      <c r="C19" s="758"/>
      <c r="D19" s="768"/>
      <c r="E19" s="768"/>
    </row>
    <row r="20" spans="1:5" ht="11.25" customHeight="1" x14ac:dyDescent="0.2">
      <c r="A20" s="170">
        <v>4</v>
      </c>
      <c r="B20" s="389" t="s">
        <v>83</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84</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85</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86</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879</v>
      </c>
    </row>
    <row r="43" spans="1:5" ht="11.25" customHeight="1" x14ac:dyDescent="0.2">
      <c r="A43" s="34" t="s">
        <v>880</v>
      </c>
    </row>
    <row r="44" spans="1:5" ht="11.25" customHeight="1" x14ac:dyDescent="0.2">
      <c r="A44" s="34" t="s">
        <v>881</v>
      </c>
    </row>
    <row r="45" spans="1:5" ht="11.25" customHeight="1" x14ac:dyDescent="0.2">
      <c r="A45" s="34" t="s">
        <v>882</v>
      </c>
    </row>
    <row r="46" spans="1:5" ht="11.25" customHeight="1" x14ac:dyDescent="0.2">
      <c r="A46" s="34" t="s">
        <v>883</v>
      </c>
    </row>
    <row r="47" spans="1:5" ht="11.25" customHeight="1" x14ac:dyDescent="0.2">
      <c r="A47" s="34" t="s">
        <v>448</v>
      </c>
    </row>
  </sheetData>
  <sheetProtection sheet="1" objects="1" scenarios="1"/>
  <mergeCells count="3">
    <mergeCell ref="A2:A3"/>
    <mergeCell ref="B2:B3"/>
    <mergeCell ref="A1:E1"/>
  </mergeCells>
  <phoneticPr fontId="8"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H15" sqref="H15"/>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31" t="str">
        <f>muni&amp; " - "&amp;S71H&amp; " - "&amp;Head57</f>
        <v>LIM354 Polokwane - Supporting Table SC2 Monthly Budget Statement - performance indicators   - M01 July</v>
      </c>
      <c r="B1" s="1031"/>
      <c r="C1" s="1031"/>
      <c r="D1" s="1031"/>
      <c r="E1" s="1031"/>
      <c r="F1" s="1031"/>
      <c r="G1" s="1031"/>
      <c r="H1" s="1031"/>
    </row>
    <row r="2" spans="1:11" ht="10.199999999999999" x14ac:dyDescent="0.2">
      <c r="A2" s="1036" t="s">
        <v>573</v>
      </c>
      <c r="B2" s="1020" t="s">
        <v>794</v>
      </c>
      <c r="C2" s="1013" t="str">
        <f>head27</f>
        <v>Ref</v>
      </c>
      <c r="D2" s="139" t="str">
        <f>Head1</f>
        <v>2018/19</v>
      </c>
      <c r="E2" s="246" t="str">
        <f>Head2</f>
        <v>Budget Year 2019/20</v>
      </c>
      <c r="F2" s="230"/>
      <c r="G2" s="230"/>
      <c r="H2" s="231"/>
    </row>
    <row r="3" spans="1:11" ht="20.399999999999999" x14ac:dyDescent="0.2">
      <c r="A3" s="1037"/>
      <c r="B3" s="1021"/>
      <c r="C3" s="1024"/>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-1.5711869250191718E-2</v>
      </c>
      <c r="E7" s="283">
        <f>IF(ISERROR((E42+E44)/E45),0,((E42+E44)/E45))</f>
        <v>9.0740364226328987E-2</v>
      </c>
      <c r="F7" s="125">
        <f>IF(ISERROR((F42+F44)/F45),0,((F42+F44)/F45))</f>
        <v>0</v>
      </c>
      <c r="G7" s="125">
        <f>IF(ISERROR((G42+G44)/G45),0,((G42+G44)/G45))</f>
        <v>0.12628850986297274</v>
      </c>
      <c r="H7" s="277">
        <f>IF(ISERROR((H42+H44)/H45),0,((H42+H44)/H45))</f>
        <v>3.527448422880624E-2</v>
      </c>
    </row>
    <row r="8" spans="1:11" ht="30" customHeight="1" x14ac:dyDescent="0.2">
      <c r="A8" s="127" t="s">
        <v>1074</v>
      </c>
      <c r="B8" s="124" t="s">
        <v>67</v>
      </c>
      <c r="C8" s="175"/>
      <c r="D8" s="121">
        <f>IF(ISERROR(D47/D46),0,(D47/D46))</f>
        <v>3.4618315873345012E-3</v>
      </c>
      <c r="E8" s="283">
        <f>IF(ISERROR(E47/E46),0,(E47/E46))</f>
        <v>0.20114482061635999</v>
      </c>
      <c r="F8" s="125">
        <f>IF(ISERROR(F47/F46),0,(F47/F46))</f>
        <v>0</v>
      </c>
      <c r="G8" s="125">
        <f>IF(ISERROR(G47/G46),0,(G47/G46))</f>
        <v>0</v>
      </c>
      <c r="H8" s="277">
        <f>IF(ISERROR(H47/H46),0,(H47/H46))</f>
        <v>0.20114482061635999</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7.2928541180003498E-2</v>
      </c>
      <c r="E10" s="283">
        <f>IF(ISERROR(E48/E49),0,(E48/E49))</f>
        <v>8.4314670157405555E-2</v>
      </c>
      <c r="F10" s="125">
        <f>IF(ISERROR(F48/F49),0,(F48/F49))</f>
        <v>0</v>
      </c>
      <c r="G10" s="125">
        <f>IF(ISERROR(G48/G49),0,(G48/G49))</f>
        <v>7.6415373748803611E-2</v>
      </c>
      <c r="H10" s="277">
        <f>IF(ISERROR(H48/H49),0,(H48/H49))</f>
        <v>0.11074720714491655</v>
      </c>
    </row>
    <row r="11" spans="1:11" ht="12.75" customHeight="1" x14ac:dyDescent="0.2">
      <c r="A11" s="127" t="s">
        <v>757</v>
      </c>
      <c r="B11" s="124" t="s">
        <v>741</v>
      </c>
      <c r="C11" s="175"/>
      <c r="D11" s="121">
        <f>IF(ISERROR(D51/D50),0,(D51/D50))</f>
        <v>6.9611904137801037E-2</v>
      </c>
      <c r="E11" s="283">
        <f>IF(ISERROR(E51/E50),0,(E51/E50))</f>
        <v>0.10441842939533037</v>
      </c>
      <c r="F11" s="125">
        <f>IF(ISERROR(F51/F50),0,(F51/F50))</f>
        <v>0</v>
      </c>
      <c r="G11" s="125">
        <f>IF(ISERROR(G51/G50),0,(G51/G50))</f>
        <v>6.9611904137801037E-2</v>
      </c>
      <c r="H11" s="277">
        <f>IF(ISERROR(H51/H50),0,(H51/H50))</f>
        <v>0.12081275473927099</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2.2855091009052479</v>
      </c>
      <c r="E13" s="283">
        <f>IF(ISERROR(E52/E53),0,(E52/E53))</f>
        <v>1.5406815715791609</v>
      </c>
      <c r="F13" s="125">
        <f>IF(ISERROR(F52/F53),0,(F52/F53))</f>
        <v>0</v>
      </c>
      <c r="G13" s="125">
        <f>IF(ISERROR(G52/G53),0,(G52/G53))</f>
        <v>2.1240234518922074</v>
      </c>
      <c r="H13" s="277">
        <f>IF(ISERROR(H52/H53),0,(H52/H53))</f>
        <v>0.82178179358249281</v>
      </c>
    </row>
    <row r="14" spans="1:11" ht="12.75" customHeight="1" x14ac:dyDescent="0.2">
      <c r="A14" s="127" t="s">
        <v>760</v>
      </c>
      <c r="B14" s="124" t="s">
        <v>445</v>
      </c>
      <c r="C14" s="175"/>
      <c r="D14" s="121">
        <f>IF(ISERROR(D54/D53),0,(D54/D53))</f>
        <v>0.32488387432191146</v>
      </c>
      <c r="E14" s="283">
        <f>IF(ISERROR(E54/E53),0,(E54/E53))</f>
        <v>0.47028729708897088</v>
      </c>
      <c r="F14" s="125">
        <f>IF(ISERROR(F54/F53),0,(F54/F53))</f>
        <v>0</v>
      </c>
      <c r="G14" s="125">
        <f>IF(ISERROR(G54/G53),0,(G54/G53))</f>
        <v>0.30411706660790155</v>
      </c>
      <c r="H14" s="277">
        <f>IF(ISERROR(H54/H53),0,(H54/H53))</f>
        <v>0.17883382261384403</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0.50025146477354265</v>
      </c>
      <c r="E17" s="283">
        <f>IF(ISERROR(E59/E55),0,(E59/E55))</f>
        <v>0.1528181569774397</v>
      </c>
      <c r="F17" s="125">
        <f>IF(ISERROR(F59/F55),0,(F59/F55))</f>
        <v>0</v>
      </c>
      <c r="G17" s="125">
        <f>IF(ISERROR(G59/G55),0,(G59/G55))</f>
        <v>2.5909801335075477</v>
      </c>
      <c r="H17" s="277">
        <f>IF(ISERROR(H59/H55),0,(H59/H55))</f>
        <v>0.14157663577897445</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0.29070809930931235</v>
      </c>
      <c r="E26" s="283">
        <f>IF(ISERROR(E40/E55),0,(E40/E55))</f>
        <v>0.24268783433350941</v>
      </c>
      <c r="F26" s="125">
        <f>IF(ISERROR(F40/F55),0,(F40/F55))</f>
        <v>0</v>
      </c>
      <c r="G26" s="125">
        <f>IF(ISERROR(G40/G55),0,(G40/G55))</f>
        <v>0.11743346591345641</v>
      </c>
      <c r="H26" s="277">
        <f>IF(ISERROR(H40/H55),0,(H40/H55))</f>
        <v>0.24268783433350941</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1.4423656835596084E-2</v>
      </c>
      <c r="E28" s="283">
        <f>IF(ISERROR((E42+E44)/E55),0,((E42+E44)/E55))</f>
        <v>8.4863016382787981E-2</v>
      </c>
      <c r="F28" s="125">
        <f>IF(ISERROR((F42+F44)/F55),0,((F42+F44)/F55))</f>
        <v>0</v>
      </c>
      <c r="G28" s="125">
        <f>IF(ISERROR((G42+G44)/G55),0,((G42+G44)/G55))</f>
        <v>5.7124910048926641E-2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c r="E32" s="776"/>
      <c r="F32" s="777"/>
      <c r="G32" s="777"/>
      <c r="H32" s="778"/>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516939431</v>
      </c>
      <c r="E38" s="85">
        <f>'C6-FinPos'!D38</f>
        <v>783313000</v>
      </c>
      <c r="F38" s="85">
        <f>'C6-FinPos'!E38</f>
        <v>0</v>
      </c>
      <c r="G38" s="98">
        <f>'C6-FinPos'!F38</f>
        <v>516939431</v>
      </c>
      <c r="H38" s="49">
        <v>0</v>
      </c>
    </row>
    <row r="39" spans="1:9" ht="12.75" customHeight="1" x14ac:dyDescent="0.2">
      <c r="A39" s="43" t="s">
        <v>542</v>
      </c>
      <c r="B39" s="68"/>
      <c r="C39" s="68"/>
      <c r="D39" s="85">
        <f>'C6-FinPos'!C26</f>
        <v>16888706000.830099</v>
      </c>
      <c r="E39" s="85">
        <f>'C6-FinPos'!D26</f>
        <v>17680247166.650002</v>
      </c>
      <c r="F39" s="85">
        <f>'C6-FinPos'!E26</f>
        <v>0</v>
      </c>
      <c r="G39" s="98">
        <f>'C6-FinPos'!F26</f>
        <v>16192623291.41</v>
      </c>
      <c r="H39" s="49">
        <f>'C6-FinPos'!G26</f>
        <v>16202627753.380001</v>
      </c>
    </row>
    <row r="40" spans="1:9" ht="12.75" customHeight="1" x14ac:dyDescent="0.2">
      <c r="A40" s="43" t="str">
        <f>'C4-FinPerf RE'!A25</f>
        <v>Employee related costs</v>
      </c>
      <c r="B40" s="68"/>
      <c r="C40" s="68"/>
      <c r="D40" s="85">
        <f>'C4-FinPerf RE'!C25</f>
        <v>814641856.03000069</v>
      </c>
      <c r="E40" s="85">
        <f>'C4-FinPerf RE'!D25</f>
        <v>921191480</v>
      </c>
      <c r="F40" s="85">
        <f>'C4-FinPerf RE'!E25</f>
        <v>0</v>
      </c>
      <c r="G40" s="98">
        <f>'C4-FinPerf RE'!G25</f>
        <v>66737389.730000012</v>
      </c>
      <c r="H40" s="49">
        <f>'C4-FinPerf RE'!K25</f>
        <v>921191480</v>
      </c>
    </row>
    <row r="41" spans="1:9" ht="12.75" customHeight="1" x14ac:dyDescent="0.2">
      <c r="A41" s="43" t="str">
        <f>A27</f>
        <v>Repairs &amp; Maintenance</v>
      </c>
      <c r="B41" s="68"/>
      <c r="C41" s="68"/>
      <c r="D41" s="779"/>
      <c r="E41" s="779"/>
      <c r="F41" s="779"/>
      <c r="G41" s="779"/>
      <c r="H41" s="780"/>
    </row>
    <row r="42" spans="1:9" ht="12.75" customHeight="1" x14ac:dyDescent="0.2">
      <c r="A42" s="43" t="s">
        <v>543</v>
      </c>
      <c r="B42" s="68"/>
      <c r="C42" s="68"/>
      <c r="D42" s="85">
        <f>'C4-FinPerf RE'!C29</f>
        <v>40268907.729999997</v>
      </c>
      <c r="E42" s="85">
        <f>'C4-FinPerf RE'!D29</f>
        <v>85122000</v>
      </c>
      <c r="F42" s="85">
        <f>'C4-FinPerf RE'!E29</f>
        <v>0</v>
      </c>
      <c r="G42" s="98">
        <f>'C4-FinPerf RE'!G29</f>
        <v>32464062.57</v>
      </c>
      <c r="H42" s="49">
        <f>'C4-FinPerf RE'!K29</f>
        <v>85122000</v>
      </c>
    </row>
    <row r="43" spans="1:9" ht="12.75" customHeight="1" x14ac:dyDescent="0.2">
      <c r="A43" s="43" t="s">
        <v>88</v>
      </c>
      <c r="B43" s="68"/>
      <c r="C43" s="68"/>
      <c r="D43" s="85">
        <f>-'C7-CFlow'!C36</f>
        <v>84933749.340000004</v>
      </c>
      <c r="E43" s="85">
        <f>-'C7-CFlow'!D36</f>
        <v>60000000</v>
      </c>
      <c r="F43" s="85">
        <f>-'C7-CFlow'!E36</f>
        <v>0</v>
      </c>
      <c r="G43" s="98">
        <f>-'C7-CFlow'!G36</f>
        <v>16428618.869999999</v>
      </c>
      <c r="H43" s="49">
        <f>-'C7-CFlow'!K36</f>
        <v>60000000</v>
      </c>
    </row>
    <row r="44" spans="1:9" ht="12.75" customHeight="1" x14ac:dyDescent="0.2">
      <c r="A44" s="43" t="s">
        <v>544</v>
      </c>
      <c r="B44" s="68"/>
      <c r="C44" s="68"/>
      <c r="D44" s="85">
        <f>'C4-FinPerf RE'!C28</f>
        <v>150036.91999999998</v>
      </c>
      <c r="E44" s="85">
        <f>'C4-FinPerf RE'!D28</f>
        <v>236999988</v>
      </c>
      <c r="F44" s="85">
        <f>'C4-FinPerf RE'!E28</f>
        <v>0</v>
      </c>
      <c r="G44" s="98"/>
      <c r="H44" s="49">
        <f>'C4-FinPerf RE'!K26</f>
        <v>40099968</v>
      </c>
    </row>
    <row r="45" spans="1:9" ht="12.75" customHeight="1" x14ac:dyDescent="0.2">
      <c r="A45" s="43" t="s">
        <v>0</v>
      </c>
      <c r="B45" s="68"/>
      <c r="C45" s="68"/>
      <c r="D45" s="85">
        <f>'C4-FinPerf RE'!C36</f>
        <v>2842745245.5700011</v>
      </c>
      <c r="E45" s="85">
        <f>'C4-FinPerf RE'!D36</f>
        <v>3549930516</v>
      </c>
      <c r="F45" s="85">
        <f>'C4-FinPerf RE'!E36</f>
        <v>0</v>
      </c>
      <c r="G45" s="98">
        <f>'C4-FinPerf RE'!G36</f>
        <v>257062678.19</v>
      </c>
      <c r="H45" s="49">
        <f>'C4-FinPerf RE'!K36</f>
        <v>3549930516</v>
      </c>
    </row>
    <row r="46" spans="1:9" ht="12.75" customHeight="1" x14ac:dyDescent="0.2">
      <c r="A46" s="43" t="str">
        <f>'C5-Capex'!A40</f>
        <v>Total Capital Expenditure</v>
      </c>
      <c r="B46" s="68"/>
      <c r="C46" s="68"/>
      <c r="D46" s="85">
        <f>'C5-Capex'!C40</f>
        <v>1251680775.5331488</v>
      </c>
      <c r="E46" s="85">
        <f>'C5-Capex'!D40</f>
        <v>1889186104</v>
      </c>
      <c r="F46" s="85">
        <f>'C5-Capex'!E40</f>
        <v>0</v>
      </c>
      <c r="G46" s="98">
        <f>'C5-Capex'!G40</f>
        <v>85297669.118499994</v>
      </c>
      <c r="H46" s="49">
        <f>'C5-Capex'!K40</f>
        <v>1889186104</v>
      </c>
    </row>
    <row r="47" spans="1:9" ht="12.75" customHeight="1" x14ac:dyDescent="0.2">
      <c r="A47" s="43" t="s">
        <v>547</v>
      </c>
      <c r="B47" s="68"/>
      <c r="C47" s="68"/>
      <c r="D47" s="85">
        <f>'C5-Capex'!C72</f>
        <v>4333108.0460000001</v>
      </c>
      <c r="E47" s="85">
        <f>'C5-Capex'!D72</f>
        <v>380000000</v>
      </c>
      <c r="F47" s="85">
        <f>'C5-Capex'!E72</f>
        <v>0</v>
      </c>
      <c r="G47" s="98">
        <f>'C5-Capex'!G72</f>
        <v>0</v>
      </c>
      <c r="H47" s="49">
        <f>'C5-Capex'!K72</f>
        <v>380000000</v>
      </c>
    </row>
    <row r="48" spans="1:9" ht="12.75" customHeight="1" x14ac:dyDescent="0.2">
      <c r="A48" s="43" t="s">
        <v>545</v>
      </c>
      <c r="B48" s="68"/>
      <c r="C48" s="68"/>
      <c r="D48" s="85">
        <f>'C6-FinPos'!C30+'C6-FinPos'!C31+'C6-FinPos'!C33+'C6-FinPos'!C38</f>
        <v>1112520494.3320775</v>
      </c>
      <c r="E48" s="85">
        <f>'C6-FinPos'!D30+'C6-FinPos'!D31+'C6-FinPos'!D33+'C6-FinPos'!D38</f>
        <v>1342117000</v>
      </c>
      <c r="F48" s="85">
        <f>'C6-FinPos'!E30+'C6-FinPos'!E31+'C6-FinPos'!E33+'C6-FinPos'!E38</f>
        <v>0</v>
      </c>
      <c r="G48" s="85">
        <f>'C6-FinPos'!F30+'C6-FinPos'!F31+'C6-FinPos'!F33+'C6-FinPos'!F38</f>
        <v>1112520494.3320775</v>
      </c>
      <c r="H48" s="49">
        <f>'C6-FinPos'!G30+'C6-FinPos'!G31+'C6-FinPos'!G33+'C6-FinPos'!G38</f>
        <v>1563094000</v>
      </c>
    </row>
    <row r="49" spans="1:8" ht="12.75" customHeight="1" x14ac:dyDescent="0.2">
      <c r="A49" s="43" t="s">
        <v>546</v>
      </c>
      <c r="B49" s="68"/>
      <c r="C49" s="68"/>
      <c r="D49" s="85">
        <f>'C6-FinPos'!C48</f>
        <v>15254939648.198021</v>
      </c>
      <c r="E49" s="85">
        <f>'C6-FinPos'!D48</f>
        <v>15917953512.650002</v>
      </c>
      <c r="F49" s="85">
        <f>'C6-FinPos'!E48</f>
        <v>0</v>
      </c>
      <c r="G49" s="98">
        <f>'C6-FinPos'!F48</f>
        <v>14558856938.77792</v>
      </c>
      <c r="H49" s="49">
        <f>'C6-FinPos'!G48</f>
        <v>14114071499.380001</v>
      </c>
    </row>
    <row r="50" spans="1:8" ht="12.75" customHeight="1" x14ac:dyDescent="0.2">
      <c r="A50" s="43" t="str">
        <f>'C6-FinPos'!A47</f>
        <v>Reserves</v>
      </c>
      <c r="B50" s="68"/>
      <c r="C50" s="68"/>
      <c r="D50" s="85">
        <f>'C6-FinPos'!C47</f>
        <v>7426020555</v>
      </c>
      <c r="E50" s="85">
        <f>'C6-FinPos'!D47</f>
        <v>7501673838</v>
      </c>
      <c r="F50" s="85">
        <f>'C6-FinPos'!E47</f>
        <v>0</v>
      </c>
      <c r="G50" s="98">
        <f>'C6-FinPos'!F47</f>
        <v>7426020555</v>
      </c>
      <c r="H50" s="49">
        <f>'C6-FinPos'!G47</f>
        <v>7426020555</v>
      </c>
    </row>
    <row r="51" spans="1:8" ht="12.75" customHeight="1" x14ac:dyDescent="0.2">
      <c r="A51" s="43" t="str">
        <f>'C6-FinPos'!A38</f>
        <v>Borrowing</v>
      </c>
      <c r="B51" s="68"/>
      <c r="C51" s="68"/>
      <c r="D51" s="85">
        <f>'C6-FinPos'!C38</f>
        <v>516939431</v>
      </c>
      <c r="E51" s="85">
        <f>'C6-FinPos'!D38</f>
        <v>783313000</v>
      </c>
      <c r="F51" s="85">
        <f>'C6-FinPos'!E38</f>
        <v>0</v>
      </c>
      <c r="G51" s="98">
        <f>'C6-FinPos'!F38</f>
        <v>516939431</v>
      </c>
      <c r="H51" s="49">
        <f>'C6-FinPos'!G38</f>
        <v>897158000</v>
      </c>
    </row>
    <row r="52" spans="1:8" ht="12.75" customHeight="1" x14ac:dyDescent="0.2">
      <c r="A52" s="43" t="str">
        <f>'C6-FinPos'!A6</f>
        <v>Current assets</v>
      </c>
      <c r="B52" s="68"/>
      <c r="C52" s="68"/>
      <c r="D52" s="85">
        <f>'C6-FinPos'!C13</f>
        <v>1868593882.3600001</v>
      </c>
      <c r="E52" s="85">
        <f>'C6-FinPos'!D13</f>
        <v>973408779.65000021</v>
      </c>
      <c r="F52" s="85">
        <f>'C6-FinPos'!E13</f>
        <v>0</v>
      </c>
      <c r="G52" s="98">
        <f>'C6-FinPos'!F13</f>
        <v>1736565926</v>
      </c>
      <c r="H52" s="49">
        <f>'C6-FinPos'!G13</f>
        <v>733156365.42999995</v>
      </c>
    </row>
    <row r="53" spans="1:8" ht="12.75" customHeight="1" x14ac:dyDescent="0.2">
      <c r="A53" s="43" t="str">
        <f>'C6-FinPos'!A29</f>
        <v>Current liabilities</v>
      </c>
      <c r="B53" s="68"/>
      <c r="C53" s="68"/>
      <c r="D53" s="85">
        <f>'C6-FinPos'!C35</f>
        <v>817583216.63207757</v>
      </c>
      <c r="E53" s="85">
        <f>'C6-FinPos'!D35</f>
        <v>631804000</v>
      </c>
      <c r="F53" s="85">
        <f>'C6-FinPos'!E35</f>
        <v>0</v>
      </c>
      <c r="G53" s="98">
        <f>'C6-FinPos'!F35</f>
        <v>817583216.63207757</v>
      </c>
      <c r="H53" s="49">
        <f>'C6-FinPos'!G35</f>
        <v>892154549</v>
      </c>
    </row>
    <row r="54" spans="1:8" ht="12.75" customHeight="1" x14ac:dyDescent="0.2">
      <c r="A54" s="43" t="s">
        <v>548</v>
      </c>
      <c r="B54" s="68"/>
      <c r="C54" s="68"/>
      <c r="D54" s="85">
        <f>'C6-FinPos'!C7+'C6-FinPos'!C8</f>
        <v>265619603</v>
      </c>
      <c r="E54" s="85">
        <f>'C6-FinPos'!D7+'C6-FinPos'!D8</f>
        <v>297129395.45000017</v>
      </c>
      <c r="F54" s="85">
        <f>'C6-FinPos'!E7+'C6-FinPos'!E8</f>
        <v>0</v>
      </c>
      <c r="G54" s="98">
        <f>'C6-FinPos'!F7+'C6-FinPos'!F8</f>
        <v>248641009.54999992</v>
      </c>
      <c r="H54" s="49">
        <f>'C6-FinPos'!G7+'C6-FinPos'!G8</f>
        <v>159547408.36000001</v>
      </c>
    </row>
    <row r="55" spans="1:8" ht="12.75" customHeight="1" x14ac:dyDescent="0.2">
      <c r="A55" s="43" t="str">
        <f>'C4-FinPerf RE'!A22</f>
        <v>Total Revenue (excluding capital transfers and contributions)</v>
      </c>
      <c r="B55" s="68"/>
      <c r="C55" s="68"/>
      <c r="D55" s="85">
        <f>'C4-FinPerf RE'!C22</f>
        <v>2802267490.8800001</v>
      </c>
      <c r="E55" s="85">
        <f>'C4-FinPerf RE'!D22</f>
        <v>3795787632</v>
      </c>
      <c r="F55" s="85">
        <f>'C4-FinPerf RE'!E22</f>
        <v>0</v>
      </c>
      <c r="G55" s="98">
        <f>'C4-FinPerf RE'!G22</f>
        <v>568299583.17999995</v>
      </c>
      <c r="H55" s="49">
        <f>'C4-FinPerf RE'!K22</f>
        <v>3795787632</v>
      </c>
    </row>
    <row r="56" spans="1:8" ht="12.75" customHeight="1" x14ac:dyDescent="0.2">
      <c r="A56" s="43" t="str">
        <f>'C4-FinPerf RE'!A19</f>
        <v>Transfers and subsidies</v>
      </c>
      <c r="B56" s="68"/>
      <c r="C56" s="68"/>
      <c r="D56" s="85">
        <f>'C4-FinPerf RE'!C19</f>
        <v>754960752.45999992</v>
      </c>
      <c r="E56" s="85">
        <f>'C4-FinPerf RE'!D19</f>
        <v>1039367004</v>
      </c>
      <c r="F56" s="85">
        <f>'C4-FinPerf RE'!E19</f>
        <v>0</v>
      </c>
      <c r="G56" s="98">
        <f>'C4-FinPerf RE'!G19</f>
        <v>385169274.88999999</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844474957.95000005</v>
      </c>
      <c r="E57" s="85">
        <f>'C4-FinPerf RE'!D39</f>
        <v>1267135992</v>
      </c>
      <c r="F57" s="85">
        <f>'C4-FinPerf RE'!E39</f>
        <v>0</v>
      </c>
      <c r="G57" s="98">
        <f>'C4-FinPerf RE'!G39</f>
        <v>85297669.118499994</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0</v>
      </c>
      <c r="G58" s="98">
        <f>'C7-CFlow'!G16+'C7-CFlow'!G36</f>
        <v>-48892681.439999998</v>
      </c>
      <c r="H58" s="49">
        <f>'C7-CFlow'!K16+'C7-CFlow'!K36</f>
        <v>-144866634</v>
      </c>
    </row>
    <row r="59" spans="1:8" ht="12.75" customHeight="1" x14ac:dyDescent="0.2">
      <c r="A59" s="43" t="s">
        <v>541</v>
      </c>
      <c r="B59" s="68"/>
      <c r="C59" s="68"/>
      <c r="D59" s="85">
        <f>'C6-FinPos'!C9+'C6-FinPos'!C10+'C6-FinPos'!C11+'C6-FinPos'!C16</f>
        <v>1401838417</v>
      </c>
      <c r="E59" s="85">
        <f>'C6-FinPos'!D9+'C6-FinPos'!D10+'C6-FinPos'!D11+'C6-FinPos'!D16</f>
        <v>580065270.20000005</v>
      </c>
      <c r="F59" s="85">
        <f>'C6-FinPos'!E9+'C6-FinPos'!E10+'C6-FinPos'!E11+'C6-FinPos'!E16</f>
        <v>0</v>
      </c>
      <c r="G59" s="98">
        <f>'C6-FinPos'!F9+'C6-FinPos'!F10+'C6-FinPos'!F11+'C6-FinPos'!F16</f>
        <v>1472452929.9000001</v>
      </c>
      <c r="H59" s="49">
        <f>'C6-FinPos'!G9+'C6-FinPos'!G10+'C6-FinPos'!G11+'C6-FinPos'!G16</f>
        <v>537394843.06999993</v>
      </c>
    </row>
    <row r="60" spans="1:8" ht="12.75" customHeight="1" x14ac:dyDescent="0.2">
      <c r="A60" s="43" t="s">
        <v>457</v>
      </c>
      <c r="B60" s="68"/>
      <c r="C60" s="68"/>
      <c r="D60" s="85">
        <f>SUM('C4-FinPerf RE'!C7:C11)</f>
        <v>1403153318.8399999</v>
      </c>
      <c r="E60" s="85">
        <f>SUM('C4-FinPerf RE'!D7:D11)</f>
        <v>1766071008</v>
      </c>
      <c r="F60" s="85">
        <f>SUM('C4-FinPerf RE'!E7:E11)</f>
        <v>0</v>
      </c>
      <c r="G60" s="98">
        <f>SUM('C4-FinPerf RE'!G7:G11)</f>
        <v>119485702.00000001</v>
      </c>
      <c r="H60" s="49"/>
    </row>
    <row r="61" spans="1:8" ht="12.75" customHeight="1" x14ac:dyDescent="0.2">
      <c r="A61" s="43" t="s">
        <v>458</v>
      </c>
      <c r="B61" s="68" t="s">
        <v>459</v>
      </c>
      <c r="C61" s="68"/>
      <c r="D61" s="85">
        <f>'C6-FinPos'!C7+'C6-FinPos'!C8+'C6-FinPos'!C17-'C6-FinPos'!C30</f>
        <v>265620603.00000009</v>
      </c>
      <c r="E61" s="85">
        <f>'C6-FinPos'!D7+'C6-FinPos'!D8+'C6-FinPos'!D17-'C6-FinPos'!D30</f>
        <v>297130395.45000017</v>
      </c>
      <c r="F61" s="85">
        <f>'C6-FinPos'!E7+'C6-FinPos'!E8+'C6-FinPos'!E17-'C6-FinPos'!E30</f>
        <v>0</v>
      </c>
      <c r="G61" s="98">
        <f>'C6-FinPos'!F7+'C6-FinPos'!F8+'C6-FinPos'!F17-'C6-FinPos'!F30</f>
        <v>248642009.55000001</v>
      </c>
      <c r="H61" s="49">
        <f>'C6-FinPos'!G7+'C6-FinPos'!G8+'C6-FinPos'!G17-'C6-FinPos'!G30</f>
        <v>159547408.36000001</v>
      </c>
    </row>
    <row r="62" spans="1:8" ht="12.75" customHeight="1" x14ac:dyDescent="0.2">
      <c r="A62" s="43" t="s">
        <v>747</v>
      </c>
      <c r="B62" s="68"/>
      <c r="C62" s="68"/>
      <c r="D62" s="779"/>
      <c r="E62" s="779"/>
      <c r="F62" s="779"/>
      <c r="G62" s="779"/>
      <c r="H62" s="780"/>
    </row>
    <row r="63" spans="1:8" ht="12.75" customHeight="1" x14ac:dyDescent="0.2">
      <c r="A63" s="43" t="s">
        <v>802</v>
      </c>
      <c r="B63" s="68"/>
      <c r="C63" s="68"/>
      <c r="D63" s="118">
        <f>'C6-FinPos'!C16</f>
        <v>0</v>
      </c>
      <c r="E63" s="118">
        <f>'C6-FinPos'!D16</f>
        <v>0</v>
      </c>
      <c r="F63" s="118">
        <f>'C6-FinPos'!E16</f>
        <v>0</v>
      </c>
      <c r="G63" s="328">
        <f>'C6-FinPos'!F16</f>
        <v>0</v>
      </c>
      <c r="H63" s="343">
        <f>'C6-FinPos'!G16</f>
        <v>0</v>
      </c>
    </row>
    <row r="64" spans="1:8" ht="12.75" customHeight="1" x14ac:dyDescent="0.2">
      <c r="A64" s="43" t="s">
        <v>746</v>
      </c>
      <c r="B64" s="68"/>
      <c r="C64" s="68"/>
      <c r="D64" s="781"/>
      <c r="E64" s="781"/>
      <c r="F64" s="781"/>
      <c r="G64" s="781"/>
      <c r="H64" s="782"/>
    </row>
    <row r="65" spans="1:8" ht="12.75" customHeight="1" x14ac:dyDescent="0.2">
      <c r="A65" s="92" t="s">
        <v>803</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8"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tabSelected="1" zoomScaleNormal="100" workbookViewId="0">
      <pane xSplit="1" ySplit="3" topLeftCell="B4" activePane="bottomRight" state="frozen"/>
      <selection pane="topRight"/>
      <selection pane="bottomLeft"/>
      <selection pane="bottomRight" activeCell="F24" sqref="F24"/>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31" t="str">
        <f>muni&amp; " - "&amp;S71I&amp; " - "&amp;Head57</f>
        <v>LIM354 Polokwane - Supporting Table SC3 Monthly Budget Statement - aged debtors - M01 July</v>
      </c>
      <c r="B1" s="1031"/>
      <c r="C1" s="1038"/>
      <c r="D1" s="1038"/>
      <c r="E1" s="1038"/>
      <c r="F1" s="1038"/>
      <c r="G1" s="1038"/>
      <c r="H1" s="1038"/>
      <c r="I1" s="1038"/>
      <c r="J1" s="1038"/>
      <c r="K1" s="1038"/>
      <c r="L1" s="1038"/>
      <c r="M1" s="1038"/>
      <c r="N1" s="163"/>
      <c r="O1" s="409"/>
    </row>
    <row r="2" spans="1:16" ht="13.35" customHeight="1" x14ac:dyDescent="0.2">
      <c r="A2" s="358" t="str">
        <f>desc</f>
        <v>Description</v>
      </c>
      <c r="B2" s="903"/>
      <c r="C2" s="1039" t="str">
        <f>Head2</f>
        <v>Budget Year 2019/20</v>
      </c>
      <c r="D2" s="1040"/>
      <c r="E2" s="1040"/>
      <c r="F2" s="1040"/>
      <c r="G2" s="1040"/>
      <c r="H2" s="1040"/>
      <c r="I2" s="1040"/>
      <c r="J2" s="1040"/>
      <c r="K2" s="1040"/>
      <c r="L2" s="1040"/>
      <c r="M2" s="1040"/>
      <c r="N2" s="1041"/>
      <c r="O2" s="921"/>
    </row>
    <row r="3" spans="1:16" ht="52.5" customHeight="1" x14ac:dyDescent="0.2">
      <c r="A3" s="910" t="s">
        <v>687</v>
      </c>
      <c r="B3" s="902" t="s">
        <v>756</v>
      </c>
      <c r="C3" s="906" t="s">
        <v>13</v>
      </c>
      <c r="D3" s="907" t="s">
        <v>14</v>
      </c>
      <c r="E3" s="907" t="s">
        <v>15</v>
      </c>
      <c r="F3" s="907" t="s">
        <v>16</v>
      </c>
      <c r="G3" s="907" t="s">
        <v>17</v>
      </c>
      <c r="H3" s="907" t="s">
        <v>18</v>
      </c>
      <c r="I3" s="907" t="s">
        <v>19</v>
      </c>
      <c r="J3" s="908" t="s">
        <v>20</v>
      </c>
      <c r="K3" s="909" t="s">
        <v>56</v>
      </c>
      <c r="L3" s="909" t="s">
        <v>1119</v>
      </c>
      <c r="M3" s="909" t="s">
        <v>1120</v>
      </c>
      <c r="N3" s="909"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28136183</v>
      </c>
      <c r="D5" s="755">
        <v>14425524</v>
      </c>
      <c r="E5" s="755">
        <v>7117560</v>
      </c>
      <c r="F5" s="755">
        <v>5690815</v>
      </c>
      <c r="G5" s="755">
        <v>4487529</v>
      </c>
      <c r="H5" s="755">
        <v>5497824</v>
      </c>
      <c r="I5" s="755">
        <v>16316085</v>
      </c>
      <c r="J5" s="755">
        <v>227634734</v>
      </c>
      <c r="K5" s="135">
        <f>SUM(C5:J5)</f>
        <v>309306254</v>
      </c>
      <c r="L5" s="135">
        <f>SUM(F5:J5)</f>
        <v>259626987</v>
      </c>
      <c r="M5" s="757"/>
      <c r="N5" s="757"/>
      <c r="O5" s="922"/>
    </row>
    <row r="6" spans="1:16" ht="12.75" customHeight="1" x14ac:dyDescent="0.2">
      <c r="A6" s="40" t="s">
        <v>1098</v>
      </c>
      <c r="B6" s="170">
        <v>1300</v>
      </c>
      <c r="C6" s="755">
        <v>60086252</v>
      </c>
      <c r="D6" s="755">
        <v>23025221</v>
      </c>
      <c r="E6" s="755">
        <v>10274246</v>
      </c>
      <c r="F6" s="755">
        <v>6162265</v>
      </c>
      <c r="G6" s="755">
        <v>4109701</v>
      </c>
      <c r="H6" s="755">
        <v>4763021</v>
      </c>
      <c r="I6" s="755">
        <v>17295723</v>
      </c>
      <c r="J6" s="755">
        <v>68205397</v>
      </c>
      <c r="K6" s="135">
        <f>SUM(C6:J6)</f>
        <v>193921826</v>
      </c>
      <c r="L6" s="135">
        <f t="shared" ref="L6:L12" si="0">SUM(F6:J6)</f>
        <v>100536107</v>
      </c>
      <c r="M6" s="757"/>
      <c r="N6" s="757"/>
      <c r="O6" s="922"/>
    </row>
    <row r="7" spans="1:16" ht="12.75" customHeight="1" x14ac:dyDescent="0.2">
      <c r="A7" s="40" t="s">
        <v>1097</v>
      </c>
      <c r="B7" s="170">
        <v>1400</v>
      </c>
      <c r="C7" s="755">
        <v>30484925</v>
      </c>
      <c r="D7" s="755">
        <v>16221153</v>
      </c>
      <c r="E7" s="755">
        <v>12391137</v>
      </c>
      <c r="F7" s="755">
        <v>10425676</v>
      </c>
      <c r="G7" s="755">
        <v>9990026</v>
      </c>
      <c r="H7" s="755">
        <v>9183860</v>
      </c>
      <c r="I7" s="755">
        <v>52276392</v>
      </c>
      <c r="J7" s="755">
        <v>132627413</v>
      </c>
      <c r="K7" s="135">
        <f t="shared" ref="K7:K13" si="1">SUM(C7:J7)</f>
        <v>273600582</v>
      </c>
      <c r="L7" s="135">
        <f t="shared" si="0"/>
        <v>214503367</v>
      </c>
      <c r="M7" s="757"/>
      <c r="N7" s="757"/>
      <c r="O7" s="922"/>
    </row>
    <row r="8" spans="1:16" ht="12.75" customHeight="1" x14ac:dyDescent="0.2">
      <c r="A8" s="40" t="s">
        <v>1099</v>
      </c>
      <c r="B8" s="170">
        <v>1500</v>
      </c>
      <c r="C8" s="755">
        <v>8532273</v>
      </c>
      <c r="D8" s="755">
        <v>5177576</v>
      </c>
      <c r="E8" s="755">
        <v>3569006</v>
      </c>
      <c r="F8" s="755">
        <v>2968428</v>
      </c>
      <c r="G8" s="755">
        <v>2636746</v>
      </c>
      <c r="H8" s="755">
        <v>2524051</v>
      </c>
      <c r="I8" s="755">
        <v>9858362</v>
      </c>
      <c r="J8" s="755">
        <v>23087641</v>
      </c>
      <c r="K8" s="135">
        <f t="shared" si="1"/>
        <v>58354083</v>
      </c>
      <c r="L8" s="135">
        <f t="shared" si="0"/>
        <v>41075228</v>
      </c>
      <c r="M8" s="757"/>
      <c r="N8" s="757"/>
      <c r="O8" s="922"/>
    </row>
    <row r="9" spans="1:16" ht="12.75" customHeight="1" x14ac:dyDescent="0.2">
      <c r="A9" s="40" t="s">
        <v>1100</v>
      </c>
      <c r="B9" s="170">
        <v>1600</v>
      </c>
      <c r="C9" s="755">
        <v>9742104</v>
      </c>
      <c r="D9" s="755">
        <v>5818518</v>
      </c>
      <c r="E9" s="755">
        <v>4069992</v>
      </c>
      <c r="F9" s="755">
        <v>3504766</v>
      </c>
      <c r="G9" s="755">
        <v>3187449</v>
      </c>
      <c r="H9" s="755">
        <v>2928625</v>
      </c>
      <c r="I9" s="755">
        <v>12797647</v>
      </c>
      <c r="J9" s="755">
        <v>43451072</v>
      </c>
      <c r="K9" s="135">
        <f t="shared" si="1"/>
        <v>85500173</v>
      </c>
      <c r="L9" s="135">
        <f>SUM(F9:J9)</f>
        <v>65869559</v>
      </c>
      <c r="M9" s="757"/>
      <c r="N9" s="757"/>
      <c r="O9" s="922"/>
    </row>
    <row r="10" spans="1:16" ht="12.75" customHeight="1" x14ac:dyDescent="0.2">
      <c r="A10" s="40" t="s">
        <v>1101</v>
      </c>
      <c r="B10" s="170">
        <v>1700</v>
      </c>
      <c r="C10" s="755">
        <v>1373</v>
      </c>
      <c r="D10" s="755">
        <v>1214</v>
      </c>
      <c r="E10" s="755">
        <v>708</v>
      </c>
      <c r="F10" s="755">
        <v>465</v>
      </c>
      <c r="G10" s="755">
        <v>417</v>
      </c>
      <c r="H10" s="755">
        <v>410</v>
      </c>
      <c r="I10" s="755">
        <v>1419</v>
      </c>
      <c r="J10" s="755">
        <v>195274</v>
      </c>
      <c r="K10" s="135">
        <f t="shared" si="1"/>
        <v>201280</v>
      </c>
      <c r="L10" s="135">
        <f>SUM(F10:J10)</f>
        <v>197985</v>
      </c>
      <c r="M10" s="757"/>
      <c r="N10" s="757"/>
      <c r="O10" s="922"/>
    </row>
    <row r="11" spans="1:16" ht="12.75" customHeight="1" x14ac:dyDescent="0.2">
      <c r="A11" s="40" t="s">
        <v>1102</v>
      </c>
      <c r="B11" s="170">
        <v>1810</v>
      </c>
      <c r="C11" s="755">
        <v>7587015</v>
      </c>
      <c r="D11" s="755">
        <v>7270381</v>
      </c>
      <c r="E11" s="755">
        <v>879</v>
      </c>
      <c r="F11" s="755">
        <v>216022</v>
      </c>
      <c r="G11" s="755">
        <v>372978</v>
      </c>
      <c r="H11" s="755">
        <v>527055</v>
      </c>
      <c r="I11" s="755">
        <v>9702766</v>
      </c>
      <c r="J11" s="755">
        <v>201848195</v>
      </c>
      <c r="K11" s="135">
        <f t="shared" si="1"/>
        <v>227525291</v>
      </c>
      <c r="L11" s="135">
        <f t="shared" si="0"/>
        <v>212667016</v>
      </c>
      <c r="M11" s="757"/>
      <c r="N11" s="757"/>
      <c r="O11" s="922"/>
      <c r="P11" s="97"/>
    </row>
    <row r="12" spans="1:16" ht="12.75" customHeight="1" x14ac:dyDescent="0.2">
      <c r="A12" s="40" t="s">
        <v>1103</v>
      </c>
      <c r="B12" s="170">
        <v>1820</v>
      </c>
      <c r="C12" s="755">
        <v>0</v>
      </c>
      <c r="D12" s="755">
        <v>0</v>
      </c>
      <c r="E12" s="755">
        <v>0</v>
      </c>
      <c r="F12" s="755">
        <v>0</v>
      </c>
      <c r="G12" s="755">
        <v>0</v>
      </c>
      <c r="H12" s="755">
        <v>0</v>
      </c>
      <c r="I12" s="755">
        <v>0</v>
      </c>
      <c r="J12" s="755">
        <v>0</v>
      </c>
      <c r="K12" s="135">
        <f t="shared" si="1"/>
        <v>0</v>
      </c>
      <c r="L12" s="135">
        <f t="shared" si="0"/>
        <v>0</v>
      </c>
      <c r="M12" s="757"/>
      <c r="N12" s="757"/>
      <c r="O12" s="922"/>
      <c r="P12" s="97"/>
    </row>
    <row r="13" spans="1:16" ht="12.75" customHeight="1" x14ac:dyDescent="0.2">
      <c r="A13" s="40" t="s">
        <v>740</v>
      </c>
      <c r="B13" s="170">
        <v>1900</v>
      </c>
      <c r="C13" s="755">
        <v>-1902665</v>
      </c>
      <c r="D13" s="755">
        <v>-52906367</v>
      </c>
      <c r="E13" s="755">
        <v>5580893</v>
      </c>
      <c r="F13" s="755">
        <v>2070293</v>
      </c>
      <c r="G13" s="755">
        <v>1565001</v>
      </c>
      <c r="H13" s="755">
        <v>2784009</v>
      </c>
      <c r="I13" s="755">
        <v>4822739</v>
      </c>
      <c r="J13" s="755">
        <v>122286020</v>
      </c>
      <c r="K13" s="135">
        <f t="shared" si="1"/>
        <v>84299923</v>
      </c>
      <c r="L13" s="135">
        <f>SUM(F13:J13)</f>
        <v>133528062</v>
      </c>
      <c r="M13" s="757"/>
      <c r="N13" s="757"/>
      <c r="O13" s="922"/>
    </row>
    <row r="14" spans="1:16" ht="12.75" customHeight="1" x14ac:dyDescent="0.2">
      <c r="A14" s="54" t="s">
        <v>1104</v>
      </c>
      <c r="B14" s="286">
        <v>2000</v>
      </c>
      <c r="C14" s="57">
        <f t="shared" ref="C14:N14" si="2">SUM(C5:C13)</f>
        <v>142667460</v>
      </c>
      <c r="D14" s="56">
        <f t="shared" si="2"/>
        <v>19033220</v>
      </c>
      <c r="E14" s="56">
        <f t="shared" si="2"/>
        <v>43004421</v>
      </c>
      <c r="F14" s="56">
        <f t="shared" si="2"/>
        <v>31038730</v>
      </c>
      <c r="G14" s="56">
        <f t="shared" si="2"/>
        <v>26349847</v>
      </c>
      <c r="H14" s="56">
        <f t="shared" si="2"/>
        <v>28208855</v>
      </c>
      <c r="I14" s="56">
        <f t="shared" si="2"/>
        <v>123071133</v>
      </c>
      <c r="J14" s="84">
        <f t="shared" si="2"/>
        <v>819335746</v>
      </c>
      <c r="K14" s="113">
        <f t="shared" si="2"/>
        <v>1232709412</v>
      </c>
      <c r="L14" s="113">
        <f>SUM(L5:L13)</f>
        <v>1028004311</v>
      </c>
      <c r="M14" s="55">
        <f t="shared" si="2"/>
        <v>0</v>
      </c>
      <c r="N14" s="55">
        <f t="shared" si="2"/>
        <v>0</v>
      </c>
      <c r="O14" s="923"/>
    </row>
    <row r="15" spans="1:16" ht="12.75" customHeight="1" x14ac:dyDescent="0.2">
      <c r="A15" s="316" t="str">
        <f>Head1&amp;" - totals only"</f>
        <v>2018/19 - totals only</v>
      </c>
      <c r="B15" s="370"/>
      <c r="C15" s="755">
        <v>9774314.6899999958</v>
      </c>
      <c r="D15" s="743">
        <v>51932577.530000001</v>
      </c>
      <c r="E15" s="743">
        <v>112976705.56</v>
      </c>
      <c r="F15" s="743">
        <v>31075597.170000002</v>
      </c>
      <c r="G15" s="743">
        <v>23156396.690000005</v>
      </c>
      <c r="H15" s="743">
        <v>20564553.580000002</v>
      </c>
      <c r="I15" s="743">
        <v>99693556.989999995</v>
      </c>
      <c r="J15" s="754">
        <v>640786620.23000002</v>
      </c>
      <c r="K15" s="805">
        <f>SUM(C15:J15)</f>
        <v>989960322.44000006</v>
      </c>
      <c r="L15" s="371">
        <f>SUM(F15:J15)</f>
        <v>815276724.66000009</v>
      </c>
      <c r="M15" s="804"/>
      <c r="N15" s="904"/>
      <c r="O15" s="50"/>
    </row>
    <row r="16" spans="1:16" ht="12.75" customHeight="1" x14ac:dyDescent="0.2">
      <c r="A16" s="88" t="s">
        <v>1108</v>
      </c>
      <c r="B16" s="170"/>
      <c r="C16" s="47"/>
      <c r="D16" s="45"/>
      <c r="E16" s="45"/>
      <c r="F16" s="45"/>
      <c r="G16" s="45"/>
      <c r="H16" s="45"/>
      <c r="I16" s="45"/>
      <c r="J16" s="109"/>
      <c r="K16" s="135"/>
      <c r="L16" s="654"/>
      <c r="M16" s="46"/>
      <c r="N16" s="905"/>
    </row>
    <row r="17" spans="1:14" ht="12.75" customHeight="1" x14ac:dyDescent="0.2">
      <c r="A17" s="40" t="s">
        <v>1105</v>
      </c>
      <c r="B17" s="170">
        <v>2200</v>
      </c>
      <c r="C17" s="755">
        <v>14488785</v>
      </c>
      <c r="D17" s="743">
        <v>2457412</v>
      </c>
      <c r="E17" s="743">
        <v>5477655</v>
      </c>
      <c r="F17" s="743">
        <v>3936133</v>
      </c>
      <c r="G17" s="743">
        <v>3487253</v>
      </c>
      <c r="H17" s="743">
        <v>3333100</v>
      </c>
      <c r="I17" s="743">
        <v>19853489</v>
      </c>
      <c r="J17" s="754">
        <v>64812331</v>
      </c>
      <c r="K17" s="135">
        <f>SUM(C17:J17)</f>
        <v>117846158</v>
      </c>
      <c r="L17" s="654">
        <f>SUM(F17:J17)</f>
        <v>95422306</v>
      </c>
      <c r="M17" s="757"/>
      <c r="N17" s="758"/>
    </row>
    <row r="18" spans="1:14" ht="12.75" customHeight="1" x14ac:dyDescent="0.2">
      <c r="A18" s="40" t="s">
        <v>1106</v>
      </c>
      <c r="B18" s="170">
        <v>2300</v>
      </c>
      <c r="C18" s="755">
        <v>71817631</v>
      </c>
      <c r="D18" s="743">
        <v>10662696</v>
      </c>
      <c r="E18" s="743">
        <v>8755902</v>
      </c>
      <c r="F18" s="743">
        <v>5362499</v>
      </c>
      <c r="G18" s="743">
        <v>4132014</v>
      </c>
      <c r="H18" s="743">
        <v>3694736</v>
      </c>
      <c r="I18" s="743">
        <v>20091861</v>
      </c>
      <c r="J18" s="754">
        <v>165413639</v>
      </c>
      <c r="K18" s="135">
        <f>SUM(C18:J18)</f>
        <v>289930978</v>
      </c>
      <c r="L18" s="654">
        <f>SUM(F18:J18)</f>
        <v>198694749</v>
      </c>
      <c r="M18" s="757"/>
      <c r="N18" s="758"/>
    </row>
    <row r="19" spans="1:14" ht="12.75" customHeight="1" x14ac:dyDescent="0.2">
      <c r="A19" s="40" t="s">
        <v>705</v>
      </c>
      <c r="B19" s="170">
        <v>2400</v>
      </c>
      <c r="C19" s="755">
        <f>59361044-3000000</f>
        <v>56361044</v>
      </c>
      <c r="D19" s="743">
        <v>5913112</v>
      </c>
      <c r="E19" s="743">
        <v>28770864</v>
      </c>
      <c r="F19" s="743">
        <v>21740098</v>
      </c>
      <c r="G19" s="743">
        <v>18730580</v>
      </c>
      <c r="H19" s="743">
        <v>21181019</v>
      </c>
      <c r="I19" s="743">
        <v>83125783</v>
      </c>
      <c r="J19" s="754">
        <v>589109776</v>
      </c>
      <c r="K19" s="135">
        <f>SUM(C19:J19)</f>
        <v>824932276</v>
      </c>
      <c r="L19" s="654">
        <f>SUM(F19:J19)</f>
        <v>733887256</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142667460</v>
      </c>
      <c r="D21" s="56">
        <f t="shared" si="3"/>
        <v>19033220</v>
      </c>
      <c r="E21" s="56">
        <f t="shared" si="3"/>
        <v>43004421</v>
      </c>
      <c r="F21" s="56">
        <f t="shared" si="3"/>
        <v>31038730</v>
      </c>
      <c r="G21" s="56">
        <f t="shared" si="3"/>
        <v>26349847</v>
      </c>
      <c r="H21" s="56">
        <f t="shared" si="3"/>
        <v>28208855</v>
      </c>
      <c r="I21" s="56">
        <f t="shared" si="3"/>
        <v>123071133</v>
      </c>
      <c r="J21" s="84">
        <f>SUM(J17:J20)</f>
        <v>819335746</v>
      </c>
      <c r="K21" s="113">
        <f>SUM(K17:K20)</f>
        <v>1232709412</v>
      </c>
      <c r="L21" s="924">
        <f>SUM(L17:L20)</f>
        <v>1028004311</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8"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N11" sqref="N11"/>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1</v>
      </c>
    </row>
    <row r="11" spans="4:25" x14ac:dyDescent="0.25">
      <c r="W11" s="655" t="s">
        <v>891</v>
      </c>
      <c r="X11" s="710" t="str">
        <f>VLOOKUP(X10,W39:X55,2)</f>
        <v>M01 July</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11"/>
    </row>
    <row r="40" spans="22:25" x14ac:dyDescent="0.25">
      <c r="W40" s="655">
        <v>2</v>
      </c>
      <c r="X40" s="655" t="s">
        <v>887</v>
      </c>
      <c r="Y40" s="911"/>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8"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J18" sqref="J18"/>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31" t="str">
        <f>muni&amp; " - "&amp;S71J&amp; " - "&amp;Head57</f>
        <v>LIM354 Polokwane - Supporting Table SC4 Monthly Budget Statement - aged creditors  - M01 July</v>
      </c>
      <c r="B1" s="1031"/>
      <c r="C1" s="1031"/>
      <c r="D1" s="1031"/>
      <c r="E1" s="1031"/>
      <c r="F1" s="1031"/>
      <c r="G1" s="1031"/>
      <c r="H1" s="1031"/>
      <c r="I1" s="1031"/>
      <c r="J1" s="1031"/>
      <c r="K1" s="1031"/>
    </row>
    <row r="2" spans="1:12" ht="12.75" customHeight="1" x14ac:dyDescent="0.2">
      <c r="A2" s="1020" t="str">
        <f>desc</f>
        <v>Description</v>
      </c>
      <c r="B2" s="1042" t="s">
        <v>756</v>
      </c>
      <c r="C2" s="138" t="str">
        <f>Head2</f>
        <v>Budget Year 2019/20</v>
      </c>
      <c r="D2" s="138"/>
      <c r="E2" s="138"/>
      <c r="F2" s="138"/>
      <c r="G2" s="138"/>
      <c r="H2" s="138"/>
      <c r="I2" s="138"/>
      <c r="J2" s="138"/>
      <c r="K2" s="139"/>
      <c r="L2" s="1049" t="s">
        <v>79</v>
      </c>
    </row>
    <row r="3" spans="1:12" ht="12.75" customHeight="1" x14ac:dyDescent="0.2">
      <c r="A3" s="1055"/>
      <c r="B3" s="1043"/>
      <c r="C3" s="1045" t="s">
        <v>748</v>
      </c>
      <c r="D3" s="1047" t="s">
        <v>749</v>
      </c>
      <c r="E3" s="1047" t="s">
        <v>750</v>
      </c>
      <c r="F3" s="1047" t="s">
        <v>751</v>
      </c>
      <c r="G3" s="1047" t="s">
        <v>752</v>
      </c>
      <c r="H3" s="1047" t="s">
        <v>753</v>
      </c>
      <c r="I3" s="1047" t="s">
        <v>754</v>
      </c>
      <c r="J3" s="1052" t="s">
        <v>755</v>
      </c>
      <c r="K3" s="1054" t="s">
        <v>520</v>
      </c>
      <c r="L3" s="1050"/>
    </row>
    <row r="4" spans="1:12" ht="12.75" customHeight="1" x14ac:dyDescent="0.2">
      <c r="A4" s="35" t="s">
        <v>687</v>
      </c>
      <c r="B4" s="1044"/>
      <c r="C4" s="1046"/>
      <c r="D4" s="1048"/>
      <c r="E4" s="1048"/>
      <c r="F4" s="1048"/>
      <c r="G4" s="1048"/>
      <c r="H4" s="1048"/>
      <c r="I4" s="1048"/>
      <c r="J4" s="1053"/>
      <c r="K4" s="1044"/>
      <c r="L4" s="1051"/>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103685109.11</v>
      </c>
      <c r="D6" s="743">
        <v>0</v>
      </c>
      <c r="E6" s="743">
        <v>0</v>
      </c>
      <c r="F6" s="743">
        <v>0</v>
      </c>
      <c r="G6" s="743">
        <v>0</v>
      </c>
      <c r="H6" s="743">
        <v>0</v>
      </c>
      <c r="I6" s="743">
        <v>0</v>
      </c>
      <c r="J6" s="743">
        <v>0</v>
      </c>
      <c r="K6" s="110">
        <f>SUM(C6:J6)</f>
        <v>103685109.11</v>
      </c>
      <c r="L6" s="758">
        <v>68222563.709999993</v>
      </c>
    </row>
    <row r="7" spans="1:12" ht="12.75" customHeight="1" x14ac:dyDescent="0.2">
      <c r="A7" s="40" t="s">
        <v>708</v>
      </c>
      <c r="B7" s="170" t="s">
        <v>709</v>
      </c>
      <c r="C7" s="743">
        <v>21024027.260000002</v>
      </c>
      <c r="D7" s="743">
        <v>0</v>
      </c>
      <c r="E7" s="743">
        <v>0</v>
      </c>
      <c r="F7" s="743">
        <v>0</v>
      </c>
      <c r="G7" s="743">
        <v>0</v>
      </c>
      <c r="H7" s="743">
        <v>0</v>
      </c>
      <c r="I7" s="743">
        <v>0</v>
      </c>
      <c r="J7" s="743">
        <v>0</v>
      </c>
      <c r="K7" s="110">
        <f t="shared" ref="K7:K13" si="0">SUM(C7:J7)</f>
        <v>21024027.260000002</v>
      </c>
      <c r="L7" s="758">
        <v>17731421.079999998</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f>164208338.66-124709136.37</f>
        <v>39499202.289999992</v>
      </c>
      <c r="D12" s="743">
        <v>20851509.91</v>
      </c>
      <c r="E12" s="743">
        <v>418794.43</v>
      </c>
      <c r="F12" s="743">
        <v>0</v>
      </c>
      <c r="G12" s="743">
        <v>0</v>
      </c>
      <c r="H12" s="743">
        <v>0</v>
      </c>
      <c r="I12" s="743">
        <v>0</v>
      </c>
      <c r="J12" s="743">
        <v>0</v>
      </c>
      <c r="K12" s="110">
        <f t="shared" si="0"/>
        <v>60769506.629999988</v>
      </c>
      <c r="L12" s="758">
        <v>93064646.700000003</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0</v>
      </c>
    </row>
    <row r="15" spans="1:12" ht="12.75" customHeight="1" x14ac:dyDescent="0.2">
      <c r="A15" s="54" t="s">
        <v>949</v>
      </c>
      <c r="B15" s="286">
        <v>1000</v>
      </c>
      <c r="C15" s="272">
        <f>SUM(C6:C14)</f>
        <v>164208338.66</v>
      </c>
      <c r="D15" s="56">
        <f t="shared" ref="D15:J15" si="1">SUM(D6:D14)</f>
        <v>20851509.91</v>
      </c>
      <c r="E15" s="56">
        <f t="shared" si="1"/>
        <v>418794.43</v>
      </c>
      <c r="F15" s="56">
        <f t="shared" si="1"/>
        <v>0</v>
      </c>
      <c r="G15" s="56">
        <f t="shared" si="1"/>
        <v>0</v>
      </c>
      <c r="H15" s="56">
        <f t="shared" si="1"/>
        <v>0</v>
      </c>
      <c r="I15" s="56">
        <f t="shared" si="1"/>
        <v>0</v>
      </c>
      <c r="J15" s="236">
        <f t="shared" si="1"/>
        <v>0</v>
      </c>
      <c r="K15" s="113">
        <f>SUM(K6:K14)</f>
        <v>185478643</v>
      </c>
      <c r="L15" s="161">
        <f>SUM(L6:L14)</f>
        <v>179018631.49000001</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8"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7" activePane="bottomRight" state="frozen"/>
      <selection pane="topRight"/>
      <selection pane="bottomLeft"/>
      <selection pane="bottomRight" activeCell="E21" sqref="E21"/>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31" t="str">
        <f>muni&amp; " - "&amp;S71K&amp; " - "&amp;Head57</f>
        <v>LIM354 Polokwane - Supporting Table SC5 Monthly Budget Statement - investment portfolio  - M01 July</v>
      </c>
      <c r="B1" s="1031"/>
      <c r="C1" s="1031"/>
      <c r="D1" s="1031"/>
      <c r="E1" s="1031"/>
      <c r="F1" s="1031"/>
      <c r="G1" s="1031"/>
      <c r="H1" s="1031"/>
      <c r="I1" s="1031"/>
      <c r="J1" s="1031"/>
      <c r="K1" s="68"/>
    </row>
    <row r="2" spans="1:11" ht="54" customHeight="1" x14ac:dyDescent="0.2">
      <c r="A2" s="271" t="s">
        <v>923</v>
      </c>
      <c r="B2" s="1042" t="s">
        <v>590</v>
      </c>
      <c r="C2" s="26" t="s">
        <v>130</v>
      </c>
      <c r="D2" s="1056" t="s">
        <v>627</v>
      </c>
      <c r="E2" s="1056" t="s">
        <v>628</v>
      </c>
      <c r="F2" s="1056" t="s">
        <v>556</v>
      </c>
      <c r="G2" s="1056" t="s">
        <v>66</v>
      </c>
      <c r="H2" s="1056" t="s">
        <v>557</v>
      </c>
      <c r="I2" s="1056" t="s">
        <v>918</v>
      </c>
      <c r="J2" s="1058" t="s">
        <v>919</v>
      </c>
      <c r="K2" s="285" t="s">
        <v>519</v>
      </c>
    </row>
    <row r="3" spans="1:11" ht="12.75" customHeight="1" x14ac:dyDescent="0.2">
      <c r="A3" s="35" t="s">
        <v>687</v>
      </c>
      <c r="B3" s="1044"/>
      <c r="C3" s="416" t="s">
        <v>131</v>
      </c>
      <c r="D3" s="1057"/>
      <c r="E3" s="1057"/>
      <c r="F3" s="1057"/>
      <c r="G3" s="1057"/>
      <c r="H3" s="1057"/>
      <c r="I3" s="1057"/>
      <c r="J3" s="1059"/>
      <c r="K3" s="29"/>
    </row>
    <row r="4" spans="1:11" ht="12.75" customHeight="1" x14ac:dyDescent="0.2">
      <c r="A4" s="553" t="s">
        <v>348</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1437</v>
      </c>
      <c r="B6" s="170"/>
      <c r="C6" s="755" t="s">
        <v>1440</v>
      </c>
      <c r="D6" s="743" t="s">
        <v>1441</v>
      </c>
      <c r="E6" s="743" t="s">
        <v>1442</v>
      </c>
      <c r="F6" s="743"/>
      <c r="G6" s="773">
        <v>0</v>
      </c>
      <c r="H6" s="743">
        <v>1000</v>
      </c>
      <c r="I6" s="743">
        <f>J6-H6</f>
        <v>0</v>
      </c>
      <c r="J6" s="745">
        <v>1000</v>
      </c>
    </row>
    <row r="7" spans="1:11" ht="12.75" customHeight="1" x14ac:dyDescent="0.2">
      <c r="A7" s="786" t="s">
        <v>1438</v>
      </c>
      <c r="B7" s="170"/>
      <c r="C7" s="755"/>
      <c r="D7" s="743"/>
      <c r="E7" s="743"/>
      <c r="F7" s="743"/>
      <c r="G7" s="773"/>
      <c r="H7" s="743"/>
      <c r="I7" s="743"/>
      <c r="J7" s="745"/>
    </row>
    <row r="8" spans="1:11" ht="12.75" customHeight="1" x14ac:dyDescent="0.2">
      <c r="A8" s="786" t="s">
        <v>1438</v>
      </c>
      <c r="B8" s="170"/>
      <c r="C8" s="755"/>
      <c r="D8" s="743"/>
      <c r="E8" s="743"/>
      <c r="F8" s="743"/>
      <c r="G8" s="773"/>
      <c r="H8" s="743"/>
      <c r="I8" s="743"/>
      <c r="J8" s="745"/>
    </row>
    <row r="9" spans="1:11" ht="12.75" customHeight="1" x14ac:dyDescent="0.2">
      <c r="A9" s="786" t="s">
        <v>1439</v>
      </c>
      <c r="B9" s="170"/>
      <c r="C9" s="755"/>
      <c r="D9" s="743"/>
      <c r="E9" s="743"/>
      <c r="F9" s="743"/>
      <c r="G9" s="773"/>
      <c r="H9" s="743"/>
      <c r="I9" s="743"/>
      <c r="J9" s="745"/>
    </row>
    <row r="10" spans="1:11" ht="12.75" customHeight="1" x14ac:dyDescent="0.2">
      <c r="A10" s="786"/>
      <c r="B10" s="170"/>
      <c r="C10" s="755"/>
      <c r="D10" s="743"/>
      <c r="E10" s="743"/>
      <c r="F10" s="743"/>
      <c r="G10" s="773"/>
      <c r="H10" s="743"/>
      <c r="I10" s="743"/>
      <c r="J10" s="745"/>
    </row>
    <row r="11" spans="1:11" ht="12.75" customHeight="1" x14ac:dyDescent="0.2">
      <c r="A11" s="786"/>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1443</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8"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26" activePane="bottomRight" state="frozen"/>
      <selection pane="topRight"/>
      <selection pane="bottomLeft"/>
      <selection pane="bottomRight" activeCell="Q41" sqref="Q4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"&amp;S71L&amp; " - "&amp;Head57</f>
        <v>LIM354 Polokwane - Supporting Table SC6 Monthly Budget Statement - transfers and grant receipts  - M01 July</v>
      </c>
      <c r="B1" s="1031"/>
      <c r="C1" s="1031"/>
      <c r="D1" s="1031"/>
      <c r="E1" s="1031"/>
      <c r="F1" s="1031"/>
      <c r="G1" s="1031"/>
      <c r="H1" s="1031"/>
      <c r="I1" s="1031"/>
      <c r="J1" s="1031"/>
      <c r="K1" s="1031"/>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 t="shared" ref="C8:I8" si="0">SUM(C9:C19)</f>
        <v>994438556</v>
      </c>
      <c r="D8" s="52">
        <f t="shared" si="0"/>
        <v>1039367000</v>
      </c>
      <c r="E8" s="51">
        <f t="shared" si="0"/>
        <v>0</v>
      </c>
      <c r="F8" s="51">
        <f t="shared" si="0"/>
        <v>423888025.13441229</v>
      </c>
      <c r="G8" s="51">
        <f t="shared" si="0"/>
        <v>423888025.13441229</v>
      </c>
      <c r="H8" s="51">
        <f t="shared" si="0"/>
        <v>86613916.666666672</v>
      </c>
      <c r="I8" s="51">
        <f t="shared" si="0"/>
        <v>337274108.46774554</v>
      </c>
      <c r="J8" s="346">
        <f t="shared" ref="J8:J38" si="1">IF(I8=0,"",I8/H8)</f>
        <v>3.8939944231565429</v>
      </c>
      <c r="K8" s="195">
        <f>SUM(K9:K19)</f>
        <v>1039367000</v>
      </c>
    </row>
    <row r="9" spans="1:11" ht="12.75" customHeight="1" x14ac:dyDescent="0.2">
      <c r="A9" s="788" t="s">
        <v>1016</v>
      </c>
      <c r="B9" s="170"/>
      <c r="C9" s="789">
        <v>831436000</v>
      </c>
      <c r="D9" s="790">
        <v>922589000</v>
      </c>
      <c r="E9" s="744">
        <v>0</v>
      </c>
      <c r="F9" s="744">
        <v>384412000</v>
      </c>
      <c r="G9" s="744">
        <v>384412000</v>
      </c>
      <c r="H9" s="744">
        <v>76882416.666666672</v>
      </c>
      <c r="I9" s="517">
        <f t="shared" ref="I9" si="2">G9-H9</f>
        <v>307529583.33333331</v>
      </c>
      <c r="J9" s="561">
        <f t="shared" si="1"/>
        <v>3.9999989160937313</v>
      </c>
      <c r="K9" s="745">
        <f>D9</f>
        <v>922589000</v>
      </c>
    </row>
    <row r="10" spans="1:11" ht="12.75" customHeight="1" x14ac:dyDescent="0.2">
      <c r="A10" s="788" t="s">
        <v>1025</v>
      </c>
      <c r="B10" s="170"/>
      <c r="C10" s="758">
        <v>5742000</v>
      </c>
      <c r="D10" s="755">
        <v>4201000</v>
      </c>
      <c r="E10" s="743">
        <v>0</v>
      </c>
      <c r="F10" s="743">
        <v>0</v>
      </c>
      <c r="G10" s="743">
        <v>0</v>
      </c>
      <c r="H10" s="743">
        <v>350083.33333333331</v>
      </c>
      <c r="I10" s="45">
        <f t="shared" ref="I10:I19" si="3">G10-H10</f>
        <v>-350083.33333333331</v>
      </c>
      <c r="J10" s="125">
        <f t="shared" ref="J10:J19" si="4">IF(I10=0,"",I10/H10)</f>
        <v>-1</v>
      </c>
      <c r="K10" s="745">
        <f t="shared" ref="K10:K19" si="5">D10</f>
        <v>4201000</v>
      </c>
    </row>
    <row r="11" spans="1:11" ht="12.75" customHeight="1" x14ac:dyDescent="0.2">
      <c r="A11" s="788" t="s">
        <v>1021</v>
      </c>
      <c r="B11" s="170"/>
      <c r="C11" s="758">
        <v>28957000</v>
      </c>
      <c r="D11" s="755">
        <v>28118000</v>
      </c>
      <c r="E11" s="743">
        <v>0</v>
      </c>
      <c r="F11" s="743">
        <v>14753135.001836404</v>
      </c>
      <c r="G11" s="743">
        <v>14753135.001836404</v>
      </c>
      <c r="H11" s="743">
        <v>2343166.6666666665</v>
      </c>
      <c r="I11" s="45">
        <f t="shared" si="3"/>
        <v>12409968.335169738</v>
      </c>
      <c r="J11" s="125">
        <f t="shared" si="4"/>
        <v>5.2962379977963181</v>
      </c>
      <c r="K11" s="745">
        <f t="shared" si="5"/>
        <v>28118000</v>
      </c>
    </row>
    <row r="12" spans="1:11" ht="12.75" customHeight="1" x14ac:dyDescent="0.2">
      <c r="A12" s="788" t="s">
        <v>1018</v>
      </c>
      <c r="B12" s="170"/>
      <c r="C12" s="758">
        <v>3048000</v>
      </c>
      <c r="D12" s="755">
        <v>2500000</v>
      </c>
      <c r="E12" s="743">
        <v>0</v>
      </c>
      <c r="F12" s="743">
        <v>0</v>
      </c>
      <c r="G12" s="743">
        <v>0</v>
      </c>
      <c r="H12" s="743">
        <v>208333.33333333334</v>
      </c>
      <c r="I12" s="45">
        <f t="shared" si="3"/>
        <v>-208333.33333333334</v>
      </c>
      <c r="J12" s="125">
        <f t="shared" si="4"/>
        <v>-1</v>
      </c>
      <c r="K12" s="745">
        <f t="shared" si="5"/>
        <v>2500000</v>
      </c>
    </row>
    <row r="13" spans="1:11" ht="12.75" customHeight="1" x14ac:dyDescent="0.2">
      <c r="A13" s="788" t="s">
        <v>50</v>
      </c>
      <c r="B13" s="170"/>
      <c r="C13" s="758">
        <v>47418000</v>
      </c>
      <c r="D13" s="755">
        <v>0</v>
      </c>
      <c r="E13" s="743">
        <v>0</v>
      </c>
      <c r="F13" s="743">
        <v>0</v>
      </c>
      <c r="G13" s="743">
        <v>0</v>
      </c>
      <c r="H13" s="743">
        <v>0</v>
      </c>
      <c r="I13" s="45">
        <f t="shared" si="3"/>
        <v>0</v>
      </c>
      <c r="J13" s="125" t="str">
        <f t="shared" si="4"/>
        <v/>
      </c>
      <c r="K13" s="745">
        <f t="shared" si="5"/>
        <v>0</v>
      </c>
    </row>
    <row r="14" spans="1:11" ht="12.75" customHeight="1" x14ac:dyDescent="0.2">
      <c r="A14" s="971" t="s">
        <v>1455</v>
      </c>
      <c r="B14" s="170">
        <v>3</v>
      </c>
      <c r="C14" s="758">
        <v>60882556</v>
      </c>
      <c r="D14" s="755">
        <v>20000000</v>
      </c>
      <c r="E14" s="743">
        <v>0</v>
      </c>
      <c r="F14" s="743">
        <v>3000005.5731108547</v>
      </c>
      <c r="G14" s="743">
        <v>3000005.5731108547</v>
      </c>
      <c r="H14" s="743">
        <v>1666666.6666666667</v>
      </c>
      <c r="I14" s="45">
        <f t="shared" si="3"/>
        <v>1333338.906444188</v>
      </c>
      <c r="J14" s="125">
        <f t="shared" si="4"/>
        <v>0.80000334386651273</v>
      </c>
      <c r="K14" s="745">
        <f t="shared" si="5"/>
        <v>20000000</v>
      </c>
    </row>
    <row r="15" spans="1:11" ht="12.75" customHeight="1" x14ac:dyDescent="0.2">
      <c r="A15" s="788" t="s">
        <v>1444</v>
      </c>
      <c r="B15" s="170"/>
      <c r="C15" s="758">
        <v>6500000</v>
      </c>
      <c r="D15" s="755">
        <v>5111000</v>
      </c>
      <c r="E15" s="743">
        <v>0</v>
      </c>
      <c r="F15" s="743">
        <v>2500000</v>
      </c>
      <c r="G15" s="743">
        <v>2500000</v>
      </c>
      <c r="H15" s="743">
        <v>425916.66666666669</v>
      </c>
      <c r="I15" s="45">
        <f t="shared" si="3"/>
        <v>2074083.3333333333</v>
      </c>
      <c r="J15" s="125">
        <f t="shared" si="4"/>
        <v>4.8696928194091171</v>
      </c>
      <c r="K15" s="745">
        <f t="shared" si="5"/>
        <v>5111000</v>
      </c>
    </row>
    <row r="16" spans="1:11" ht="12.75" customHeight="1" x14ac:dyDescent="0.2">
      <c r="A16" s="788" t="s">
        <v>1020</v>
      </c>
      <c r="B16" s="170"/>
      <c r="C16" s="758">
        <v>8000000</v>
      </c>
      <c r="D16" s="755">
        <v>8000000</v>
      </c>
      <c r="E16" s="743">
        <v>0</v>
      </c>
      <c r="F16" s="743">
        <v>0</v>
      </c>
      <c r="G16" s="743">
        <v>0</v>
      </c>
      <c r="H16" s="743">
        <v>666666.66666666663</v>
      </c>
      <c r="I16" s="45">
        <f t="shared" si="3"/>
        <v>-666666.66666666663</v>
      </c>
      <c r="J16" s="125">
        <f t="shared" si="4"/>
        <v>-1</v>
      </c>
      <c r="K16" s="745">
        <f t="shared" si="5"/>
        <v>8000000</v>
      </c>
    </row>
    <row r="17" spans="1:11" ht="12.75" customHeight="1" x14ac:dyDescent="0.2">
      <c r="A17" s="971" t="s">
        <v>1456</v>
      </c>
      <c r="B17" s="170"/>
      <c r="C17" s="758">
        <v>1400000</v>
      </c>
      <c r="D17" s="755">
        <v>1933000</v>
      </c>
      <c r="E17" s="743">
        <v>0</v>
      </c>
      <c r="F17" s="743">
        <v>0</v>
      </c>
      <c r="G17" s="743">
        <v>0</v>
      </c>
      <c r="H17" s="743">
        <v>161083.33333333334</v>
      </c>
      <c r="I17" s="45">
        <f t="shared" si="3"/>
        <v>-161083.33333333334</v>
      </c>
      <c r="J17" s="125">
        <f t="shared" si="4"/>
        <v>-1</v>
      </c>
      <c r="K17" s="745">
        <f t="shared" si="5"/>
        <v>1933000</v>
      </c>
    </row>
    <row r="18" spans="1:11" ht="12.75" customHeight="1" x14ac:dyDescent="0.2">
      <c r="A18" s="971" t="s">
        <v>1634</v>
      </c>
      <c r="B18" s="170"/>
      <c r="C18" s="758">
        <v>0</v>
      </c>
      <c r="D18" s="755">
        <v>46915000</v>
      </c>
      <c r="E18" s="743">
        <v>0</v>
      </c>
      <c r="F18" s="743">
        <v>19222884.559464961</v>
      </c>
      <c r="G18" s="743">
        <v>19222884.559464961</v>
      </c>
      <c r="H18" s="743">
        <v>3909583.3333333335</v>
      </c>
      <c r="I18" s="45">
        <f t="shared" si="3"/>
        <v>15313301.226131627</v>
      </c>
      <c r="J18" s="125">
        <f t="shared" si="4"/>
        <v>3.916862724364905</v>
      </c>
      <c r="K18" s="745">
        <f t="shared" si="5"/>
        <v>46915000</v>
      </c>
    </row>
    <row r="19" spans="1:11" ht="12.75" customHeight="1" x14ac:dyDescent="0.2">
      <c r="A19" s="788" t="s">
        <v>1464</v>
      </c>
      <c r="B19" s="170"/>
      <c r="C19" s="758">
        <v>1055000</v>
      </c>
      <c r="D19" s="755">
        <v>0</v>
      </c>
      <c r="E19" s="743">
        <v>0</v>
      </c>
      <c r="F19" s="743">
        <v>0</v>
      </c>
      <c r="G19" s="743">
        <v>0</v>
      </c>
      <c r="H19" s="743">
        <v>0</v>
      </c>
      <c r="I19" s="45">
        <f t="shared" si="3"/>
        <v>0</v>
      </c>
      <c r="J19" s="125" t="str">
        <f t="shared" si="4"/>
        <v/>
      </c>
      <c r="K19" s="745">
        <f t="shared" si="5"/>
        <v>0</v>
      </c>
    </row>
    <row r="20" spans="1:11" ht="12.75" customHeight="1" x14ac:dyDescent="0.2">
      <c r="A20" s="107" t="s">
        <v>643</v>
      </c>
      <c r="B20" s="170"/>
      <c r="C20" s="519">
        <f t="shared" ref="C20:I20" si="6">SUM(C21:C26)</f>
        <v>0</v>
      </c>
      <c r="D20" s="478">
        <f t="shared" si="6"/>
        <v>0</v>
      </c>
      <c r="E20" s="433">
        <f t="shared" si="6"/>
        <v>0</v>
      </c>
      <c r="F20" s="433">
        <f t="shared" si="6"/>
        <v>0</v>
      </c>
      <c r="G20" s="433">
        <f t="shared" si="6"/>
        <v>0</v>
      </c>
      <c r="H20" s="433">
        <f t="shared" si="6"/>
        <v>0</v>
      </c>
      <c r="I20" s="433">
        <f t="shared" si="6"/>
        <v>0</v>
      </c>
      <c r="J20" s="562" t="str">
        <f t="shared" si="1"/>
        <v/>
      </c>
      <c r="K20" s="516">
        <f>SUM(K21:K26)</f>
        <v>0</v>
      </c>
    </row>
    <row r="21" spans="1:11" ht="12.75" customHeight="1" x14ac:dyDescent="0.2">
      <c r="A21" s="788" t="s">
        <v>1464</v>
      </c>
      <c r="B21" s="170"/>
      <c r="C21" s="789">
        <v>0</v>
      </c>
      <c r="D21" s="790">
        <v>0</v>
      </c>
      <c r="E21" s="744">
        <v>0</v>
      </c>
      <c r="F21" s="744"/>
      <c r="G21" s="744">
        <v>0</v>
      </c>
      <c r="H21" s="744">
        <f>E21/12*11</f>
        <v>0</v>
      </c>
      <c r="I21" s="517">
        <f t="shared" ref="I21" si="7">G21-H21</f>
        <v>0</v>
      </c>
      <c r="J21" s="561" t="str">
        <f t="shared" ref="J21" si="8">IF(I21=0,"",I21/H21)</f>
        <v/>
      </c>
      <c r="K21" s="746">
        <f t="shared" ref="K21:K26" si="9">E21</f>
        <v>0</v>
      </c>
    </row>
    <row r="22" spans="1:11" ht="12.75" customHeight="1" x14ac:dyDescent="0.2">
      <c r="A22" s="788"/>
      <c r="B22" s="170"/>
      <c r="C22" s="758"/>
      <c r="D22" s="755"/>
      <c r="E22" s="743"/>
      <c r="F22" s="743"/>
      <c r="G22" s="743"/>
      <c r="H22" s="743"/>
      <c r="I22" s="45"/>
      <c r="J22" s="125"/>
      <c r="K22" s="745">
        <f t="shared" si="9"/>
        <v>0</v>
      </c>
    </row>
    <row r="23" spans="1:11" ht="12.75" customHeight="1" x14ac:dyDescent="0.2">
      <c r="A23" s="788"/>
      <c r="B23" s="170"/>
      <c r="C23" s="758"/>
      <c r="D23" s="755"/>
      <c r="E23" s="743"/>
      <c r="F23" s="743"/>
      <c r="G23" s="743"/>
      <c r="H23" s="743"/>
      <c r="I23" s="45">
        <f t="shared" ref="I23:I37" si="10">G23-H23</f>
        <v>0</v>
      </c>
      <c r="J23" s="125" t="str">
        <f t="shared" si="1"/>
        <v/>
      </c>
      <c r="K23" s="745">
        <f t="shared" si="9"/>
        <v>0</v>
      </c>
    </row>
    <row r="24" spans="1:11" ht="12.75" customHeight="1" x14ac:dyDescent="0.2">
      <c r="A24" s="788"/>
      <c r="B24" s="170">
        <v>4</v>
      </c>
      <c r="C24" s="758"/>
      <c r="D24" s="755"/>
      <c r="E24" s="743"/>
      <c r="F24" s="743"/>
      <c r="G24" s="743"/>
      <c r="H24" s="743"/>
      <c r="I24" s="45">
        <f t="shared" si="10"/>
        <v>0</v>
      </c>
      <c r="J24" s="125" t="str">
        <f t="shared" si="1"/>
        <v/>
      </c>
      <c r="K24" s="745">
        <f t="shared" si="9"/>
        <v>0</v>
      </c>
    </row>
    <row r="25" spans="1:11" ht="12.75" customHeight="1" x14ac:dyDescent="0.2">
      <c r="A25" s="788"/>
      <c r="B25" s="170"/>
      <c r="C25" s="758"/>
      <c r="D25" s="755"/>
      <c r="E25" s="743"/>
      <c r="F25" s="743"/>
      <c r="G25" s="743"/>
      <c r="H25" s="743"/>
      <c r="I25" s="45">
        <f t="shared" si="10"/>
        <v>0</v>
      </c>
      <c r="J25" s="125" t="str">
        <f t="shared" si="1"/>
        <v/>
      </c>
      <c r="K25" s="745">
        <f t="shared" si="9"/>
        <v>0</v>
      </c>
    </row>
    <row r="26" spans="1:11" ht="12.75" customHeight="1" x14ac:dyDescent="0.2">
      <c r="A26" s="788" t="s">
        <v>551</v>
      </c>
      <c r="B26" s="170"/>
      <c r="C26" s="758"/>
      <c r="D26" s="755"/>
      <c r="E26" s="743"/>
      <c r="F26" s="743"/>
      <c r="G26" s="743"/>
      <c r="H26" s="743"/>
      <c r="I26" s="45">
        <f t="shared" si="10"/>
        <v>0</v>
      </c>
      <c r="J26" s="125" t="str">
        <f t="shared" si="1"/>
        <v/>
      </c>
      <c r="K26" s="745">
        <f t="shared" si="9"/>
        <v>0</v>
      </c>
    </row>
    <row r="27" spans="1:11" ht="12.75" customHeight="1" x14ac:dyDescent="0.2">
      <c r="A27" s="107" t="s">
        <v>533</v>
      </c>
      <c r="B27" s="170"/>
      <c r="C27" s="519">
        <f t="shared" ref="C27:H27" si="11">SUM(C28:C29)</f>
        <v>0</v>
      </c>
      <c r="D27" s="478">
        <f t="shared" si="11"/>
        <v>0</v>
      </c>
      <c r="E27" s="433">
        <f t="shared" si="11"/>
        <v>0</v>
      </c>
      <c r="F27" s="433">
        <f t="shared" si="11"/>
        <v>0</v>
      </c>
      <c r="G27" s="433">
        <f t="shared" si="11"/>
        <v>0</v>
      </c>
      <c r="H27" s="433">
        <f t="shared" si="11"/>
        <v>0</v>
      </c>
      <c r="I27" s="517">
        <f t="shared" si="10"/>
        <v>0</v>
      </c>
      <c r="J27" s="561" t="str">
        <f t="shared" si="1"/>
        <v/>
      </c>
      <c r="K27" s="516">
        <f>SUM(K28:K29)</f>
        <v>0</v>
      </c>
    </row>
    <row r="28" spans="1:11" ht="12.75" customHeight="1" x14ac:dyDescent="0.2">
      <c r="A28" s="979" t="s">
        <v>1469</v>
      </c>
      <c r="B28" s="170"/>
      <c r="C28" s="793"/>
      <c r="D28" s="794"/>
      <c r="E28" s="747">
        <v>0</v>
      </c>
      <c r="F28" s="747"/>
      <c r="G28" s="747"/>
      <c r="H28" s="747">
        <f>E28/12*11</f>
        <v>0</v>
      </c>
      <c r="I28" s="517">
        <f t="shared" si="10"/>
        <v>0</v>
      </c>
      <c r="J28" s="561" t="str">
        <f t="shared" si="1"/>
        <v/>
      </c>
      <c r="K28" s="748">
        <f t="shared" ref="K28" si="12">E28</f>
        <v>0</v>
      </c>
    </row>
    <row r="29" spans="1:11" ht="12.75" customHeight="1" x14ac:dyDescent="0.2">
      <c r="A29" s="792"/>
      <c r="B29" s="170"/>
      <c r="C29" s="758"/>
      <c r="D29" s="755"/>
      <c r="E29" s="743"/>
      <c r="F29" s="743"/>
      <c r="G29" s="743"/>
      <c r="H29" s="743"/>
      <c r="I29" s="45">
        <f t="shared" si="10"/>
        <v>0</v>
      </c>
      <c r="J29" s="125" t="str">
        <f t="shared" si="1"/>
        <v/>
      </c>
      <c r="K29" s="745"/>
    </row>
    <row r="30" spans="1:11" ht="12.75" customHeight="1" x14ac:dyDescent="0.2">
      <c r="A30" s="107" t="s">
        <v>840</v>
      </c>
      <c r="B30" s="170"/>
      <c r="C30" s="519">
        <f t="shared" ref="C30:H30" si="13">SUM(C31:C37)</f>
        <v>0</v>
      </c>
      <c r="D30" s="478">
        <f t="shared" si="13"/>
        <v>0</v>
      </c>
      <c r="E30" s="433">
        <f t="shared" si="13"/>
        <v>0</v>
      </c>
      <c r="F30" s="433">
        <f t="shared" si="13"/>
        <v>0</v>
      </c>
      <c r="G30" s="433">
        <f t="shared" si="13"/>
        <v>0</v>
      </c>
      <c r="H30" s="433">
        <f t="shared" si="13"/>
        <v>0</v>
      </c>
      <c r="I30" s="517">
        <f t="shared" si="10"/>
        <v>0</v>
      </c>
      <c r="J30" s="561" t="str">
        <f t="shared" si="1"/>
        <v/>
      </c>
      <c r="K30" s="516">
        <f>SUM(K31:K37)</f>
        <v>0</v>
      </c>
    </row>
    <row r="31" spans="1:11" ht="12.75" customHeight="1" x14ac:dyDescent="0.2">
      <c r="A31" s="791" t="s">
        <v>586</v>
      </c>
      <c r="B31" s="170"/>
      <c r="C31" s="793"/>
      <c r="D31" s="794"/>
      <c r="E31" s="747"/>
      <c r="F31" s="747"/>
      <c r="G31" s="747"/>
      <c r="H31" s="747"/>
      <c r="I31" s="517">
        <f t="shared" si="10"/>
        <v>0</v>
      </c>
      <c r="J31" s="561" t="str">
        <f t="shared" si="1"/>
        <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f t="shared" si="10"/>
        <v>0</v>
      </c>
      <c r="J37" s="125" t="str">
        <f t="shared" si="1"/>
        <v/>
      </c>
      <c r="K37" s="745"/>
    </row>
    <row r="38" spans="1:11" ht="12.75" customHeight="1" x14ac:dyDescent="0.2">
      <c r="A38" s="567" t="s">
        <v>62</v>
      </c>
      <c r="B38" s="234">
        <v>5</v>
      </c>
      <c r="C38" s="244">
        <f t="shared" ref="C38:I38" si="14">C8+C20+C27+C30</f>
        <v>994438556</v>
      </c>
      <c r="D38" s="75">
        <f t="shared" si="14"/>
        <v>1039367000</v>
      </c>
      <c r="E38" s="74">
        <f t="shared" si="14"/>
        <v>0</v>
      </c>
      <c r="F38" s="74">
        <f t="shared" si="14"/>
        <v>423888025.13441229</v>
      </c>
      <c r="G38" s="74">
        <f t="shared" si="14"/>
        <v>423888025.13441229</v>
      </c>
      <c r="H38" s="74">
        <f t="shared" si="14"/>
        <v>86613916.666666672</v>
      </c>
      <c r="I38" s="74">
        <f t="shared" si="14"/>
        <v>337274108.46774554</v>
      </c>
      <c r="J38" s="307">
        <f t="shared" si="1"/>
        <v>3.8939944231565429</v>
      </c>
      <c r="K38" s="146">
        <f>K8+K20+K27+K30</f>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 t="shared" ref="C41:K41" si="15">SUM(C42:C51)</f>
        <v>1158658048.5699999</v>
      </c>
      <c r="D41" s="47">
        <f t="shared" si="15"/>
        <v>1267136000</v>
      </c>
      <c r="E41" s="45">
        <f t="shared" ref="E41" si="16">SUM(E42:E47)</f>
        <v>0</v>
      </c>
      <c r="F41" s="45">
        <f t="shared" si="15"/>
        <v>167938974.86558777</v>
      </c>
      <c r="G41" s="45">
        <f t="shared" si="15"/>
        <v>167938974.86558777</v>
      </c>
      <c r="H41" s="45">
        <f t="shared" si="15"/>
        <v>105594666.66666666</v>
      </c>
      <c r="I41" s="45">
        <f t="shared" si="15"/>
        <v>62344308.198921129</v>
      </c>
      <c r="J41" s="346">
        <f t="shared" ref="J41:J71" si="17">IF(I41=0,"",I41/H41)</f>
        <v>0.59041152519307605</v>
      </c>
      <c r="K41" s="145">
        <f t="shared" si="15"/>
        <v>1267136000</v>
      </c>
    </row>
    <row r="42" spans="1:11" ht="12.75" customHeight="1" x14ac:dyDescent="0.2">
      <c r="A42" s="788" t="s">
        <v>1633</v>
      </c>
      <c r="B42" s="170"/>
      <c r="C42" s="789">
        <v>283459000</v>
      </c>
      <c r="D42" s="790">
        <v>0</v>
      </c>
      <c r="E42" s="744">
        <v>0</v>
      </c>
      <c r="F42" s="744">
        <v>0</v>
      </c>
      <c r="G42" s="744">
        <v>0</v>
      </c>
      <c r="H42" s="744">
        <v>0</v>
      </c>
      <c r="I42" s="517">
        <f t="shared" ref="I42:I48" si="18">G42-H42</f>
        <v>0</v>
      </c>
      <c r="J42" s="561" t="str">
        <f t="shared" si="17"/>
        <v/>
      </c>
      <c r="K42" s="746">
        <v>0</v>
      </c>
    </row>
    <row r="43" spans="1:11" ht="12.75" customHeight="1" x14ac:dyDescent="0.2">
      <c r="A43" s="788" t="s">
        <v>1455</v>
      </c>
      <c r="B43" s="170"/>
      <c r="C43" s="758">
        <v>361094048.56999999</v>
      </c>
      <c r="D43" s="755">
        <v>159433000</v>
      </c>
      <c r="E43" s="743">
        <v>0</v>
      </c>
      <c r="F43" s="743">
        <v>23914994.426889148</v>
      </c>
      <c r="G43" s="743">
        <v>23914994.426889148</v>
      </c>
      <c r="H43" s="743">
        <v>13286083.333333334</v>
      </c>
      <c r="I43" s="45">
        <f t="shared" si="18"/>
        <v>10628911.093555814</v>
      </c>
      <c r="J43" s="125">
        <f t="shared" si="17"/>
        <v>0.80000334386651295</v>
      </c>
      <c r="K43" s="745">
        <v>159433000</v>
      </c>
    </row>
    <row r="44" spans="1:11" ht="12.75" customHeight="1" x14ac:dyDescent="0.2">
      <c r="A44" s="788" t="s">
        <v>1029</v>
      </c>
      <c r="B44" s="170"/>
      <c r="C44" s="758">
        <v>370505000</v>
      </c>
      <c r="D44" s="755">
        <v>630998000</v>
      </c>
      <c r="E44" s="743">
        <v>0</v>
      </c>
      <c r="F44" s="743">
        <v>0</v>
      </c>
      <c r="G44" s="743">
        <v>0</v>
      </c>
      <c r="H44" s="743">
        <v>52583166.666666664</v>
      </c>
      <c r="I44" s="45">
        <f t="shared" si="18"/>
        <v>-52583166.666666664</v>
      </c>
      <c r="J44" s="125">
        <f t="shared" si="17"/>
        <v>-1</v>
      </c>
      <c r="K44" s="745">
        <v>630998000</v>
      </c>
    </row>
    <row r="45" spans="1:11" ht="12.75" customHeight="1" x14ac:dyDescent="0.2">
      <c r="A45" s="788" t="s">
        <v>1031</v>
      </c>
      <c r="B45" s="170"/>
      <c r="C45" s="758">
        <v>45000000</v>
      </c>
      <c r="D45" s="755">
        <v>40613000</v>
      </c>
      <c r="E45" s="743">
        <v>0</v>
      </c>
      <c r="F45" s="743">
        <v>3000000</v>
      </c>
      <c r="G45" s="743">
        <v>3000000</v>
      </c>
      <c r="H45" s="743">
        <v>3384416.6666666665</v>
      </c>
      <c r="I45" s="45">
        <f t="shared" si="18"/>
        <v>-384416.66666666651</v>
      </c>
      <c r="J45" s="125">
        <f t="shared" si="17"/>
        <v>-0.11358432029153223</v>
      </c>
      <c r="K45" s="745">
        <v>40613000</v>
      </c>
    </row>
    <row r="46" spans="1:11" ht="12.75" customHeight="1" x14ac:dyDescent="0.2">
      <c r="A46" s="971" t="s">
        <v>1456</v>
      </c>
      <c r="B46" s="170"/>
      <c r="C46" s="758">
        <v>88600000</v>
      </c>
      <c r="D46" s="755">
        <v>94717000</v>
      </c>
      <c r="E46" s="743">
        <v>0</v>
      </c>
      <c r="F46" s="743">
        <v>0</v>
      </c>
      <c r="G46" s="743">
        <v>0</v>
      </c>
      <c r="H46" s="743">
        <v>7893083.333333333</v>
      </c>
      <c r="I46" s="45">
        <f t="shared" si="18"/>
        <v>-7893083.333333333</v>
      </c>
      <c r="J46" s="125">
        <f t="shared" si="17"/>
        <v>-1</v>
      </c>
      <c r="K46" s="745">
        <v>94717000</v>
      </c>
    </row>
    <row r="47" spans="1:11" ht="12.75" customHeight="1" x14ac:dyDescent="0.2">
      <c r="A47" s="788" t="s">
        <v>1021</v>
      </c>
      <c r="B47" s="170"/>
      <c r="C47" s="758">
        <v>10000000</v>
      </c>
      <c r="D47" s="755">
        <v>10000000</v>
      </c>
      <c r="E47" s="743">
        <v>0</v>
      </c>
      <c r="F47" s="743">
        <v>5246864.9981635977</v>
      </c>
      <c r="G47" s="743">
        <v>5246864.9981635977</v>
      </c>
      <c r="H47" s="743">
        <v>833333.33333333337</v>
      </c>
      <c r="I47" s="45">
        <f t="shared" si="18"/>
        <v>4413531.6648302646</v>
      </c>
      <c r="J47" s="125">
        <f t="shared" si="17"/>
        <v>5.2962379977963172</v>
      </c>
      <c r="K47" s="745">
        <v>10000000</v>
      </c>
    </row>
    <row r="48" spans="1:11" ht="12.75" customHeight="1" x14ac:dyDescent="0.2">
      <c r="A48" s="788" t="s">
        <v>1634</v>
      </c>
      <c r="B48" s="170"/>
      <c r="C48" s="758">
        <v>0</v>
      </c>
      <c r="D48" s="755">
        <v>331375000</v>
      </c>
      <c r="E48" s="743">
        <v>0</v>
      </c>
      <c r="F48" s="743">
        <v>135777115.44053504</v>
      </c>
      <c r="G48" s="743">
        <v>135777115.44053504</v>
      </c>
      <c r="H48" s="743">
        <v>27614583.333333332</v>
      </c>
      <c r="I48" s="45">
        <f t="shared" si="18"/>
        <v>108162532.10720171</v>
      </c>
      <c r="J48" s="125">
        <f t="shared" si="17"/>
        <v>3.9168627243649055</v>
      </c>
      <c r="K48" s="745">
        <v>331375000</v>
      </c>
    </row>
    <row r="49" spans="1:11" ht="12.75" customHeight="1" x14ac:dyDescent="0.2">
      <c r="A49" s="788"/>
      <c r="B49" s="170"/>
      <c r="C49" s="758"/>
      <c r="D49" s="755">
        <v>0</v>
      </c>
      <c r="E49" s="743">
        <v>0</v>
      </c>
      <c r="F49" s="743">
        <v>0</v>
      </c>
      <c r="G49" s="743">
        <v>0</v>
      </c>
      <c r="H49" s="743">
        <v>0</v>
      </c>
      <c r="I49" s="45">
        <f t="shared" ref="I49:I51" si="19">G49-H49</f>
        <v>0</v>
      </c>
      <c r="J49" s="125" t="str">
        <f t="shared" si="17"/>
        <v/>
      </c>
      <c r="K49" s="745">
        <v>0</v>
      </c>
    </row>
    <row r="50" spans="1:11" ht="12.75" customHeight="1" x14ac:dyDescent="0.2">
      <c r="A50" s="788"/>
      <c r="B50" s="170"/>
      <c r="C50" s="758"/>
      <c r="D50" s="755">
        <v>0</v>
      </c>
      <c r="E50" s="743">
        <v>0</v>
      </c>
      <c r="F50" s="743">
        <v>0</v>
      </c>
      <c r="G50" s="743">
        <v>0</v>
      </c>
      <c r="H50" s="743">
        <v>0</v>
      </c>
      <c r="I50" s="45">
        <f t="shared" si="19"/>
        <v>0</v>
      </c>
      <c r="J50" s="125" t="str">
        <f t="shared" si="17"/>
        <v/>
      </c>
      <c r="K50" s="745">
        <v>0</v>
      </c>
    </row>
    <row r="51" spans="1:11" ht="12.75" customHeight="1" x14ac:dyDescent="0.2">
      <c r="A51" s="788" t="s">
        <v>552</v>
      </c>
      <c r="B51" s="170"/>
      <c r="C51" s="758"/>
      <c r="D51" s="755">
        <v>0</v>
      </c>
      <c r="E51" s="743">
        <v>0</v>
      </c>
      <c r="F51" s="743">
        <v>0</v>
      </c>
      <c r="G51" s="743">
        <v>0</v>
      </c>
      <c r="H51" s="743">
        <v>0</v>
      </c>
      <c r="I51" s="45">
        <f t="shared" si="19"/>
        <v>0</v>
      </c>
      <c r="J51" s="125" t="str">
        <f t="shared" si="17"/>
        <v/>
      </c>
      <c r="K51" s="745">
        <v>0</v>
      </c>
    </row>
    <row r="52" spans="1:11" ht="12.75" customHeight="1" x14ac:dyDescent="0.2">
      <c r="A52" s="345" t="str">
        <f>A20</f>
        <v>Provincial Government:</v>
      </c>
      <c r="B52" s="170"/>
      <c r="C52" s="519">
        <f t="shared" ref="C52:H52" si="20">SUM(C53:C58)</f>
        <v>0</v>
      </c>
      <c r="D52" s="478">
        <f t="shared" si="20"/>
        <v>0</v>
      </c>
      <c r="E52" s="433">
        <f t="shared" si="20"/>
        <v>0</v>
      </c>
      <c r="F52" s="433">
        <f t="shared" si="20"/>
        <v>0</v>
      </c>
      <c r="G52" s="433">
        <f t="shared" si="20"/>
        <v>0</v>
      </c>
      <c r="H52" s="433">
        <f t="shared" si="20"/>
        <v>0</v>
      </c>
      <c r="I52" s="517">
        <f t="shared" ref="I52:I68" si="21">G52-H52</f>
        <v>0</v>
      </c>
      <c r="J52" s="561" t="str">
        <f>IF(I52=0,"",I52/H52)</f>
        <v/>
      </c>
      <c r="K52" s="516">
        <f>SUM(K53:K58)</f>
        <v>0</v>
      </c>
    </row>
    <row r="53" spans="1:11" ht="12.75" customHeight="1" x14ac:dyDescent="0.2">
      <c r="A53" s="791" t="s">
        <v>586</v>
      </c>
      <c r="B53" s="170"/>
      <c r="C53" s="793"/>
      <c r="D53" s="794"/>
      <c r="E53" s="747"/>
      <c r="F53" s="747"/>
      <c r="G53" s="747"/>
      <c r="H53" s="747"/>
      <c r="I53" s="517">
        <f t="shared" si="21"/>
        <v>0</v>
      </c>
      <c r="J53" s="561" t="str">
        <f>IF(I53=0,"",I53/H53)</f>
        <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f t="shared" si="21"/>
        <v>0</v>
      </c>
      <c r="J58" s="125" t="str">
        <f t="shared" si="17"/>
        <v/>
      </c>
      <c r="K58" s="745"/>
    </row>
    <row r="59" spans="1:11" ht="12.75" customHeight="1" x14ac:dyDescent="0.2">
      <c r="A59" s="107" t="str">
        <f>A27</f>
        <v>District Municipality:</v>
      </c>
      <c r="B59" s="170"/>
      <c r="C59" s="519">
        <f t="shared" ref="C59:H59" si="22">SUM(C60:C61)</f>
        <v>0</v>
      </c>
      <c r="D59" s="478">
        <f t="shared" si="22"/>
        <v>0</v>
      </c>
      <c r="E59" s="433">
        <f t="shared" si="22"/>
        <v>0</v>
      </c>
      <c r="F59" s="433">
        <f t="shared" si="22"/>
        <v>0</v>
      </c>
      <c r="G59" s="433">
        <f t="shared" si="22"/>
        <v>0</v>
      </c>
      <c r="H59" s="433">
        <f t="shared" si="22"/>
        <v>0</v>
      </c>
      <c r="I59" s="517">
        <f t="shared" si="21"/>
        <v>0</v>
      </c>
      <c r="J59" s="561" t="str">
        <f t="shared" si="17"/>
        <v/>
      </c>
      <c r="K59" s="516">
        <f>SUM(K60:K61)</f>
        <v>0</v>
      </c>
    </row>
    <row r="60" spans="1:11" ht="12.75" customHeight="1" x14ac:dyDescent="0.2">
      <c r="A60" s="791" t="s">
        <v>586</v>
      </c>
      <c r="B60" s="170"/>
      <c r="C60" s="793"/>
      <c r="D60" s="794"/>
      <c r="E60" s="747"/>
      <c r="F60" s="747"/>
      <c r="G60" s="747"/>
      <c r="H60" s="747"/>
      <c r="I60" s="517">
        <f t="shared" si="21"/>
        <v>0</v>
      </c>
      <c r="J60" s="561" t="str">
        <f t="shared" si="17"/>
        <v/>
      </c>
      <c r="K60" s="748"/>
    </row>
    <row r="61" spans="1:11" ht="12.75" customHeight="1" x14ac:dyDescent="0.2">
      <c r="A61" s="792"/>
      <c r="B61" s="170"/>
      <c r="C61" s="758"/>
      <c r="D61" s="755"/>
      <c r="E61" s="743"/>
      <c r="F61" s="743"/>
      <c r="G61" s="743"/>
      <c r="H61" s="743"/>
      <c r="I61" s="45">
        <f t="shared" si="21"/>
        <v>0</v>
      </c>
      <c r="J61" s="125" t="str">
        <f t="shared" si="17"/>
        <v/>
      </c>
      <c r="K61" s="745"/>
    </row>
    <row r="62" spans="1:11" ht="12.75" customHeight="1" x14ac:dyDescent="0.2">
      <c r="A62" s="107" t="str">
        <f>A30</f>
        <v>Other grant providers:</v>
      </c>
      <c r="B62" s="170"/>
      <c r="C62" s="519">
        <f t="shared" ref="C62:H62" si="23">SUM(C63:C68)</f>
        <v>0</v>
      </c>
      <c r="D62" s="478">
        <f t="shared" si="23"/>
        <v>0</v>
      </c>
      <c r="E62" s="433">
        <f t="shared" si="23"/>
        <v>0</v>
      </c>
      <c r="F62" s="433">
        <f t="shared" si="23"/>
        <v>0</v>
      </c>
      <c r="G62" s="433">
        <f t="shared" si="23"/>
        <v>0</v>
      </c>
      <c r="H62" s="433">
        <f t="shared" si="23"/>
        <v>0</v>
      </c>
      <c r="I62" s="517">
        <f t="shared" si="21"/>
        <v>0</v>
      </c>
      <c r="J62" s="561" t="str">
        <f t="shared" si="17"/>
        <v/>
      </c>
      <c r="K62" s="516">
        <f>SUM(K63:K68)</f>
        <v>0</v>
      </c>
    </row>
    <row r="63" spans="1:11" ht="12.75" customHeight="1" x14ac:dyDescent="0.2">
      <c r="A63" s="791" t="s">
        <v>586</v>
      </c>
      <c r="B63" s="170"/>
      <c r="C63" s="793"/>
      <c r="D63" s="794"/>
      <c r="E63" s="747"/>
      <c r="F63" s="747"/>
      <c r="G63" s="747"/>
      <c r="H63" s="747"/>
      <c r="I63" s="517">
        <f t="shared" si="21"/>
        <v>0</v>
      </c>
      <c r="J63" s="561" t="str">
        <f>IF(I63=0,"",I63/H63)</f>
        <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f t="shared" si="21"/>
        <v>0</v>
      </c>
      <c r="J68" s="125" t="str">
        <f t="shared" si="17"/>
        <v/>
      </c>
      <c r="K68" s="745"/>
    </row>
    <row r="69" spans="1:11" ht="12.75" customHeight="1" x14ac:dyDescent="0.2">
      <c r="A69" s="566" t="s">
        <v>64</v>
      </c>
      <c r="B69" s="312">
        <v>5</v>
      </c>
      <c r="C69" s="519">
        <f>C41+C52+C59+C62</f>
        <v>1158658048.5699999</v>
      </c>
      <c r="D69" s="478">
        <f t="shared" ref="D69:K69" si="24">D41+D52+D59+D62</f>
        <v>1267136000</v>
      </c>
      <c r="E69" s="478">
        <f t="shared" si="24"/>
        <v>0</v>
      </c>
      <c r="F69" s="478">
        <f t="shared" si="24"/>
        <v>167938974.86558777</v>
      </c>
      <c r="G69" s="433">
        <f t="shared" si="24"/>
        <v>167938974.86558777</v>
      </c>
      <c r="H69" s="433">
        <f t="shared" si="24"/>
        <v>105594666.66666666</v>
      </c>
      <c r="I69" s="433">
        <f t="shared" si="24"/>
        <v>62344308.198921129</v>
      </c>
      <c r="J69" s="562">
        <f t="shared" si="17"/>
        <v>0.59041152519307605</v>
      </c>
      <c r="K69" s="516">
        <f t="shared" si="24"/>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 t="shared" ref="C71:K71" si="25">C38+C69</f>
        <v>2153096604.5699997</v>
      </c>
      <c r="D71" s="308">
        <f t="shared" si="25"/>
        <v>2306503000</v>
      </c>
      <c r="E71" s="308">
        <f t="shared" si="25"/>
        <v>0</v>
      </c>
      <c r="F71" s="308">
        <f t="shared" si="25"/>
        <v>591827000</v>
      </c>
      <c r="G71" s="309">
        <f t="shared" si="25"/>
        <v>591827000</v>
      </c>
      <c r="H71" s="309">
        <f t="shared" si="25"/>
        <v>192208583.33333331</v>
      </c>
      <c r="I71" s="309">
        <f t="shared" si="25"/>
        <v>399618416.66666669</v>
      </c>
      <c r="J71" s="310">
        <f t="shared" si="17"/>
        <v>2.0790872589370144</v>
      </c>
      <c r="K71" s="311">
        <f t="shared" si="25"/>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8"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29" activePane="bottomRight" state="frozen"/>
      <selection pane="topRight"/>
      <selection pane="bottomLeft"/>
      <selection pane="bottomRight" activeCell="H51" sqref="H51"/>
    </sheetView>
  </sheetViews>
  <sheetFormatPr defaultColWidth="9.109375" defaultRowHeight="10.199999999999999" x14ac:dyDescent="0.2"/>
  <cols>
    <col min="1" max="1" width="40.6640625" style="25" customWidth="1"/>
    <col min="2" max="2" width="3.5546875" style="69" customWidth="1"/>
    <col min="3" max="7" width="8.6640625" style="25" customWidth="1"/>
    <col min="8" max="8" width="10.33203125" style="25" bestFit="1"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"&amp;S71M&amp; " - "&amp;Head57</f>
        <v>LIM354 Polokwane - Supporting Table SC7(1) Monthly Budget Statement - transfers and grant expenditure  - M01 July</v>
      </c>
      <c r="B1" s="1031"/>
      <c r="C1" s="1031"/>
      <c r="D1" s="1031"/>
      <c r="E1" s="1031"/>
      <c r="F1" s="1031"/>
      <c r="G1" s="1031"/>
      <c r="H1" s="1031"/>
      <c r="I1" s="1031"/>
      <c r="J1" s="1031"/>
      <c r="K1" s="1031"/>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SUM(E9:E19)</f>
        <v>0</v>
      </c>
      <c r="F8" s="51">
        <f>SUM(F9:F19)</f>
        <v>385169274.88999999</v>
      </c>
      <c r="G8" s="51">
        <f>SUM(G9:G19)</f>
        <v>385169274.88999999</v>
      </c>
      <c r="H8" s="51">
        <f>SUM(H9:H19)</f>
        <v>86613916.666666672</v>
      </c>
      <c r="I8" s="51">
        <f>SUM(I9:I17)</f>
        <v>301776816.85666662</v>
      </c>
      <c r="J8" s="346">
        <f t="shared" ref="J8:J15" si="0">IF(I8=0,"",I8/H8)</f>
        <v>3.4841608423973431</v>
      </c>
      <c r="K8" s="195">
        <f>SUM(K9:K19)</f>
        <v>1039367000</v>
      </c>
    </row>
    <row r="9" spans="1:11" x14ac:dyDescent="0.2">
      <c r="A9" s="399" t="str">
        <f>'SC6'!A9</f>
        <v>Local Government Equitable Share</v>
      </c>
      <c r="B9" s="170"/>
      <c r="C9" s="977">
        <f>'SC6'!C9</f>
        <v>831436000</v>
      </c>
      <c r="D9" s="790">
        <f>'SC6'!D9</f>
        <v>922589000</v>
      </c>
      <c r="E9" s="744">
        <v>0</v>
      </c>
      <c r="F9" s="744">
        <v>384412000</v>
      </c>
      <c r="G9" s="744">
        <v>384412000</v>
      </c>
      <c r="H9" s="744">
        <f>D9/12</f>
        <v>76882416.666666672</v>
      </c>
      <c r="I9" s="517">
        <f t="shared" ref="I9:I15" si="1">G9-H9</f>
        <v>307529583.33333331</v>
      </c>
      <c r="J9" s="561">
        <f t="shared" si="0"/>
        <v>3.9999989160937313</v>
      </c>
      <c r="K9" s="746">
        <v>922589000</v>
      </c>
    </row>
    <row r="10" spans="1:11" ht="12.75" customHeight="1" x14ac:dyDescent="0.2">
      <c r="A10" s="399" t="str">
        <f>'SC6'!A10</f>
        <v>EPWP Incentive</v>
      </c>
      <c r="B10" s="170"/>
      <c r="C10" s="976">
        <f>'SC6'!C10</f>
        <v>5742000</v>
      </c>
      <c r="D10" s="755">
        <f>'SC6'!D10</f>
        <v>4201000</v>
      </c>
      <c r="E10" s="743">
        <v>0</v>
      </c>
      <c r="F10" s="743">
        <v>0</v>
      </c>
      <c r="G10" s="743">
        <v>0</v>
      </c>
      <c r="H10" s="743">
        <f t="shared" ref="H10:H19" si="2">D10/12</f>
        <v>350083.33333333331</v>
      </c>
      <c r="I10" s="45">
        <f t="shared" si="1"/>
        <v>-350083.33333333331</v>
      </c>
      <c r="J10" s="125">
        <f t="shared" si="0"/>
        <v>-1</v>
      </c>
      <c r="K10" s="745">
        <v>4201000</v>
      </c>
    </row>
    <row r="11" spans="1:11" ht="12.75" customHeight="1" x14ac:dyDescent="0.2">
      <c r="A11" s="399" t="str">
        <f>'SC6'!A11</f>
        <v>Integrated National Electrification Programme</v>
      </c>
      <c r="B11" s="170"/>
      <c r="C11" s="976">
        <f>'SC6'!C11</f>
        <v>28957000</v>
      </c>
      <c r="D11" s="755">
        <f>'SC6'!D11</f>
        <v>28118000</v>
      </c>
      <c r="E11" s="743">
        <v>0</v>
      </c>
      <c r="F11" s="743">
        <v>0</v>
      </c>
      <c r="G11" s="743">
        <v>0</v>
      </c>
      <c r="H11" s="743">
        <f t="shared" si="2"/>
        <v>2343166.6666666665</v>
      </c>
      <c r="I11" s="45">
        <f t="shared" si="1"/>
        <v>-2343166.6666666665</v>
      </c>
      <c r="J11" s="125">
        <f t="shared" si="0"/>
        <v>-1</v>
      </c>
      <c r="K11" s="745">
        <v>28118000</v>
      </c>
    </row>
    <row r="12" spans="1:11" ht="12.75" customHeight="1" x14ac:dyDescent="0.2">
      <c r="A12" s="399" t="str">
        <f>'SC6'!A12</f>
        <v xml:space="preserve">Finance Management </v>
      </c>
      <c r="B12" s="170"/>
      <c r="C12" s="976">
        <f>'SC6'!C12</f>
        <v>3048000</v>
      </c>
      <c r="D12" s="755">
        <f>'SC6'!D12</f>
        <v>2500000</v>
      </c>
      <c r="E12" s="743">
        <v>0</v>
      </c>
      <c r="F12" s="743">
        <v>69150.19</v>
      </c>
      <c r="G12" s="743">
        <v>69150.19</v>
      </c>
      <c r="H12" s="743">
        <f t="shared" si="2"/>
        <v>208333.33333333334</v>
      </c>
      <c r="I12" s="45">
        <f t="shared" si="1"/>
        <v>-139183.14333333334</v>
      </c>
      <c r="J12" s="125">
        <f t="shared" si="0"/>
        <v>-0.66807908800000004</v>
      </c>
      <c r="K12" s="745">
        <v>2500000</v>
      </c>
    </row>
    <row r="13" spans="1:11" ht="12.75" customHeight="1" x14ac:dyDescent="0.2">
      <c r="A13" s="399" t="s">
        <v>1020</v>
      </c>
      <c r="B13" s="170"/>
      <c r="C13" s="976">
        <f>'SC6'!C13</f>
        <v>47418000</v>
      </c>
      <c r="D13" s="755">
        <f>'SC6'!D13</f>
        <v>0</v>
      </c>
      <c r="E13" s="743">
        <v>0</v>
      </c>
      <c r="F13" s="743">
        <v>0</v>
      </c>
      <c r="G13" s="743">
        <v>0</v>
      </c>
      <c r="H13" s="743">
        <f t="shared" si="2"/>
        <v>0</v>
      </c>
      <c r="I13" s="45">
        <f t="shared" si="1"/>
        <v>0</v>
      </c>
      <c r="J13" s="125" t="str">
        <f t="shared" si="0"/>
        <v/>
      </c>
      <c r="K13" s="745">
        <v>0</v>
      </c>
    </row>
    <row r="14" spans="1:11" ht="12.75" customHeight="1" x14ac:dyDescent="0.2">
      <c r="A14" s="399" t="str">
        <f>'SC6'!A13</f>
        <v>Municipal Infrastructure Grant (MIG)</v>
      </c>
      <c r="B14" s="170"/>
      <c r="C14" s="976">
        <f>'SC6'!C14</f>
        <v>60882556</v>
      </c>
      <c r="D14" s="755">
        <f>'SC6'!D14</f>
        <v>20000000</v>
      </c>
      <c r="E14" s="743">
        <v>0</v>
      </c>
      <c r="F14" s="743">
        <v>0</v>
      </c>
      <c r="G14" s="743">
        <v>0</v>
      </c>
      <c r="H14" s="743">
        <f t="shared" si="2"/>
        <v>1666666.6666666667</v>
      </c>
      <c r="I14" s="45">
        <f t="shared" si="1"/>
        <v>-1666666.6666666667</v>
      </c>
      <c r="J14" s="125">
        <f t="shared" si="0"/>
        <v>-1</v>
      </c>
      <c r="K14" s="745">
        <v>20000000</v>
      </c>
    </row>
    <row r="15" spans="1:11" ht="12.75" customHeight="1" x14ac:dyDescent="0.2">
      <c r="A15" s="399" t="s">
        <v>1445</v>
      </c>
      <c r="B15" s="170"/>
      <c r="C15" s="976">
        <f>'SC6'!C15</f>
        <v>6500000</v>
      </c>
      <c r="D15" s="755">
        <f>'SC6'!D15</f>
        <v>5111000</v>
      </c>
      <c r="E15" s="743">
        <v>0</v>
      </c>
      <c r="F15" s="743">
        <v>0</v>
      </c>
      <c r="G15" s="743">
        <v>0</v>
      </c>
      <c r="H15" s="743">
        <f t="shared" si="2"/>
        <v>425916.66666666669</v>
      </c>
      <c r="I15" s="45">
        <f t="shared" si="1"/>
        <v>-425916.66666666669</v>
      </c>
      <c r="J15" s="125">
        <f t="shared" si="0"/>
        <v>-1</v>
      </c>
      <c r="K15" s="745">
        <v>5111000</v>
      </c>
    </row>
    <row r="16" spans="1:11" ht="12.75" customHeight="1" x14ac:dyDescent="0.2">
      <c r="A16" s="399" t="s">
        <v>1444</v>
      </c>
      <c r="B16" s="170"/>
      <c r="C16" s="976">
        <f>'SC6'!C16</f>
        <v>8000000</v>
      </c>
      <c r="D16" s="755">
        <f>'SC6'!D16</f>
        <v>8000000</v>
      </c>
      <c r="E16" s="743">
        <v>0</v>
      </c>
      <c r="F16" s="743">
        <v>0</v>
      </c>
      <c r="G16" s="743">
        <v>0</v>
      </c>
      <c r="H16" s="743">
        <f t="shared" si="2"/>
        <v>666666.66666666663</v>
      </c>
      <c r="I16" s="45">
        <f t="shared" ref="I16:I19" si="3">G16-H16</f>
        <v>-666666.66666666663</v>
      </c>
      <c r="J16" s="125">
        <f t="shared" ref="J16:J19" si="4">IF(I16=0,"",I16/H16)</f>
        <v>-1</v>
      </c>
      <c r="K16" s="745">
        <v>8000000</v>
      </c>
    </row>
    <row r="17" spans="1:11" ht="12.75" customHeight="1" x14ac:dyDescent="0.2">
      <c r="A17" s="399" t="s">
        <v>1436</v>
      </c>
      <c r="B17" s="170"/>
      <c r="C17" s="976">
        <f>'SC6'!C17</f>
        <v>1400000</v>
      </c>
      <c r="D17" s="755">
        <f>'SC6'!D17</f>
        <v>1933000</v>
      </c>
      <c r="E17" s="743">
        <v>0</v>
      </c>
      <c r="F17" s="743">
        <v>0</v>
      </c>
      <c r="G17" s="743">
        <v>0</v>
      </c>
      <c r="H17" s="743">
        <f t="shared" si="2"/>
        <v>161083.33333333334</v>
      </c>
      <c r="I17" s="45">
        <f t="shared" si="3"/>
        <v>-161083.33333333334</v>
      </c>
      <c r="J17" s="125">
        <f t="shared" si="4"/>
        <v>-1</v>
      </c>
      <c r="K17" s="745">
        <v>1933000</v>
      </c>
    </row>
    <row r="18" spans="1:11" ht="12.75" customHeight="1" x14ac:dyDescent="0.2">
      <c r="A18" s="972" t="str">
        <f>[6]SA18!A18</f>
        <v>Regional Bulk Infrastructure Grant (RBIG)</v>
      </c>
      <c r="B18" s="170"/>
      <c r="C18" s="758">
        <f>'SC6'!C18</f>
        <v>0</v>
      </c>
      <c r="D18" s="755">
        <f>'SC6'!D18</f>
        <v>46915000</v>
      </c>
      <c r="E18" s="743">
        <v>0</v>
      </c>
      <c r="F18" s="743">
        <v>688124.7</v>
      </c>
      <c r="G18" s="743">
        <v>688124.7</v>
      </c>
      <c r="H18" s="743">
        <f t="shared" si="2"/>
        <v>3909583.3333333335</v>
      </c>
      <c r="I18" s="45">
        <f t="shared" si="3"/>
        <v>-3221458.6333333338</v>
      </c>
      <c r="J18" s="125">
        <f t="shared" si="4"/>
        <v>-0.82399027176809125</v>
      </c>
      <c r="K18" s="745">
        <v>46915000</v>
      </c>
    </row>
    <row r="19" spans="1:11" ht="12.75" customHeight="1" x14ac:dyDescent="0.2">
      <c r="A19" s="972" t="s">
        <v>1456</v>
      </c>
      <c r="B19" s="170"/>
      <c r="C19" s="758">
        <f>'SC6'!C19</f>
        <v>1055000</v>
      </c>
      <c r="D19" s="755">
        <f>'SC6'!D19</f>
        <v>0</v>
      </c>
      <c r="E19" s="743">
        <v>0</v>
      </c>
      <c r="F19" s="743">
        <v>0</v>
      </c>
      <c r="G19" s="743">
        <v>0</v>
      </c>
      <c r="H19" s="743">
        <f t="shared" si="2"/>
        <v>0</v>
      </c>
      <c r="I19" s="45">
        <f t="shared" si="3"/>
        <v>0</v>
      </c>
      <c r="J19" s="125" t="str">
        <f t="shared" si="4"/>
        <v/>
      </c>
      <c r="K19" s="745">
        <v>0</v>
      </c>
    </row>
    <row r="20" spans="1:11" ht="12.75" customHeight="1" x14ac:dyDescent="0.2">
      <c r="A20" s="400" t="str">
        <f>'SC6'!A20</f>
        <v>Provincial Government:</v>
      </c>
      <c r="B20" s="170"/>
      <c r="C20" s="519">
        <f t="shared" ref="C20:I20" si="5">SUM(C21:C25)</f>
        <v>0</v>
      </c>
      <c r="D20" s="478">
        <f t="shared" si="5"/>
        <v>0</v>
      </c>
      <c r="E20" s="433">
        <f t="shared" si="5"/>
        <v>0</v>
      </c>
      <c r="F20" s="433">
        <f t="shared" si="5"/>
        <v>0</v>
      </c>
      <c r="G20" s="433">
        <f t="shared" si="5"/>
        <v>0</v>
      </c>
      <c r="H20" s="433">
        <f t="shared" si="5"/>
        <v>0</v>
      </c>
      <c r="I20" s="433">
        <f t="shared" si="5"/>
        <v>0</v>
      </c>
      <c r="J20" s="562" t="str">
        <f t="shared" ref="J20:J32" si="6">IF(I20=0,"",I20/H20)</f>
        <v/>
      </c>
      <c r="K20" s="516">
        <f>SUM(K21:K25)</f>
        <v>0</v>
      </c>
    </row>
    <row r="21" spans="1:11" ht="12.75" customHeight="1" x14ac:dyDescent="0.2">
      <c r="A21" s="399" t="str">
        <f>'SC6'!A21</f>
        <v>Municipal System Improvemen Grant</v>
      </c>
      <c r="B21" s="170"/>
      <c r="C21" s="789">
        <v>0</v>
      </c>
      <c r="D21" s="790">
        <v>0</v>
      </c>
      <c r="E21" s="744">
        <v>0</v>
      </c>
      <c r="F21" s="744">
        <v>0</v>
      </c>
      <c r="G21" s="744">
        <v>0</v>
      </c>
      <c r="H21" s="744">
        <v>0</v>
      </c>
      <c r="I21" s="517">
        <f t="shared" ref="I21:I31" si="7">G21-H21</f>
        <v>0</v>
      </c>
      <c r="J21" s="561" t="str">
        <f t="shared" si="6"/>
        <v/>
      </c>
      <c r="K21" s="746">
        <f t="shared" ref="K21" si="8">E21</f>
        <v>0</v>
      </c>
    </row>
    <row r="22" spans="1:11" ht="12.75" customHeight="1" x14ac:dyDescent="0.2">
      <c r="A22" s="399">
        <f>'SC6'!A23</f>
        <v>0</v>
      </c>
      <c r="B22" s="170"/>
      <c r="C22" s="758">
        <v>0</v>
      </c>
      <c r="D22" s="755">
        <v>0</v>
      </c>
      <c r="E22" s="743">
        <v>0</v>
      </c>
      <c r="F22" s="743">
        <v>0</v>
      </c>
      <c r="G22" s="743">
        <v>0</v>
      </c>
      <c r="H22" s="743">
        <v>0</v>
      </c>
      <c r="I22" s="45">
        <f t="shared" si="7"/>
        <v>0</v>
      </c>
      <c r="J22" s="125" t="str">
        <f t="shared" si="6"/>
        <v/>
      </c>
      <c r="K22" s="745">
        <v>0</v>
      </c>
    </row>
    <row r="23" spans="1:11" ht="12.75" customHeight="1" x14ac:dyDescent="0.2">
      <c r="A23" s="399" t="s">
        <v>1020</v>
      </c>
      <c r="B23" s="170"/>
      <c r="C23" s="758">
        <v>0</v>
      </c>
      <c r="D23" s="755">
        <v>0</v>
      </c>
      <c r="E23" s="743">
        <v>0</v>
      </c>
      <c r="F23" s="743">
        <v>0</v>
      </c>
      <c r="G23" s="743">
        <v>0</v>
      </c>
      <c r="H23" s="743">
        <v>0</v>
      </c>
      <c r="I23" s="45">
        <f t="shared" si="7"/>
        <v>0</v>
      </c>
      <c r="J23" s="125" t="str">
        <f t="shared" si="6"/>
        <v/>
      </c>
      <c r="K23" s="745">
        <v>0</v>
      </c>
    </row>
    <row r="24" spans="1:11" ht="12.75" customHeight="1" x14ac:dyDescent="0.2">
      <c r="A24" s="399">
        <f>'SC6'!A25</f>
        <v>0</v>
      </c>
      <c r="B24" s="170"/>
      <c r="C24" s="758">
        <v>0</v>
      </c>
      <c r="D24" s="755">
        <v>0</v>
      </c>
      <c r="E24" s="743">
        <v>0</v>
      </c>
      <c r="F24" s="743">
        <v>0</v>
      </c>
      <c r="G24" s="743">
        <v>0</v>
      </c>
      <c r="H24" s="743">
        <v>0</v>
      </c>
      <c r="I24" s="45">
        <f t="shared" si="7"/>
        <v>0</v>
      </c>
      <c r="J24" s="125" t="str">
        <f t="shared" si="6"/>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7"/>
        <v>0</v>
      </c>
      <c r="J25" s="125" t="str">
        <f t="shared" si="6"/>
        <v/>
      </c>
      <c r="K25" s="745">
        <v>0</v>
      </c>
    </row>
    <row r="26" spans="1:11" ht="12.75" customHeight="1" x14ac:dyDescent="0.2">
      <c r="A26" s="400" t="str">
        <f>'SC6'!A27</f>
        <v>District Municipality:</v>
      </c>
      <c r="B26" s="170"/>
      <c r="C26" s="519">
        <f t="shared" ref="C26:H26" si="9">SUM(C27:C28)</f>
        <v>0</v>
      </c>
      <c r="D26" s="478">
        <f t="shared" si="9"/>
        <v>0</v>
      </c>
      <c r="E26" s="433">
        <f t="shared" si="9"/>
        <v>0</v>
      </c>
      <c r="F26" s="433">
        <v>0</v>
      </c>
      <c r="G26" s="433">
        <f t="shared" si="9"/>
        <v>0</v>
      </c>
      <c r="H26" s="433">
        <f t="shared" si="9"/>
        <v>0</v>
      </c>
      <c r="I26" s="517">
        <f t="shared" si="7"/>
        <v>0</v>
      </c>
      <c r="J26" s="561" t="str">
        <f t="shared" si="6"/>
        <v/>
      </c>
      <c r="K26" s="516">
        <f>SUM(K27:K28)</f>
        <v>0</v>
      </c>
    </row>
    <row r="27" spans="1:11" ht="12.75" customHeight="1" x14ac:dyDescent="0.2">
      <c r="A27" s="400"/>
      <c r="B27" s="170"/>
      <c r="C27" s="793">
        <v>0</v>
      </c>
      <c r="D27" s="794">
        <v>0</v>
      </c>
      <c r="E27" s="747"/>
      <c r="F27" s="747">
        <v>0</v>
      </c>
      <c r="G27" s="747">
        <v>0</v>
      </c>
      <c r="H27" s="747">
        <v>0</v>
      </c>
      <c r="I27" s="517">
        <f t="shared" si="7"/>
        <v>0</v>
      </c>
      <c r="J27" s="561" t="str">
        <f t="shared" si="6"/>
        <v/>
      </c>
      <c r="K27" s="748">
        <f t="shared" ref="K27:K28" si="10">E27</f>
        <v>0</v>
      </c>
    </row>
    <row r="28" spans="1:11" ht="12.75" customHeight="1" x14ac:dyDescent="0.2">
      <c r="A28" s="401" t="s">
        <v>1469</v>
      </c>
      <c r="B28" s="170"/>
      <c r="C28" s="758">
        <v>0</v>
      </c>
      <c r="D28" s="755">
        <v>0</v>
      </c>
      <c r="E28" s="743">
        <v>0</v>
      </c>
      <c r="F28" s="743">
        <v>0</v>
      </c>
      <c r="G28" s="743">
        <v>0</v>
      </c>
      <c r="H28" s="743">
        <v>0</v>
      </c>
      <c r="I28" s="45">
        <f t="shared" si="7"/>
        <v>0</v>
      </c>
      <c r="J28" s="125" t="str">
        <f t="shared" si="6"/>
        <v/>
      </c>
      <c r="K28" s="745">
        <f t="shared" si="10"/>
        <v>0</v>
      </c>
    </row>
    <row r="29" spans="1:11" ht="12.75" customHeight="1" x14ac:dyDescent="0.2">
      <c r="A29" s="400" t="str">
        <f>'SC6'!A30</f>
        <v>Other grant providers:</v>
      </c>
      <c r="B29" s="170"/>
      <c r="C29" s="519">
        <f t="shared" ref="C29:H29" si="11">SUM(C30:C31)</f>
        <v>0</v>
      </c>
      <c r="D29" s="478">
        <f t="shared" si="11"/>
        <v>0</v>
      </c>
      <c r="E29" s="433">
        <f t="shared" si="11"/>
        <v>0</v>
      </c>
      <c r="F29" s="433">
        <f t="shared" si="11"/>
        <v>0</v>
      </c>
      <c r="G29" s="433">
        <f t="shared" si="11"/>
        <v>0</v>
      </c>
      <c r="H29" s="433">
        <f t="shared" si="11"/>
        <v>0</v>
      </c>
      <c r="I29" s="517">
        <f t="shared" si="7"/>
        <v>0</v>
      </c>
      <c r="J29" s="561" t="str">
        <f t="shared" si="6"/>
        <v/>
      </c>
      <c r="K29" s="516">
        <f>SUM(K30:K31)</f>
        <v>0</v>
      </c>
    </row>
    <row r="30" spans="1:11" ht="12.75" customHeight="1" x14ac:dyDescent="0.2">
      <c r="A30" s="400"/>
      <c r="B30" s="170"/>
      <c r="C30" s="793">
        <v>0</v>
      </c>
      <c r="D30" s="794">
        <v>0</v>
      </c>
      <c r="E30" s="747">
        <v>0</v>
      </c>
      <c r="F30" s="747">
        <v>0</v>
      </c>
      <c r="G30" s="747">
        <v>0</v>
      </c>
      <c r="H30" s="747">
        <v>0</v>
      </c>
      <c r="I30" s="517">
        <f t="shared" si="7"/>
        <v>0</v>
      </c>
      <c r="J30" s="561" t="str">
        <f t="shared" si="6"/>
        <v/>
      </c>
      <c r="K30" s="748">
        <v>0</v>
      </c>
    </row>
    <row r="31" spans="1:11" ht="12.75" customHeight="1" x14ac:dyDescent="0.2">
      <c r="A31" s="401" t="str">
        <f>'SC6'!A31</f>
        <v>[insert description]</v>
      </c>
      <c r="B31" s="170"/>
      <c r="C31" s="758">
        <v>0</v>
      </c>
      <c r="D31" s="755">
        <v>0</v>
      </c>
      <c r="E31" s="743">
        <v>0</v>
      </c>
      <c r="F31" s="743">
        <v>0</v>
      </c>
      <c r="G31" s="743">
        <v>0</v>
      </c>
      <c r="H31" s="743">
        <v>0</v>
      </c>
      <c r="I31" s="45">
        <f t="shared" si="7"/>
        <v>0</v>
      </c>
      <c r="J31" s="125" t="str">
        <f t="shared" si="6"/>
        <v/>
      </c>
      <c r="K31" s="745">
        <v>0</v>
      </c>
    </row>
    <row r="32" spans="1:11" ht="12.75" customHeight="1" x14ac:dyDescent="0.2">
      <c r="A32" s="567" t="s">
        <v>58</v>
      </c>
      <c r="B32" s="234"/>
      <c r="C32" s="244">
        <f t="shared" ref="C32:H32" si="12">C8+C20+C26+C29</f>
        <v>993383556</v>
      </c>
      <c r="D32" s="75">
        <f t="shared" si="12"/>
        <v>1039367000</v>
      </c>
      <c r="E32" s="74">
        <f t="shared" si="12"/>
        <v>0</v>
      </c>
      <c r="F32" s="74">
        <f t="shared" si="12"/>
        <v>385169274.88999999</v>
      </c>
      <c r="G32" s="74">
        <f t="shared" si="12"/>
        <v>385169274.88999999</v>
      </c>
      <c r="H32" s="74">
        <f t="shared" si="12"/>
        <v>86613916.666666672</v>
      </c>
      <c r="I32" s="74"/>
      <c r="J32" s="307" t="str">
        <f t="shared" si="6"/>
        <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I35" si="13">SUM(C36:C41)</f>
        <v>1062627508.4356489</v>
      </c>
      <c r="D35" s="47">
        <f t="shared" si="13"/>
        <v>935761000</v>
      </c>
      <c r="E35" s="45">
        <f>SUM(E36:E41)</f>
        <v>0</v>
      </c>
      <c r="F35" s="45">
        <f t="shared" si="13"/>
        <v>85297669.118499994</v>
      </c>
      <c r="G35" s="45">
        <f t="shared" si="13"/>
        <v>85297669.118499994</v>
      </c>
      <c r="H35" s="45">
        <f t="shared" si="13"/>
        <v>77980083.333333328</v>
      </c>
      <c r="I35" s="45">
        <f t="shared" si="13"/>
        <v>7317585.7851666622</v>
      </c>
      <c r="J35" s="346">
        <f t="shared" ref="J35:J52" si="14">IF(I35=0,"",I35/H35)</f>
        <v>9.3839163442374654E-2</v>
      </c>
      <c r="K35" s="145">
        <f>SUM(K36:K41)</f>
        <v>935761000</v>
      </c>
    </row>
    <row r="36" spans="1:11" ht="12.75" customHeight="1" x14ac:dyDescent="0.2">
      <c r="A36" s="399" t="str">
        <f>'SC6'!A42</f>
        <v xml:space="preserve"> Municipal Infrastructure Grant (MIG)</v>
      </c>
      <c r="B36" s="170"/>
      <c r="C36" s="975">
        <v>259471880.12099996</v>
      </c>
      <c r="D36" s="790">
        <v>0</v>
      </c>
      <c r="E36" s="744">
        <v>0</v>
      </c>
      <c r="F36" s="744">
        <v>0</v>
      </c>
      <c r="G36" s="744">
        <v>0</v>
      </c>
      <c r="H36" s="744">
        <f t="shared" ref="H36:H42" si="15">D36/12</f>
        <v>0</v>
      </c>
      <c r="I36" s="517">
        <f t="shared" ref="I36:I51" si="16">G36-H36</f>
        <v>0</v>
      </c>
      <c r="J36" s="561" t="str">
        <f t="shared" si="14"/>
        <v/>
      </c>
      <c r="K36" s="746">
        <v>0</v>
      </c>
    </row>
    <row r="37" spans="1:11" ht="12.75" customHeight="1" x14ac:dyDescent="0.2">
      <c r="A37" s="399" t="s">
        <v>1445</v>
      </c>
      <c r="B37" s="170"/>
      <c r="C37" s="974">
        <v>305655470.95564902</v>
      </c>
      <c r="D37" s="755">
        <v>159433000</v>
      </c>
      <c r="E37" s="743">
        <v>0</v>
      </c>
      <c r="F37" s="743">
        <v>0</v>
      </c>
      <c r="G37" s="743">
        <v>0</v>
      </c>
      <c r="H37" s="743">
        <f t="shared" si="15"/>
        <v>13286083.333333334</v>
      </c>
      <c r="I37" s="45">
        <f t="shared" si="16"/>
        <v>-13286083.333333334</v>
      </c>
      <c r="J37" s="125">
        <f t="shared" si="14"/>
        <v>-1</v>
      </c>
      <c r="K37" s="745">
        <v>159433000</v>
      </c>
    </row>
    <row r="38" spans="1:11" ht="12.75" customHeight="1" x14ac:dyDescent="0.2">
      <c r="A38" s="399" t="s">
        <v>1029</v>
      </c>
      <c r="B38" s="170"/>
      <c r="C38" s="974">
        <v>368505000</v>
      </c>
      <c r="D38" s="755">
        <v>630998000</v>
      </c>
      <c r="E38" s="743">
        <v>0</v>
      </c>
      <c r="F38" s="743">
        <v>85297669.118499994</v>
      </c>
      <c r="G38" s="743">
        <v>85297669.118499994</v>
      </c>
      <c r="H38" s="743">
        <f t="shared" si="15"/>
        <v>52583166.666666664</v>
      </c>
      <c r="I38" s="45">
        <f t="shared" si="16"/>
        <v>32714502.45183333</v>
      </c>
      <c r="J38" s="125">
        <f t="shared" si="14"/>
        <v>0.62214781888690607</v>
      </c>
      <c r="K38" s="745">
        <v>630998000</v>
      </c>
    </row>
    <row r="39" spans="1:11" ht="12.75" customHeight="1" x14ac:dyDescent="0.2">
      <c r="A39" s="399" t="s">
        <v>1031</v>
      </c>
      <c r="B39" s="170"/>
      <c r="C39" s="974">
        <v>39666042.990500003</v>
      </c>
      <c r="D39" s="755">
        <v>40613000</v>
      </c>
      <c r="E39" s="743">
        <v>0</v>
      </c>
      <c r="F39" s="743">
        <v>0</v>
      </c>
      <c r="G39" s="743">
        <v>0</v>
      </c>
      <c r="H39" s="743">
        <f t="shared" si="15"/>
        <v>3384416.6666666665</v>
      </c>
      <c r="I39" s="45">
        <f t="shared" si="16"/>
        <v>-3384416.6666666665</v>
      </c>
      <c r="J39" s="125">
        <f t="shared" si="14"/>
        <v>-1</v>
      </c>
      <c r="K39" s="745">
        <v>40613000</v>
      </c>
    </row>
    <row r="40" spans="1:11" ht="12.75" customHeight="1" x14ac:dyDescent="0.2">
      <c r="A40" s="399" t="s">
        <v>1456</v>
      </c>
      <c r="B40" s="170"/>
      <c r="C40" s="974">
        <v>89329114.368499994</v>
      </c>
      <c r="D40" s="755">
        <v>94717000</v>
      </c>
      <c r="E40" s="743">
        <v>0</v>
      </c>
      <c r="F40" s="743">
        <v>0</v>
      </c>
      <c r="G40" s="743">
        <v>0</v>
      </c>
      <c r="H40" s="743">
        <f t="shared" si="15"/>
        <v>7893083.333333333</v>
      </c>
      <c r="I40" s="45">
        <f t="shared" si="16"/>
        <v>-7893083.333333333</v>
      </c>
      <c r="J40" s="125">
        <f t="shared" si="14"/>
        <v>-1</v>
      </c>
      <c r="K40" s="745">
        <v>94717000</v>
      </c>
    </row>
    <row r="41" spans="1:11" ht="12.75" customHeight="1" x14ac:dyDescent="0.2">
      <c r="A41" s="399" t="str">
        <f>'SC6'!A51</f>
        <v>Other capital transfers [insert description]</v>
      </c>
      <c r="B41" s="170"/>
      <c r="C41" s="974">
        <v>0</v>
      </c>
      <c r="D41" s="755">
        <v>10000000</v>
      </c>
      <c r="E41" s="743"/>
      <c r="F41" s="743"/>
      <c r="G41" s="743"/>
      <c r="H41" s="743">
        <f t="shared" si="15"/>
        <v>833333.33333333337</v>
      </c>
      <c r="I41" s="45">
        <f t="shared" si="16"/>
        <v>-833333.33333333337</v>
      </c>
      <c r="J41" s="125">
        <f t="shared" si="14"/>
        <v>-1</v>
      </c>
      <c r="K41" s="745">
        <v>10000000</v>
      </c>
    </row>
    <row r="42" spans="1:11" ht="12.75" customHeight="1" x14ac:dyDescent="0.2">
      <c r="A42" s="399"/>
      <c r="B42" s="170"/>
      <c r="C42" s="976">
        <v>0</v>
      </c>
      <c r="D42" s="755">
        <v>331375000</v>
      </c>
      <c r="E42" s="743">
        <v>0</v>
      </c>
      <c r="F42" s="743">
        <v>0</v>
      </c>
      <c r="G42" s="743">
        <v>0</v>
      </c>
      <c r="H42" s="743">
        <f t="shared" si="15"/>
        <v>27614583.333333332</v>
      </c>
      <c r="I42" s="45"/>
      <c r="J42" s="125"/>
      <c r="K42" s="745">
        <v>331375000</v>
      </c>
    </row>
    <row r="43" spans="1:11" ht="12.75" customHeight="1" x14ac:dyDescent="0.2">
      <c r="A43" s="400" t="str">
        <f>'SC6'!A52</f>
        <v>Provincial Government:</v>
      </c>
      <c r="B43" s="170"/>
      <c r="C43" s="519">
        <v>0</v>
      </c>
      <c r="D43" s="478">
        <v>0</v>
      </c>
      <c r="E43" s="433">
        <f t="shared" ref="E43:H43" si="17">SUM(E44:E45)</f>
        <v>0</v>
      </c>
      <c r="F43" s="433">
        <f t="shared" si="17"/>
        <v>0</v>
      </c>
      <c r="G43" s="433">
        <f t="shared" si="17"/>
        <v>0</v>
      </c>
      <c r="H43" s="433">
        <f t="shared" si="17"/>
        <v>0</v>
      </c>
      <c r="I43" s="517">
        <f t="shared" si="16"/>
        <v>0</v>
      </c>
      <c r="J43" s="561" t="str">
        <f t="shared" si="14"/>
        <v/>
      </c>
      <c r="K43" s="516">
        <f>SUM(K44:K45)</f>
        <v>0</v>
      </c>
    </row>
    <row r="44" spans="1:11" ht="12.75" customHeight="1" x14ac:dyDescent="0.2">
      <c r="A44" s="400"/>
      <c r="B44" s="170"/>
      <c r="C44" s="793">
        <v>0</v>
      </c>
      <c r="D44" s="794">
        <v>0</v>
      </c>
      <c r="E44" s="747">
        <v>0</v>
      </c>
      <c r="F44" s="747">
        <v>0</v>
      </c>
      <c r="G44" s="747">
        <v>0</v>
      </c>
      <c r="H44" s="747">
        <v>0</v>
      </c>
      <c r="I44" s="517">
        <f t="shared" si="16"/>
        <v>0</v>
      </c>
      <c r="J44" s="561" t="str">
        <f t="shared" si="14"/>
        <v/>
      </c>
      <c r="K44" s="748">
        <v>0</v>
      </c>
    </row>
    <row r="45" spans="1:11" ht="12.75" customHeight="1" x14ac:dyDescent="0.2">
      <c r="A45" s="399">
        <f>'SC6'!A58</f>
        <v>0</v>
      </c>
      <c r="B45" s="170"/>
      <c r="C45" s="758">
        <v>0</v>
      </c>
      <c r="D45" s="755">
        <v>0</v>
      </c>
      <c r="E45" s="743">
        <v>0</v>
      </c>
      <c r="F45" s="743">
        <v>0</v>
      </c>
      <c r="G45" s="743">
        <v>0</v>
      </c>
      <c r="H45" s="743">
        <v>0</v>
      </c>
      <c r="I45" s="45">
        <f t="shared" si="16"/>
        <v>0</v>
      </c>
      <c r="J45" s="125" t="str">
        <f t="shared" si="14"/>
        <v/>
      </c>
      <c r="K45" s="745">
        <v>0</v>
      </c>
    </row>
    <row r="46" spans="1:11" ht="12.75" customHeight="1" x14ac:dyDescent="0.2">
      <c r="A46" s="400" t="str">
        <f>'SC6'!A59</f>
        <v>District Municipality:</v>
      </c>
      <c r="B46" s="170"/>
      <c r="C46" s="519">
        <f t="shared" ref="C46:H46" si="18">SUM(C47:C48)</f>
        <v>0</v>
      </c>
      <c r="D46" s="478">
        <f t="shared" si="18"/>
        <v>0</v>
      </c>
      <c r="E46" s="433">
        <f t="shared" si="18"/>
        <v>0</v>
      </c>
      <c r="F46" s="433">
        <f t="shared" si="18"/>
        <v>0</v>
      </c>
      <c r="G46" s="433">
        <f t="shared" si="18"/>
        <v>0</v>
      </c>
      <c r="H46" s="433">
        <f t="shared" si="18"/>
        <v>0</v>
      </c>
      <c r="I46" s="517">
        <f t="shared" si="16"/>
        <v>0</v>
      </c>
      <c r="J46" s="561" t="str">
        <f t="shared" si="14"/>
        <v/>
      </c>
      <c r="K46" s="516">
        <f>SUM(K47:K48)</f>
        <v>0</v>
      </c>
    </row>
    <row r="47" spans="1:11" ht="12.75" customHeight="1" x14ac:dyDescent="0.2">
      <c r="A47" s="400"/>
      <c r="B47" s="170"/>
      <c r="C47" s="793">
        <v>0</v>
      </c>
      <c r="D47" s="794">
        <v>0</v>
      </c>
      <c r="E47" s="747">
        <v>0</v>
      </c>
      <c r="F47" s="747">
        <v>0</v>
      </c>
      <c r="G47" s="747">
        <v>0</v>
      </c>
      <c r="H47" s="747">
        <v>0</v>
      </c>
      <c r="I47" s="517">
        <f t="shared" si="16"/>
        <v>0</v>
      </c>
      <c r="J47" s="561" t="str">
        <f t="shared" si="14"/>
        <v/>
      </c>
      <c r="K47" s="748">
        <v>0</v>
      </c>
    </row>
    <row r="48" spans="1:11" ht="12.75" customHeight="1" x14ac:dyDescent="0.2">
      <c r="A48" s="401">
        <f>'SC6'!A61</f>
        <v>0</v>
      </c>
      <c r="B48" s="170"/>
      <c r="C48" s="758">
        <v>0</v>
      </c>
      <c r="D48" s="755">
        <v>0</v>
      </c>
      <c r="E48" s="743">
        <v>0</v>
      </c>
      <c r="F48" s="743">
        <v>0</v>
      </c>
      <c r="G48" s="743">
        <v>0</v>
      </c>
      <c r="H48" s="743">
        <v>0</v>
      </c>
      <c r="I48" s="45">
        <f t="shared" si="16"/>
        <v>0</v>
      </c>
      <c r="J48" s="125" t="str">
        <f t="shared" si="14"/>
        <v/>
      </c>
      <c r="K48" s="745">
        <v>0</v>
      </c>
    </row>
    <row r="49" spans="1:11" ht="12.75" customHeight="1" x14ac:dyDescent="0.2">
      <c r="A49" s="400" t="str">
        <f>'SC6'!A62</f>
        <v>Other grant providers:</v>
      </c>
      <c r="B49" s="170"/>
      <c r="C49" s="519">
        <f t="shared" ref="C49:H49" si="19">SUM(C50:C51)</f>
        <v>0</v>
      </c>
      <c r="D49" s="478">
        <f t="shared" si="19"/>
        <v>0</v>
      </c>
      <c r="E49" s="433">
        <f t="shared" si="19"/>
        <v>0</v>
      </c>
      <c r="F49" s="433">
        <f t="shared" si="19"/>
        <v>0</v>
      </c>
      <c r="G49" s="433">
        <f t="shared" si="19"/>
        <v>0</v>
      </c>
      <c r="H49" s="433">
        <f t="shared" si="19"/>
        <v>0</v>
      </c>
      <c r="I49" s="517">
        <f t="shared" si="16"/>
        <v>0</v>
      </c>
      <c r="J49" s="561" t="str">
        <f t="shared" si="14"/>
        <v/>
      </c>
      <c r="K49" s="516">
        <f>SUM(K50:K51)</f>
        <v>0</v>
      </c>
    </row>
    <row r="50" spans="1:11" ht="12.75" customHeight="1" x14ac:dyDescent="0.2">
      <c r="A50" s="400"/>
      <c r="B50" s="170"/>
      <c r="C50" s="793">
        <v>0</v>
      </c>
      <c r="D50" s="794">
        <v>0</v>
      </c>
      <c r="E50" s="747">
        <v>0</v>
      </c>
      <c r="F50" s="747">
        <v>0</v>
      </c>
      <c r="G50" s="747">
        <v>0</v>
      </c>
      <c r="H50" s="747">
        <v>0</v>
      </c>
      <c r="I50" s="517">
        <f t="shared" si="16"/>
        <v>0</v>
      </c>
      <c r="J50" s="561" t="str">
        <f t="shared" si="14"/>
        <v/>
      </c>
      <c r="K50" s="748">
        <v>0</v>
      </c>
    </row>
    <row r="51" spans="1:11" ht="12.75" customHeight="1" x14ac:dyDescent="0.2">
      <c r="A51" s="401">
        <f>'SC6'!A68</f>
        <v>0</v>
      </c>
      <c r="B51" s="170"/>
      <c r="C51" s="758">
        <v>0</v>
      </c>
      <c r="D51" s="755">
        <v>0</v>
      </c>
      <c r="E51" s="743">
        <v>0</v>
      </c>
      <c r="F51" s="743">
        <v>0</v>
      </c>
      <c r="G51" s="743">
        <v>0</v>
      </c>
      <c r="H51" s="743">
        <v>0</v>
      </c>
      <c r="I51" s="45">
        <f t="shared" si="16"/>
        <v>0</v>
      </c>
      <c r="J51" s="125" t="str">
        <f t="shared" si="14"/>
        <v/>
      </c>
      <c r="K51" s="745">
        <v>0</v>
      </c>
    </row>
    <row r="52" spans="1:11" ht="12.75" customHeight="1" x14ac:dyDescent="0.2">
      <c r="A52" s="566" t="s">
        <v>60</v>
      </c>
      <c r="B52" s="234"/>
      <c r="C52" s="244">
        <f t="shared" ref="C52:I52" si="20">C35+C43+C46+C49</f>
        <v>1062627508.4356489</v>
      </c>
      <c r="D52" s="75">
        <f t="shared" si="20"/>
        <v>935761000</v>
      </c>
      <c r="E52" s="74">
        <f t="shared" si="20"/>
        <v>0</v>
      </c>
      <c r="F52" s="74">
        <f t="shared" si="20"/>
        <v>85297669.118499994</v>
      </c>
      <c r="G52" s="74">
        <f t="shared" si="20"/>
        <v>85297669.118499994</v>
      </c>
      <c r="H52" s="74">
        <f t="shared" si="20"/>
        <v>77980083.333333328</v>
      </c>
      <c r="I52" s="74">
        <f t="shared" si="20"/>
        <v>7317585.7851666622</v>
      </c>
      <c r="J52" s="307">
        <f t="shared" si="14"/>
        <v>9.3839163442374654E-2</v>
      </c>
      <c r="K52" s="146">
        <f>K35+K43+K46+K49</f>
        <v>935761000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 t="shared" ref="C54:I54" si="21">C32+C52</f>
        <v>2056011064.4356489</v>
      </c>
      <c r="D54" s="57">
        <f t="shared" si="21"/>
        <v>1975128000</v>
      </c>
      <c r="E54" s="56">
        <f t="shared" si="21"/>
        <v>0</v>
      </c>
      <c r="F54" s="56">
        <f t="shared" si="21"/>
        <v>470466944.00849998</v>
      </c>
      <c r="G54" s="56">
        <f t="shared" si="21"/>
        <v>470466944.00849998</v>
      </c>
      <c r="H54" s="56">
        <f t="shared" si="21"/>
        <v>164594000</v>
      </c>
      <c r="I54" s="56">
        <f t="shared" si="21"/>
        <v>7317585.7851666622</v>
      </c>
      <c r="J54" s="293">
        <f>IF(I54=0,"",I54/H54)</f>
        <v>4.4458399365509452E-2</v>
      </c>
      <c r="K54" s="236">
        <f>K32+K52</f>
        <v>1975128000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8"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K14" sqref="K14"/>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31" t="str">
        <f>muni&amp; " - "&amp;S71T&amp; " - "&amp;Head57</f>
        <v>LIM354 Polokwane - Supporting Table SC7(2) Monthly Budget Statement - Expenditure against approved rollovers - M01 July</v>
      </c>
      <c r="B1" s="1031"/>
      <c r="C1" s="1031"/>
      <c r="D1" s="1031"/>
      <c r="E1" s="1031"/>
      <c r="F1" s="1031"/>
      <c r="G1" s="1031"/>
    </row>
    <row r="2" spans="1:7" ht="21.75" customHeight="1" x14ac:dyDescent="0.2">
      <c r="A2" s="1020" t="str">
        <f>desc</f>
        <v>Description</v>
      </c>
      <c r="B2" s="1013" t="str">
        <f>head27</f>
        <v>Ref</v>
      </c>
      <c r="C2" s="1015" t="str">
        <f>Head2</f>
        <v>Budget Year 2019/20</v>
      </c>
      <c r="D2" s="1016"/>
      <c r="E2" s="1016"/>
      <c r="F2" s="1016"/>
      <c r="G2" s="1017"/>
    </row>
    <row r="3" spans="1:7" ht="39.75" customHeight="1" x14ac:dyDescent="0.2">
      <c r="A3" s="1021"/>
      <c r="B3" s="1024"/>
      <c r="C3" s="200" t="str">
        <f>"Approved Rollover " &amp;Head1</f>
        <v>Approved Rollover 2018/19</v>
      </c>
      <c r="D3" s="142" t="str">
        <f>Head38</f>
        <v>Monthly actual</v>
      </c>
      <c r="E3" s="142" t="str">
        <f>Head39</f>
        <v>YearTD actual</v>
      </c>
      <c r="F3" s="142" t="str">
        <f>Head41</f>
        <v>YTD variance</v>
      </c>
      <c r="G3" s="914" t="str">
        <f>Head41</f>
        <v>YTD variance</v>
      </c>
    </row>
    <row r="4" spans="1:7" x14ac:dyDescent="0.2">
      <c r="A4" s="294" t="s">
        <v>687</v>
      </c>
      <c r="B4" s="249"/>
      <c r="C4" s="296"/>
      <c r="D4" s="298"/>
      <c r="E4" s="913"/>
      <c r="F4" s="298"/>
      <c r="G4" s="915"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v>0</v>
      </c>
      <c r="D9" s="744">
        <v>0</v>
      </c>
      <c r="E9" s="744">
        <v>0</v>
      </c>
      <c r="F9" s="517">
        <f>E9-C9</f>
        <v>0</v>
      </c>
      <c r="G9" s="917"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t="str">
        <f>'SC6'!A21</f>
        <v>Municipal System Improvemen Grant</v>
      </c>
      <c r="B17" s="170"/>
      <c r="C17" s="790">
        <v>0</v>
      </c>
      <c r="D17" s="744">
        <v>0</v>
      </c>
      <c r="E17" s="744">
        <v>0</v>
      </c>
      <c r="F17" s="517">
        <f>C17-E17</f>
        <v>0</v>
      </c>
      <c r="G17" s="917"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v>0</v>
      </c>
      <c r="D23" s="747">
        <v>0</v>
      </c>
      <c r="E23" s="747">
        <v>0</v>
      </c>
      <c r="F23" s="517">
        <f>C23-E23</f>
        <v>0</v>
      </c>
      <c r="G23" s="917"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v>0</v>
      </c>
      <c r="D26" s="747">
        <v>0</v>
      </c>
      <c r="E26" s="747">
        <v>0</v>
      </c>
      <c r="F26" s="517">
        <f>C26-E26</f>
        <v>0</v>
      </c>
      <c r="G26" s="917"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 xml:space="preserve"> Municipal Infrastructure Grant (MIG)</v>
      </c>
      <c r="B32" s="170"/>
      <c r="C32" s="790">
        <v>0</v>
      </c>
      <c r="D32" s="744">
        <v>0</v>
      </c>
      <c r="E32" s="744">
        <v>0</v>
      </c>
      <c r="F32" s="517">
        <f t="shared" ref="F32:F37" si="2">C32-E32</f>
        <v>0</v>
      </c>
      <c r="G32" s="917"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v>0</v>
      </c>
      <c r="D39" s="747">
        <v>0</v>
      </c>
      <c r="E39" s="747">
        <v>0</v>
      </c>
      <c r="F39" s="517">
        <f>C39-E39</f>
        <v>0</v>
      </c>
      <c r="G39" s="917"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v>0</v>
      </c>
      <c r="D42" s="747">
        <v>0</v>
      </c>
      <c r="E42" s="747">
        <v>0</v>
      </c>
      <c r="F42" s="517">
        <f>C42-E42</f>
        <v>0</v>
      </c>
      <c r="G42" s="917"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v>0</v>
      </c>
      <c r="D45" s="747">
        <v>0</v>
      </c>
      <c r="E45" s="747">
        <v>0</v>
      </c>
      <c r="F45" s="517">
        <f>C45-E45</f>
        <v>0</v>
      </c>
      <c r="G45" s="917"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80" activePane="bottomRight" state="frozen"/>
      <selection pane="topRight"/>
      <selection pane="bottomLeft"/>
      <selection pane="bottomRight" activeCell="N22" sqref="N22"/>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"&amp;S71N&amp; " - "&amp;Head57</f>
        <v>LIM354 Polokwane - Supporting Table SC8 Monthly Budget Statement - councillor and staff benefits  - M01 July</v>
      </c>
      <c r="B1" s="1031"/>
      <c r="C1" s="1031"/>
      <c r="D1" s="1031"/>
      <c r="E1" s="1031"/>
      <c r="F1" s="1031"/>
      <c r="G1" s="1031"/>
      <c r="H1" s="1031"/>
      <c r="I1" s="1031"/>
      <c r="J1" s="1031"/>
      <c r="K1" s="1031"/>
    </row>
    <row r="2" spans="1:11" x14ac:dyDescent="0.2">
      <c r="A2" s="1020" t="s">
        <v>670</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24070838.236074008</v>
      </c>
      <c r="E7" s="743">
        <v>0</v>
      </c>
      <c r="F7" s="743">
        <v>1836703.66</v>
      </c>
      <c r="G7" s="743">
        <v>1836703.66</v>
      </c>
      <c r="H7" s="743">
        <f>D7/12</f>
        <v>2005903.1863395006</v>
      </c>
      <c r="I7" s="45">
        <f t="shared" ref="I7:I14" si="0">G7-H7</f>
        <v>-169199.52633950068</v>
      </c>
      <c r="J7" s="333">
        <f t="shared" ref="J7:J14" si="1">IF(I7=0,"",I7/H7)</f>
        <v>-8.4350793942486679E-2</v>
      </c>
      <c r="K7" s="745">
        <f>D7</f>
        <v>24070838.236074008</v>
      </c>
    </row>
    <row r="8" spans="1:11" ht="12.75" customHeight="1" x14ac:dyDescent="0.2">
      <c r="A8" s="521" t="s">
        <v>1066</v>
      </c>
      <c r="B8" s="170"/>
      <c r="C8" s="758">
        <v>3296043.9200000004</v>
      </c>
      <c r="D8" s="755">
        <v>3459621.8043000009</v>
      </c>
      <c r="E8" s="743">
        <v>0</v>
      </c>
      <c r="F8" s="743">
        <v>271052.43</v>
      </c>
      <c r="G8" s="743">
        <v>271052.43</v>
      </c>
      <c r="H8" s="743">
        <f t="shared" ref="H8:H13" si="2">D8/12</f>
        <v>288301.81702500005</v>
      </c>
      <c r="I8" s="45">
        <f t="shared" si="0"/>
        <v>-17249.387025000062</v>
      </c>
      <c r="J8" s="333">
        <f t="shared" si="1"/>
        <v>-5.9831003505275454E-2</v>
      </c>
      <c r="K8" s="745">
        <f t="shared" ref="K8:K13" si="3">D8</f>
        <v>3459621.8043000009</v>
      </c>
    </row>
    <row r="9" spans="1:11" ht="12.75" customHeight="1" x14ac:dyDescent="0.2">
      <c r="A9" s="521" t="s">
        <v>436</v>
      </c>
      <c r="B9" s="170"/>
      <c r="C9" s="758">
        <v>849833.04</v>
      </c>
      <c r="D9" s="755">
        <v>718142.37966000009</v>
      </c>
      <c r="E9" s="743">
        <v>0</v>
      </c>
      <c r="F9" s="743">
        <v>104576.67</v>
      </c>
      <c r="G9" s="743">
        <v>104576.67</v>
      </c>
      <c r="H9" s="743">
        <f t="shared" si="2"/>
        <v>59845.198305000005</v>
      </c>
      <c r="I9" s="45">
        <f t="shared" si="0"/>
        <v>44731.471694999993</v>
      </c>
      <c r="J9" s="333">
        <f t="shared" si="1"/>
        <v>0.74745297804891264</v>
      </c>
      <c r="K9" s="745">
        <f t="shared" si="3"/>
        <v>718142.37966000009</v>
      </c>
    </row>
    <row r="10" spans="1:11" ht="12.75" customHeight="1" x14ac:dyDescent="0.2">
      <c r="A10" s="521" t="s">
        <v>1067</v>
      </c>
      <c r="B10" s="170"/>
      <c r="C10" s="758">
        <v>7685845.1200000001</v>
      </c>
      <c r="D10" s="755">
        <v>9470591.4018240031</v>
      </c>
      <c r="E10" s="743">
        <v>0</v>
      </c>
      <c r="F10" s="743">
        <v>642521.07999999996</v>
      </c>
      <c r="G10" s="743">
        <v>642521.07999999996</v>
      </c>
      <c r="H10" s="743">
        <f t="shared" si="2"/>
        <v>789215.9501520003</v>
      </c>
      <c r="I10" s="45">
        <f>G10-H10</f>
        <v>-146694.87015200034</v>
      </c>
      <c r="J10" s="333">
        <f>IF(I10=0,"",I10/H10)</f>
        <v>-0.1858741832621951</v>
      </c>
      <c r="K10" s="745">
        <f t="shared" si="3"/>
        <v>9470591.4018240031</v>
      </c>
    </row>
    <row r="11" spans="1:11" ht="12.75" customHeight="1" x14ac:dyDescent="0.2">
      <c r="A11" s="40" t="s">
        <v>1068</v>
      </c>
      <c r="B11" s="170"/>
      <c r="C11" s="758">
        <v>3887641.6</v>
      </c>
      <c r="D11" s="755">
        <v>2376274.2991020004</v>
      </c>
      <c r="E11" s="743">
        <v>0</v>
      </c>
      <c r="F11" s="743">
        <v>340000</v>
      </c>
      <c r="G11" s="743">
        <v>340000</v>
      </c>
      <c r="H11" s="743">
        <f t="shared" si="2"/>
        <v>198022.85825850003</v>
      </c>
      <c r="I11" s="45">
        <f>G11-H11</f>
        <v>141977.14174149997</v>
      </c>
      <c r="J11" s="333">
        <f>IF(I11=0,"",I11/H11)</f>
        <v>0.7169734998782934</v>
      </c>
      <c r="K11" s="745">
        <f t="shared" si="3"/>
        <v>2376274.2991020004</v>
      </c>
    </row>
    <row r="12" spans="1:11" ht="12.75" customHeight="1" x14ac:dyDescent="0.2">
      <c r="A12" s="40" t="s">
        <v>1069</v>
      </c>
      <c r="B12" s="170"/>
      <c r="C12" s="758">
        <v>0</v>
      </c>
      <c r="D12" s="755">
        <v>0</v>
      </c>
      <c r="E12" s="743">
        <v>0</v>
      </c>
      <c r="F12" s="743"/>
      <c r="G12" s="743"/>
      <c r="H12" s="743">
        <f t="shared" si="2"/>
        <v>0</v>
      </c>
      <c r="I12" s="45">
        <f>G12-H12</f>
        <v>0</v>
      </c>
      <c r="J12" s="333" t="str">
        <f>IF(I12=0,"",I12/H12)</f>
        <v/>
      </c>
      <c r="K12" s="745">
        <f t="shared" si="3"/>
        <v>0</v>
      </c>
    </row>
    <row r="13" spans="1:11" ht="12.75" customHeight="1" x14ac:dyDescent="0.2">
      <c r="A13" s="40" t="s">
        <v>1070</v>
      </c>
      <c r="B13" s="170"/>
      <c r="C13" s="758">
        <v>625098.77</v>
      </c>
      <c r="D13" s="755">
        <v>421955.87904000015</v>
      </c>
      <c r="E13" s="743">
        <v>0</v>
      </c>
      <c r="F13" s="743">
        <v>25356.98</v>
      </c>
      <c r="G13" s="743">
        <v>25356.98</v>
      </c>
      <c r="H13" s="743">
        <f t="shared" si="2"/>
        <v>35162.989920000015</v>
      </c>
      <c r="I13" s="45">
        <f t="shared" si="0"/>
        <v>-9806.009920000015</v>
      </c>
      <c r="J13" s="333">
        <f t="shared" si="1"/>
        <v>-0.27887304072577029</v>
      </c>
      <c r="K13" s="745">
        <f t="shared" si="3"/>
        <v>421955.87904000015</v>
      </c>
    </row>
    <row r="14" spans="1:11" ht="12.75" customHeight="1" x14ac:dyDescent="0.2">
      <c r="A14" s="88" t="s">
        <v>437</v>
      </c>
      <c r="B14" s="170"/>
      <c r="C14" s="519">
        <f t="shared" ref="C14:K14" si="4">SUM(C7:C13)</f>
        <v>38359893.650000006</v>
      </c>
      <c r="D14" s="478">
        <f t="shared" si="4"/>
        <v>40517424.000000015</v>
      </c>
      <c r="E14" s="433">
        <f t="shared" si="4"/>
        <v>0</v>
      </c>
      <c r="F14" s="433">
        <f t="shared" si="4"/>
        <v>3220210.82</v>
      </c>
      <c r="G14" s="433">
        <f t="shared" si="4"/>
        <v>3220210.82</v>
      </c>
      <c r="H14" s="433">
        <f t="shared" si="4"/>
        <v>3376452.0000000014</v>
      </c>
      <c r="I14" s="433">
        <f t="shared" si="0"/>
        <v>-156241.18000000156</v>
      </c>
      <c r="J14" s="434">
        <f t="shared" si="1"/>
        <v>-4.6273774956670941E-2</v>
      </c>
      <c r="K14" s="516">
        <f t="shared" si="4"/>
        <v>40517424.000000015</v>
      </c>
    </row>
    <row r="15" spans="1:11" ht="12.75" customHeight="1" x14ac:dyDescent="0.2">
      <c r="A15" s="574" t="s">
        <v>744</v>
      </c>
      <c r="B15" s="170">
        <v>4</v>
      </c>
      <c r="C15" s="174"/>
      <c r="D15" s="306">
        <f>IF(D14=0,"",(D14/C14)-1)</f>
        <v>5.6244429916452843E-2</v>
      </c>
      <c r="E15" s="306" t="str">
        <f>IF(E14=0,"",(E14/C14)-1)</f>
        <v/>
      </c>
      <c r="F15" s="306"/>
      <c r="G15" s="306"/>
      <c r="H15" s="306"/>
      <c r="I15" s="306"/>
      <c r="J15" s="347"/>
      <c r="K15" s="315">
        <f>IF(K14=0,"",(K14/C14)-1)</f>
        <v>5.6244429916452843E-2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0</v>
      </c>
      <c r="F18" s="743">
        <v>680113.72</v>
      </c>
      <c r="G18" s="743">
        <v>680113.72</v>
      </c>
      <c r="H18" s="743">
        <f t="shared" ref="H18:H29" si="5">D18/12</f>
        <v>1389601.7108333334</v>
      </c>
      <c r="I18" s="45">
        <f t="shared" ref="I18:I30" si="6">G18-H18</f>
        <v>-709487.99083333346</v>
      </c>
      <c r="J18" s="333">
        <f t="shared" ref="J18:J29" si="7">IF(I18=0,"",I18/H18)</f>
        <v>-0.51056931299246822</v>
      </c>
      <c r="K18" s="745">
        <f t="shared" ref="K18:K29" si="8">D18</f>
        <v>16675220.530000001</v>
      </c>
    </row>
    <row r="19" spans="1:11" ht="12.75" customHeight="1" x14ac:dyDescent="0.2">
      <c r="A19" s="40" t="s">
        <v>1066</v>
      </c>
      <c r="B19" s="170"/>
      <c r="C19" s="758">
        <v>1299445.49</v>
      </c>
      <c r="D19" s="755">
        <v>1224118</v>
      </c>
      <c r="E19" s="743">
        <v>0</v>
      </c>
      <c r="F19" s="743">
        <v>94380.78</v>
      </c>
      <c r="G19" s="743">
        <v>94380.78</v>
      </c>
      <c r="H19" s="743">
        <f t="shared" si="5"/>
        <v>102009.83333333333</v>
      </c>
      <c r="I19" s="45">
        <f t="shared" si="6"/>
        <v>-7629.0533333333296</v>
      </c>
      <c r="J19" s="333">
        <f t="shared" si="7"/>
        <v>-7.4787430623518295E-2</v>
      </c>
      <c r="K19" s="745">
        <f t="shared" si="8"/>
        <v>1224118</v>
      </c>
    </row>
    <row r="20" spans="1:11" ht="12.75" customHeight="1" x14ac:dyDescent="0.2">
      <c r="A20" s="40" t="s">
        <v>436</v>
      </c>
      <c r="B20" s="170"/>
      <c r="C20" s="758">
        <v>165275.08000000005</v>
      </c>
      <c r="D20" s="755">
        <v>115051.51</v>
      </c>
      <c r="E20" s="743">
        <v>0</v>
      </c>
      <c r="F20" s="743">
        <v>8971.2000000000007</v>
      </c>
      <c r="G20" s="743">
        <v>8971.2000000000007</v>
      </c>
      <c r="H20" s="743">
        <f t="shared" si="5"/>
        <v>9587.6258333333335</v>
      </c>
      <c r="I20" s="45">
        <f t="shared" si="6"/>
        <v>-616.42583333333278</v>
      </c>
      <c r="J20" s="333">
        <f t="shared" si="7"/>
        <v>-6.4293897576833139E-2</v>
      </c>
      <c r="K20" s="745">
        <f t="shared" si="8"/>
        <v>115051.51</v>
      </c>
    </row>
    <row r="21" spans="1:11" ht="12.75" customHeight="1" x14ac:dyDescent="0.2">
      <c r="A21" s="40" t="s">
        <v>558</v>
      </c>
      <c r="B21" s="170"/>
      <c r="C21" s="758">
        <v>0</v>
      </c>
      <c r="D21" s="755">
        <v>0</v>
      </c>
      <c r="E21" s="743">
        <v>0</v>
      </c>
      <c r="F21" s="743"/>
      <c r="G21" s="743"/>
      <c r="H21" s="743">
        <f t="shared" si="5"/>
        <v>0</v>
      </c>
      <c r="I21" s="45">
        <f t="shared" si="6"/>
        <v>0</v>
      </c>
      <c r="J21" s="333" t="str">
        <f t="shared" si="7"/>
        <v/>
      </c>
      <c r="K21" s="745">
        <f t="shared" si="8"/>
        <v>0</v>
      </c>
    </row>
    <row r="22" spans="1:11" ht="12.75" customHeight="1" x14ac:dyDescent="0.2">
      <c r="A22" s="40" t="s">
        <v>438</v>
      </c>
      <c r="B22" s="170"/>
      <c r="C22" s="758">
        <v>0</v>
      </c>
      <c r="D22" s="755">
        <v>0</v>
      </c>
      <c r="E22" s="743">
        <v>0</v>
      </c>
      <c r="F22" s="743"/>
      <c r="G22" s="743"/>
      <c r="H22" s="743">
        <f t="shared" si="5"/>
        <v>0</v>
      </c>
      <c r="I22" s="45">
        <f>G22-H22</f>
        <v>0</v>
      </c>
      <c r="J22" s="333" t="str">
        <f>IF(I22=0,"",I22/H22)</f>
        <v/>
      </c>
      <c r="K22" s="745">
        <f t="shared" si="8"/>
        <v>0</v>
      </c>
    </row>
    <row r="23" spans="1:11" ht="12.75" customHeight="1" x14ac:dyDescent="0.2">
      <c r="A23" s="40" t="s">
        <v>1067</v>
      </c>
      <c r="B23" s="170"/>
      <c r="C23" s="758">
        <v>1921305.7900000003</v>
      </c>
      <c r="D23" s="755">
        <v>1862797.45</v>
      </c>
      <c r="E23" s="743">
        <v>0</v>
      </c>
      <c r="F23" s="743">
        <v>145727.57999999999</v>
      </c>
      <c r="G23" s="743">
        <v>145727.57999999999</v>
      </c>
      <c r="H23" s="743">
        <f t="shared" si="5"/>
        <v>155233.12083333332</v>
      </c>
      <c r="I23" s="45">
        <f>G23-H23</f>
        <v>-9505.5408333333326</v>
      </c>
      <c r="J23" s="333">
        <f>IF(I23=0,"",I23/H23)</f>
        <v>-6.1233973666863242E-2</v>
      </c>
      <c r="K23" s="745">
        <f t="shared" si="8"/>
        <v>1862797.45</v>
      </c>
    </row>
    <row r="24" spans="1:11" ht="12.75" customHeight="1" x14ac:dyDescent="0.2">
      <c r="A24" s="40" t="s">
        <v>1068</v>
      </c>
      <c r="B24" s="170"/>
      <c r="C24" s="758">
        <v>0</v>
      </c>
      <c r="D24" s="755">
        <v>0</v>
      </c>
      <c r="E24" s="743">
        <v>0</v>
      </c>
      <c r="F24" s="743"/>
      <c r="G24" s="743"/>
      <c r="H24" s="743">
        <f t="shared" si="5"/>
        <v>0</v>
      </c>
      <c r="I24" s="45">
        <f>G24-H24</f>
        <v>0</v>
      </c>
      <c r="J24" s="333" t="str">
        <f>IF(I24=0,"",I24/H24)</f>
        <v/>
      </c>
      <c r="K24" s="745">
        <f t="shared" si="8"/>
        <v>0</v>
      </c>
    </row>
    <row r="25" spans="1:11" ht="12.75" customHeight="1" x14ac:dyDescent="0.2">
      <c r="A25" s="40" t="s">
        <v>1069</v>
      </c>
      <c r="B25" s="170"/>
      <c r="C25" s="758">
        <v>1705480.9999999995</v>
      </c>
      <c r="D25" s="755">
        <v>0</v>
      </c>
      <c r="E25" s="743">
        <v>0</v>
      </c>
      <c r="F25" s="743">
        <v>155470.88</v>
      </c>
      <c r="G25" s="743">
        <v>155470.88</v>
      </c>
      <c r="H25" s="743">
        <f t="shared" si="5"/>
        <v>0</v>
      </c>
      <c r="I25" s="45">
        <f>G25-H25</f>
        <v>155470.88</v>
      </c>
      <c r="J25" s="333" t="e">
        <f>IF(I25=0,"",I25/H25)</f>
        <v>#DIV/0!</v>
      </c>
      <c r="K25" s="745">
        <f t="shared" si="8"/>
        <v>0</v>
      </c>
    </row>
    <row r="26" spans="1:11" ht="12.75" customHeight="1" x14ac:dyDescent="0.2">
      <c r="A26" s="40" t="s">
        <v>1070</v>
      </c>
      <c r="B26" s="170"/>
      <c r="C26" s="758">
        <v>240142.53</v>
      </c>
      <c r="D26" s="755">
        <v>624814.55874999822</v>
      </c>
      <c r="E26" s="743">
        <v>0</v>
      </c>
      <c r="F26" s="743">
        <v>11050.36</v>
      </c>
      <c r="G26" s="743">
        <v>11050.36</v>
      </c>
      <c r="H26" s="743">
        <f t="shared" si="5"/>
        <v>52067.879895833183</v>
      </c>
      <c r="I26" s="45">
        <f t="shared" si="6"/>
        <v>-41017.519895833182</v>
      </c>
      <c r="J26" s="333">
        <f t="shared" si="7"/>
        <v>-0.78777011812066644</v>
      </c>
      <c r="K26" s="745">
        <f t="shared" si="8"/>
        <v>624814.55874999822</v>
      </c>
    </row>
    <row r="27" spans="1:11" ht="12.75" customHeight="1" x14ac:dyDescent="0.2">
      <c r="A27" s="40" t="s">
        <v>1071</v>
      </c>
      <c r="B27" s="170"/>
      <c r="C27" s="758">
        <v>35566</v>
      </c>
      <c r="D27" s="755"/>
      <c r="E27" s="743">
        <v>0</v>
      </c>
      <c r="F27" s="743"/>
      <c r="G27" s="743"/>
      <c r="H27" s="743">
        <f t="shared" si="5"/>
        <v>0</v>
      </c>
      <c r="I27" s="45">
        <f t="shared" si="6"/>
        <v>0</v>
      </c>
      <c r="J27" s="333" t="str">
        <f t="shared" si="7"/>
        <v/>
      </c>
      <c r="K27" s="745">
        <f t="shared" si="8"/>
        <v>0</v>
      </c>
    </row>
    <row r="28" spans="1:11" ht="12.75" customHeight="1" x14ac:dyDescent="0.2">
      <c r="A28" s="40" t="s">
        <v>1072</v>
      </c>
      <c r="B28" s="170"/>
      <c r="C28" s="758">
        <v>0</v>
      </c>
      <c r="D28" s="755">
        <v>0</v>
      </c>
      <c r="E28" s="743">
        <v>0</v>
      </c>
      <c r="F28" s="743"/>
      <c r="G28" s="743"/>
      <c r="H28" s="743">
        <f t="shared" si="5"/>
        <v>0</v>
      </c>
      <c r="I28" s="45">
        <f t="shared" si="6"/>
        <v>0</v>
      </c>
      <c r="J28" s="333" t="str">
        <f t="shared" si="7"/>
        <v/>
      </c>
      <c r="K28" s="745">
        <f t="shared" si="8"/>
        <v>0</v>
      </c>
    </row>
    <row r="29" spans="1:11" ht="12.75" customHeight="1" x14ac:dyDescent="0.2">
      <c r="A29" s="40" t="s">
        <v>1073</v>
      </c>
      <c r="B29" s="170">
        <v>2</v>
      </c>
      <c r="C29" s="758">
        <v>339068.94999999995</v>
      </c>
      <c r="D29" s="755">
        <v>0</v>
      </c>
      <c r="E29" s="743">
        <v>0</v>
      </c>
      <c r="F29" s="743">
        <v>0</v>
      </c>
      <c r="G29" s="743">
        <v>0</v>
      </c>
      <c r="H29" s="743">
        <f t="shared" si="5"/>
        <v>0</v>
      </c>
      <c r="I29" s="45">
        <f t="shared" si="6"/>
        <v>0</v>
      </c>
      <c r="J29" s="333" t="str">
        <f t="shared" si="7"/>
        <v/>
      </c>
      <c r="K29" s="745">
        <f t="shared" si="8"/>
        <v>0</v>
      </c>
    </row>
    <row r="30" spans="1:11" ht="12.75" customHeight="1" x14ac:dyDescent="0.2">
      <c r="A30" s="88" t="s">
        <v>439</v>
      </c>
      <c r="B30" s="170"/>
      <c r="C30" s="519">
        <f t="shared" ref="C30:K30" si="9">SUM(C18:C29)</f>
        <v>14787728.98</v>
      </c>
      <c r="D30" s="478">
        <f t="shared" si="9"/>
        <v>20502002.048750002</v>
      </c>
      <c r="E30" s="433">
        <f t="shared" si="9"/>
        <v>0</v>
      </c>
      <c r="F30" s="433">
        <f>SUM(F18:F29)</f>
        <v>1095714.52</v>
      </c>
      <c r="G30" s="433">
        <f>SUM(G18:G29)</f>
        <v>1095714.52</v>
      </c>
      <c r="H30" s="433">
        <f>SUM(H18:H29)</f>
        <v>1708500.1707291664</v>
      </c>
      <c r="I30" s="433">
        <f t="shared" si="6"/>
        <v>-612785.65072916634</v>
      </c>
      <c r="J30" s="434">
        <f>IF(I30=0,"",I30/H30)</f>
        <v>-0.358668767628883</v>
      </c>
      <c r="K30" s="516">
        <f t="shared" si="9"/>
        <v>20502002.048750002</v>
      </c>
    </row>
    <row r="31" spans="1:11" ht="12.75" customHeight="1" x14ac:dyDescent="0.2">
      <c r="A31" s="574" t="s">
        <v>744</v>
      </c>
      <c r="B31" s="170">
        <v>4</v>
      </c>
      <c r="C31" s="174"/>
      <c r="D31" s="306">
        <f>IF(D30=0,"",(D30/C30)-1)</f>
        <v>0.3864199213062669</v>
      </c>
      <c r="E31" s="306" t="str">
        <f>IF(E30=0,"",(E30/C30)-1)</f>
        <v/>
      </c>
      <c r="F31" s="306"/>
      <c r="G31" s="306"/>
      <c r="H31" s="306"/>
      <c r="I31" s="306"/>
      <c r="J31" s="347"/>
      <c r="K31" s="315">
        <f>IF(K30=0,"",(K30/C30)-1)</f>
        <v>0.3864199213062669</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0</v>
      </c>
      <c r="F34" s="743">
        <v>38736956.700000003</v>
      </c>
      <c r="G34" s="743">
        <v>38736956.700000003</v>
      </c>
      <c r="H34" s="743">
        <f t="shared" ref="H34:H45" si="10">D34/12</f>
        <v>45827841.205833338</v>
      </c>
      <c r="I34" s="45">
        <f t="shared" ref="I34:I46" si="11">G34-H34</f>
        <v>-7090884.5058333352</v>
      </c>
      <c r="J34" s="333">
        <f t="shared" ref="J34:J45" si="12">IF(I34=0,"",I34/H34)</f>
        <v>-0.15472874827302033</v>
      </c>
      <c r="K34" s="745">
        <f t="shared" ref="K34:K45" si="13">D34</f>
        <v>549934094.47000003</v>
      </c>
    </row>
    <row r="35" spans="1:11" ht="12.75" customHeight="1" x14ac:dyDescent="0.2">
      <c r="A35" s="521" t="s">
        <v>1066</v>
      </c>
      <c r="B35" s="170"/>
      <c r="C35" s="758">
        <v>90293160.780000016</v>
      </c>
      <c r="D35" s="755">
        <v>117333467</v>
      </c>
      <c r="E35" s="743">
        <v>0</v>
      </c>
      <c r="F35" s="743">
        <v>7981291.2999999989</v>
      </c>
      <c r="G35" s="743">
        <v>7981291.2999999989</v>
      </c>
      <c r="H35" s="743">
        <f t="shared" si="10"/>
        <v>9777788.916666666</v>
      </c>
      <c r="I35" s="45">
        <f t="shared" si="11"/>
        <v>-1796497.6166666672</v>
      </c>
      <c r="J35" s="333">
        <f t="shared" si="12"/>
        <v>-0.18373250148655376</v>
      </c>
      <c r="K35" s="745">
        <f t="shared" si="13"/>
        <v>117333467</v>
      </c>
    </row>
    <row r="36" spans="1:11" ht="12.75" customHeight="1" x14ac:dyDescent="0.2">
      <c r="A36" s="521" t="s">
        <v>436</v>
      </c>
      <c r="B36" s="170"/>
      <c r="C36" s="758">
        <v>31993546.749999996</v>
      </c>
      <c r="D36" s="755">
        <v>34197048.490000002</v>
      </c>
      <c r="E36" s="743">
        <v>0</v>
      </c>
      <c r="F36" s="743">
        <v>2801643.2</v>
      </c>
      <c r="G36" s="743">
        <v>2801643.2</v>
      </c>
      <c r="H36" s="743">
        <f t="shared" si="10"/>
        <v>2849754.0408333335</v>
      </c>
      <c r="I36" s="45">
        <f t="shared" si="11"/>
        <v>-48110.840833333321</v>
      </c>
      <c r="J36" s="333">
        <f t="shared" si="12"/>
        <v>-1.6882453764067516E-2</v>
      </c>
      <c r="K36" s="745">
        <f t="shared" si="13"/>
        <v>34197048.490000002</v>
      </c>
    </row>
    <row r="37" spans="1:11" ht="12.75" customHeight="1" x14ac:dyDescent="0.2">
      <c r="A37" s="521" t="s">
        <v>558</v>
      </c>
      <c r="B37" s="170"/>
      <c r="C37" s="758">
        <v>86359385.25</v>
      </c>
      <c r="D37" s="755">
        <v>41380000</v>
      </c>
      <c r="E37" s="743">
        <v>0</v>
      </c>
      <c r="F37" s="743">
        <v>7571958.290000001</v>
      </c>
      <c r="G37" s="743">
        <v>7571958.290000001</v>
      </c>
      <c r="H37" s="743">
        <f t="shared" si="10"/>
        <v>3448333.3333333335</v>
      </c>
      <c r="I37" s="45">
        <f t="shared" si="11"/>
        <v>4123624.9566666675</v>
      </c>
      <c r="J37" s="333">
        <f t="shared" si="12"/>
        <v>1.1958313069115516</v>
      </c>
      <c r="K37" s="745">
        <f t="shared" si="13"/>
        <v>41380000</v>
      </c>
    </row>
    <row r="38" spans="1:11" ht="12.75" customHeight="1" x14ac:dyDescent="0.2">
      <c r="A38" s="521" t="s">
        <v>438</v>
      </c>
      <c r="B38" s="170"/>
      <c r="C38" s="758">
        <v>0</v>
      </c>
      <c r="D38" s="755">
        <v>0</v>
      </c>
      <c r="E38" s="743">
        <v>0</v>
      </c>
      <c r="F38" s="743"/>
      <c r="G38" s="743"/>
      <c r="H38" s="743">
        <f t="shared" si="10"/>
        <v>0</v>
      </c>
      <c r="I38" s="45">
        <f t="shared" si="11"/>
        <v>0</v>
      </c>
      <c r="J38" s="333" t="str">
        <f t="shared" si="12"/>
        <v/>
      </c>
      <c r="K38" s="745">
        <f t="shared" si="13"/>
        <v>0</v>
      </c>
    </row>
    <row r="39" spans="1:11" ht="12.75" customHeight="1" x14ac:dyDescent="0.2">
      <c r="A39" s="521" t="s">
        <v>1067</v>
      </c>
      <c r="B39" s="170"/>
      <c r="C39" s="758">
        <v>48985477.559999995</v>
      </c>
      <c r="D39" s="755">
        <v>63952883.549999997</v>
      </c>
      <c r="E39" s="743">
        <v>0</v>
      </c>
      <c r="F39" s="743">
        <v>4224398.79</v>
      </c>
      <c r="G39" s="743">
        <v>4224398.79</v>
      </c>
      <c r="H39" s="743">
        <f t="shared" si="10"/>
        <v>5329406.9624999994</v>
      </c>
      <c r="I39" s="45">
        <f>G39-H39</f>
        <v>-1105008.1724999994</v>
      </c>
      <c r="J39" s="333">
        <f>IF(I39=0,"",I39/H39)</f>
        <v>-0.2073416761518331</v>
      </c>
      <c r="K39" s="745">
        <f t="shared" si="13"/>
        <v>63952883.549999997</v>
      </c>
    </row>
    <row r="40" spans="1:11" ht="12.75" customHeight="1" x14ac:dyDescent="0.2">
      <c r="A40" s="521" t="s">
        <v>1068</v>
      </c>
      <c r="B40" s="170"/>
      <c r="C40" s="758">
        <v>229200.22999999995</v>
      </c>
      <c r="D40" s="755">
        <v>299900</v>
      </c>
      <c r="E40" s="743">
        <v>0</v>
      </c>
      <c r="F40" s="743">
        <v>11889.34</v>
      </c>
      <c r="G40" s="743">
        <v>11889.34</v>
      </c>
      <c r="H40" s="743">
        <f t="shared" si="10"/>
        <v>24991.666666666668</v>
      </c>
      <c r="I40" s="45">
        <f>G40-H40</f>
        <v>-13102.326666666668</v>
      </c>
      <c r="J40" s="333">
        <f>IF(I40=0,"",I40/H40)</f>
        <v>-0.5242678226075359</v>
      </c>
      <c r="K40" s="745">
        <f t="shared" si="13"/>
        <v>299900</v>
      </c>
    </row>
    <row r="41" spans="1:11" ht="12.75" customHeight="1" x14ac:dyDescent="0.2">
      <c r="A41" s="521" t="s">
        <v>1069</v>
      </c>
      <c r="B41" s="170"/>
      <c r="C41" s="758">
        <v>6759917.4700000007</v>
      </c>
      <c r="D41" s="755">
        <v>10366500</v>
      </c>
      <c r="E41" s="743">
        <v>0</v>
      </c>
      <c r="F41" s="743">
        <v>622612.26</v>
      </c>
      <c r="G41" s="743">
        <v>622612.26</v>
      </c>
      <c r="H41" s="743">
        <f t="shared" si="10"/>
        <v>863875</v>
      </c>
      <c r="I41" s="45">
        <f>G41-H41</f>
        <v>-241262.74</v>
      </c>
      <c r="J41" s="333">
        <f>IF(I41=0,"",I41/H41)</f>
        <v>-0.27927968745478221</v>
      </c>
      <c r="K41" s="745">
        <f t="shared" si="13"/>
        <v>10366500</v>
      </c>
    </row>
    <row r="42" spans="1:11" ht="12.75" customHeight="1" x14ac:dyDescent="0.2">
      <c r="A42" s="521" t="s">
        <v>1070</v>
      </c>
      <c r="B42" s="170"/>
      <c r="C42" s="758">
        <v>28163747.189999998</v>
      </c>
      <c r="D42" s="755">
        <v>61248504.441250004</v>
      </c>
      <c r="E42" s="743">
        <v>0</v>
      </c>
      <c r="F42" s="743">
        <v>1693279.4000000001</v>
      </c>
      <c r="G42" s="743">
        <v>1693279.4000000001</v>
      </c>
      <c r="H42" s="743">
        <f t="shared" si="10"/>
        <v>5104042.0367708337</v>
      </c>
      <c r="I42" s="45">
        <f t="shared" si="11"/>
        <v>-3410762.6367708333</v>
      </c>
      <c r="J42" s="333">
        <f t="shared" si="12"/>
        <v>-0.66824736399089602</v>
      </c>
      <c r="K42" s="745">
        <f t="shared" si="13"/>
        <v>61248504.441250004</v>
      </c>
    </row>
    <row r="43" spans="1:11" ht="12.75" customHeight="1" x14ac:dyDescent="0.2">
      <c r="A43" s="521" t="s">
        <v>1071</v>
      </c>
      <c r="B43" s="170"/>
      <c r="C43" s="758">
        <v>15999898.889999999</v>
      </c>
      <c r="D43" s="755">
        <v>15015400</v>
      </c>
      <c r="E43" s="743">
        <v>0</v>
      </c>
      <c r="F43" s="743">
        <v>1780479.52</v>
      </c>
      <c r="G43" s="743">
        <v>1780479.52</v>
      </c>
      <c r="H43" s="743">
        <f t="shared" si="10"/>
        <v>1251283.3333333333</v>
      </c>
      <c r="I43" s="45">
        <f t="shared" si="11"/>
        <v>529196.18666666676</v>
      </c>
      <c r="J43" s="333">
        <f t="shared" si="12"/>
        <v>0.42292274864472484</v>
      </c>
      <c r="K43" s="745">
        <f t="shared" si="13"/>
        <v>15015400</v>
      </c>
    </row>
    <row r="44" spans="1:11" ht="12.75" customHeight="1" x14ac:dyDescent="0.2">
      <c r="A44" s="521" t="s">
        <v>1072</v>
      </c>
      <c r="B44" s="170"/>
      <c r="C44" s="758">
        <v>1305354.3499999999</v>
      </c>
      <c r="D44" s="755">
        <v>6963200</v>
      </c>
      <c r="E44" s="743">
        <v>0</v>
      </c>
      <c r="F44" s="743">
        <v>42803.92</v>
      </c>
      <c r="G44" s="743">
        <v>42803.92</v>
      </c>
      <c r="H44" s="743">
        <f t="shared" si="10"/>
        <v>580266.66666666663</v>
      </c>
      <c r="I44" s="45">
        <f t="shared" si="11"/>
        <v>-537462.74666666659</v>
      </c>
      <c r="J44" s="333">
        <f t="shared" si="12"/>
        <v>-0.92623405330882347</v>
      </c>
      <c r="K44" s="745">
        <f t="shared" si="13"/>
        <v>6963200</v>
      </c>
    </row>
    <row r="45" spans="1:11" ht="12.75" customHeight="1" x14ac:dyDescent="0.2">
      <c r="A45" s="521" t="s">
        <v>1073</v>
      </c>
      <c r="B45" s="170">
        <v>2</v>
      </c>
      <c r="C45" s="758">
        <v>2942756.86</v>
      </c>
      <c r="D45" s="755">
        <v>0</v>
      </c>
      <c r="E45" s="743">
        <v>0</v>
      </c>
      <c r="F45" s="743">
        <v>174362.49</v>
      </c>
      <c r="G45" s="743">
        <v>174362.49</v>
      </c>
      <c r="H45" s="743">
        <f t="shared" si="10"/>
        <v>0</v>
      </c>
      <c r="I45" s="45">
        <f t="shared" si="11"/>
        <v>174362.49</v>
      </c>
      <c r="J45" s="333" t="e">
        <f t="shared" si="12"/>
        <v>#DIV/0!</v>
      </c>
      <c r="K45" s="745">
        <f t="shared" si="13"/>
        <v>0</v>
      </c>
    </row>
    <row r="46" spans="1:11" ht="12.75" customHeight="1" x14ac:dyDescent="0.2">
      <c r="A46" s="88" t="s">
        <v>441</v>
      </c>
      <c r="B46" s="170"/>
      <c r="C46" s="519">
        <f t="shared" ref="C46:K46" si="14">SUM(C34:C45)</f>
        <v>748964109.89999998</v>
      </c>
      <c r="D46" s="478">
        <f t="shared" si="14"/>
        <v>900690997.95124996</v>
      </c>
      <c r="E46" s="433">
        <f t="shared" si="14"/>
        <v>0</v>
      </c>
      <c r="F46" s="433">
        <f>SUM(F34:F45)</f>
        <v>65641675.210000008</v>
      </c>
      <c r="G46" s="433">
        <f>SUM(G34:G45)</f>
        <v>65641675.210000008</v>
      </c>
      <c r="H46" s="433">
        <f>SUM(H34:H45)</f>
        <v>75057583.162604183</v>
      </c>
      <c r="I46" s="433">
        <f t="shared" si="11"/>
        <v>-9415907.9526041746</v>
      </c>
      <c r="J46" s="434">
        <f>IF(I46=0,"",I46/H46)</f>
        <v>-0.12544912260504876</v>
      </c>
      <c r="K46" s="516">
        <f t="shared" si="14"/>
        <v>900690997.95124996</v>
      </c>
    </row>
    <row r="47" spans="1:11" ht="12.75" customHeight="1" x14ac:dyDescent="0.2">
      <c r="A47" s="574" t="s">
        <v>744</v>
      </c>
      <c r="B47" s="170">
        <v>4</v>
      </c>
      <c r="C47" s="402"/>
      <c r="D47" s="306">
        <f>IF(D46=0,"",(D46/C46)-1)</f>
        <v>0.20258232142993893</v>
      </c>
      <c r="E47" s="306" t="str">
        <f>IF(E46=0,"",(E46/C46)-1)</f>
        <v/>
      </c>
      <c r="F47" s="306"/>
      <c r="G47" s="306"/>
      <c r="H47" s="306"/>
      <c r="I47" s="404"/>
      <c r="J47" s="406"/>
      <c r="K47" s="315">
        <f>IF(K46=0,"",(K46/C46)-1)</f>
        <v>0.20258232142993893</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5">D14+D30+D46</f>
        <v>961710424</v>
      </c>
      <c r="E49" s="74">
        <f t="shared" si="15"/>
        <v>0</v>
      </c>
      <c r="F49" s="74">
        <f t="shared" si="15"/>
        <v>69957600.550000012</v>
      </c>
      <c r="G49" s="74">
        <f t="shared" si="15"/>
        <v>69957600.550000012</v>
      </c>
      <c r="H49" s="74">
        <f t="shared" si="15"/>
        <v>80142535.333333343</v>
      </c>
      <c r="I49" s="74">
        <f>G49-H49</f>
        <v>-10184934.783333331</v>
      </c>
      <c r="J49" s="334">
        <f>IF(I49=0,"",I49/H49)</f>
        <v>-0.12708525804644907</v>
      </c>
      <c r="K49" s="146">
        <f t="shared" si="15"/>
        <v>961710424</v>
      </c>
    </row>
    <row r="50" spans="1:11" ht="5.0999999999999996" customHeight="1" x14ac:dyDescent="0.2">
      <c r="A50" s="43"/>
      <c r="B50" s="170"/>
      <c r="C50" s="174"/>
      <c r="D50" s="306">
        <f>IF(D49=0,"",(D49/C49)-1)</f>
        <v>0.19897314176741676</v>
      </c>
      <c r="E50" s="306" t="str">
        <f>IF(E49=0,"",(E49/C49)-1)</f>
        <v/>
      </c>
      <c r="F50" s="306"/>
      <c r="G50" s="306"/>
      <c r="H50" s="306"/>
      <c r="I50" s="306"/>
      <c r="J50" s="347"/>
      <c r="K50" s="315">
        <f>IF(K49=0,"",(K49/C49)-1)</f>
        <v>0.19897314176741676</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6">E54</f>
        <v>0</v>
      </c>
      <c r="I54" s="45">
        <f t="shared" ref="I54:I67" si="17">G54-H54</f>
        <v>0</v>
      </c>
      <c r="J54" s="333" t="str">
        <f t="shared" ref="J54:J66" si="18">IF(I54=0,"",I54/H54)</f>
        <v/>
      </c>
      <c r="K54" s="745">
        <f>D54</f>
        <v>0</v>
      </c>
    </row>
    <row r="55" spans="1:11" ht="12.75" customHeight="1" x14ac:dyDescent="0.2">
      <c r="A55" s="40" t="s">
        <v>1066</v>
      </c>
      <c r="B55" s="170"/>
      <c r="C55" s="758">
        <v>328487.86000000004</v>
      </c>
      <c r="D55" s="755">
        <v>0</v>
      </c>
      <c r="E55" s="743">
        <v>0</v>
      </c>
      <c r="F55" s="743">
        <v>0</v>
      </c>
      <c r="G55" s="743">
        <v>0</v>
      </c>
      <c r="H55" s="743">
        <v>0</v>
      </c>
      <c r="I55" s="45">
        <f t="shared" si="17"/>
        <v>0</v>
      </c>
      <c r="J55" s="333" t="str">
        <f t="shared" si="18"/>
        <v/>
      </c>
      <c r="K55" s="745">
        <f t="shared" ref="K55:K66" si="19">D55</f>
        <v>0</v>
      </c>
    </row>
    <row r="56" spans="1:11" ht="12.75" customHeight="1" x14ac:dyDescent="0.2">
      <c r="A56" s="40" t="s">
        <v>436</v>
      </c>
      <c r="B56" s="170"/>
      <c r="C56" s="758">
        <v>0</v>
      </c>
      <c r="D56" s="755">
        <v>0</v>
      </c>
      <c r="E56" s="743">
        <v>0</v>
      </c>
      <c r="F56" s="743">
        <v>0</v>
      </c>
      <c r="G56" s="743">
        <v>0</v>
      </c>
      <c r="H56" s="973">
        <f t="shared" si="16"/>
        <v>0</v>
      </c>
      <c r="I56" s="45">
        <f t="shared" si="17"/>
        <v>0</v>
      </c>
      <c r="J56" s="333" t="str">
        <f t="shared" si="18"/>
        <v/>
      </c>
      <c r="K56" s="745">
        <f t="shared" si="19"/>
        <v>0</v>
      </c>
    </row>
    <row r="57" spans="1:11" ht="12.75" customHeight="1" x14ac:dyDescent="0.2">
      <c r="A57" s="40" t="s">
        <v>558</v>
      </c>
      <c r="B57" s="170"/>
      <c r="C57" s="758">
        <v>0</v>
      </c>
      <c r="D57" s="755">
        <v>0</v>
      </c>
      <c r="E57" s="743">
        <v>0</v>
      </c>
      <c r="F57" s="743">
        <v>0</v>
      </c>
      <c r="G57" s="743">
        <v>0</v>
      </c>
      <c r="H57" s="973">
        <f t="shared" si="16"/>
        <v>0</v>
      </c>
      <c r="I57" s="45">
        <f>G57-H57</f>
        <v>0</v>
      </c>
      <c r="J57" s="333" t="str">
        <f>IF(I57=0,"",I57/H57)</f>
        <v/>
      </c>
      <c r="K57" s="745">
        <f t="shared" si="19"/>
        <v>0</v>
      </c>
    </row>
    <row r="58" spans="1:11" ht="12.75" customHeight="1" x14ac:dyDescent="0.2">
      <c r="A58" s="40" t="s">
        <v>438</v>
      </c>
      <c r="B58" s="170"/>
      <c r="C58" s="758">
        <v>0</v>
      </c>
      <c r="D58" s="755">
        <v>0</v>
      </c>
      <c r="E58" s="743">
        <v>0</v>
      </c>
      <c r="F58" s="743">
        <v>0</v>
      </c>
      <c r="G58" s="743">
        <v>0</v>
      </c>
      <c r="H58" s="973">
        <f t="shared" si="16"/>
        <v>0</v>
      </c>
      <c r="I58" s="45">
        <f>G58-H58</f>
        <v>0</v>
      </c>
      <c r="J58" s="333" t="str">
        <f>IF(I58=0,"",I58/H58)</f>
        <v/>
      </c>
      <c r="K58" s="745">
        <f t="shared" si="19"/>
        <v>0</v>
      </c>
    </row>
    <row r="59" spans="1:11" ht="12.75" customHeight="1" x14ac:dyDescent="0.2">
      <c r="A59" s="40" t="s">
        <v>1067</v>
      </c>
      <c r="B59" s="170"/>
      <c r="C59" s="758">
        <v>0</v>
      </c>
      <c r="D59" s="755">
        <v>0</v>
      </c>
      <c r="E59" s="743">
        <v>0</v>
      </c>
      <c r="F59" s="743">
        <v>0</v>
      </c>
      <c r="G59" s="743">
        <v>0</v>
      </c>
      <c r="H59" s="973">
        <f t="shared" si="16"/>
        <v>0</v>
      </c>
      <c r="I59" s="45">
        <f>G59-H59</f>
        <v>0</v>
      </c>
      <c r="J59" s="333" t="str">
        <f>IF(I59=0,"",I59/H59)</f>
        <v/>
      </c>
      <c r="K59" s="745">
        <f t="shared" si="19"/>
        <v>0</v>
      </c>
    </row>
    <row r="60" spans="1:11" ht="12.75" customHeight="1" x14ac:dyDescent="0.2">
      <c r="A60" s="40" t="s">
        <v>1068</v>
      </c>
      <c r="B60" s="170"/>
      <c r="C60" s="758">
        <v>0</v>
      </c>
      <c r="D60" s="755">
        <v>0</v>
      </c>
      <c r="E60" s="743">
        <v>0</v>
      </c>
      <c r="F60" s="743">
        <v>0</v>
      </c>
      <c r="G60" s="743">
        <v>0</v>
      </c>
      <c r="H60" s="973">
        <f t="shared" si="16"/>
        <v>0</v>
      </c>
      <c r="I60" s="45">
        <f>G60-H60</f>
        <v>0</v>
      </c>
      <c r="J60" s="333" t="str">
        <f>IF(I60=0,"",I60/H60)</f>
        <v/>
      </c>
      <c r="K60" s="745">
        <f t="shared" si="19"/>
        <v>0</v>
      </c>
    </row>
    <row r="61" spans="1:11" ht="12.75" customHeight="1" x14ac:dyDescent="0.2">
      <c r="A61" s="40" t="s">
        <v>1069</v>
      </c>
      <c r="B61" s="170"/>
      <c r="C61" s="758">
        <v>0</v>
      </c>
      <c r="D61" s="755">
        <v>0</v>
      </c>
      <c r="E61" s="743">
        <v>0</v>
      </c>
      <c r="F61" s="743">
        <v>0</v>
      </c>
      <c r="G61" s="743">
        <v>0</v>
      </c>
      <c r="H61" s="973">
        <f t="shared" si="16"/>
        <v>0</v>
      </c>
      <c r="I61" s="45">
        <f>G61-H61</f>
        <v>0</v>
      </c>
      <c r="J61" s="333" t="str">
        <f>IF(I61=0,"",I61/H61)</f>
        <v/>
      </c>
      <c r="K61" s="745">
        <f t="shared" si="19"/>
        <v>0</v>
      </c>
    </row>
    <row r="62" spans="1:11" ht="12.75" customHeight="1" x14ac:dyDescent="0.2">
      <c r="A62" s="40" t="s">
        <v>1070</v>
      </c>
      <c r="B62" s="170"/>
      <c r="C62" s="758">
        <v>0</v>
      </c>
      <c r="D62" s="755">
        <v>0</v>
      </c>
      <c r="E62" s="743">
        <v>0</v>
      </c>
      <c r="F62" s="743">
        <v>0</v>
      </c>
      <c r="G62" s="743">
        <v>0</v>
      </c>
      <c r="H62" s="973">
        <f t="shared" si="16"/>
        <v>0</v>
      </c>
      <c r="I62" s="45">
        <f t="shared" si="17"/>
        <v>0</v>
      </c>
      <c r="J62" s="333" t="str">
        <f t="shared" si="18"/>
        <v/>
      </c>
      <c r="K62" s="745">
        <f t="shared" si="19"/>
        <v>0</v>
      </c>
    </row>
    <row r="63" spans="1:11" ht="12.75" customHeight="1" x14ac:dyDescent="0.2">
      <c r="A63" s="40" t="s">
        <v>576</v>
      </c>
      <c r="B63" s="170"/>
      <c r="C63" s="758">
        <v>0</v>
      </c>
      <c r="D63" s="755">
        <v>0</v>
      </c>
      <c r="E63" s="743">
        <v>0</v>
      </c>
      <c r="F63" s="743">
        <v>0</v>
      </c>
      <c r="G63" s="743">
        <v>0</v>
      </c>
      <c r="H63" s="973">
        <f t="shared" si="16"/>
        <v>0</v>
      </c>
      <c r="I63" s="45">
        <f>G63-H63</f>
        <v>0</v>
      </c>
      <c r="J63" s="333" t="str">
        <f>IF(I63=0,"",I63/H63)</f>
        <v/>
      </c>
      <c r="K63" s="745">
        <f t="shared" si="19"/>
        <v>0</v>
      </c>
    </row>
    <row r="64" spans="1:11" ht="12.75" customHeight="1" x14ac:dyDescent="0.2">
      <c r="A64" s="40" t="s">
        <v>1071</v>
      </c>
      <c r="B64" s="170"/>
      <c r="C64" s="758">
        <v>0</v>
      </c>
      <c r="D64" s="755">
        <v>0</v>
      </c>
      <c r="E64" s="743">
        <v>0</v>
      </c>
      <c r="F64" s="743">
        <v>0</v>
      </c>
      <c r="G64" s="743">
        <v>0</v>
      </c>
      <c r="H64" s="973">
        <f t="shared" si="16"/>
        <v>0</v>
      </c>
      <c r="I64" s="45">
        <f t="shared" si="17"/>
        <v>0</v>
      </c>
      <c r="J64" s="333" t="str">
        <f t="shared" si="18"/>
        <v/>
      </c>
      <c r="K64" s="745">
        <f t="shared" si="19"/>
        <v>0</v>
      </c>
    </row>
    <row r="65" spans="1:11" ht="12.75" customHeight="1" x14ac:dyDescent="0.2">
      <c r="A65" s="40" t="s">
        <v>1072</v>
      </c>
      <c r="B65" s="170"/>
      <c r="C65" s="758">
        <v>0</v>
      </c>
      <c r="D65" s="755">
        <v>0</v>
      </c>
      <c r="E65" s="743">
        <v>0</v>
      </c>
      <c r="F65" s="743">
        <v>0</v>
      </c>
      <c r="G65" s="743">
        <v>0</v>
      </c>
      <c r="H65" s="973">
        <f t="shared" si="16"/>
        <v>0</v>
      </c>
      <c r="I65" s="45">
        <f t="shared" si="17"/>
        <v>0</v>
      </c>
      <c r="J65" s="333" t="str">
        <f t="shared" si="18"/>
        <v/>
      </c>
      <c r="K65" s="745">
        <f t="shared" si="19"/>
        <v>0</v>
      </c>
    </row>
    <row r="66" spans="1:11" ht="12.75" customHeight="1" x14ac:dyDescent="0.2">
      <c r="A66" s="40" t="s">
        <v>1073</v>
      </c>
      <c r="B66" s="170"/>
      <c r="C66" s="758">
        <v>0</v>
      </c>
      <c r="D66" s="755">
        <v>0</v>
      </c>
      <c r="E66" s="743">
        <v>0</v>
      </c>
      <c r="F66" s="743">
        <v>0</v>
      </c>
      <c r="G66" s="743">
        <v>0</v>
      </c>
      <c r="H66" s="973">
        <f t="shared" si="16"/>
        <v>0</v>
      </c>
      <c r="I66" s="45">
        <f t="shared" si="17"/>
        <v>0</v>
      </c>
      <c r="J66" s="333" t="str">
        <f t="shared" si="18"/>
        <v/>
      </c>
      <c r="K66" s="745">
        <f t="shared" si="19"/>
        <v>0</v>
      </c>
    </row>
    <row r="67" spans="1:11" ht="12.75" customHeight="1" x14ac:dyDescent="0.2">
      <c r="A67" s="88" t="s">
        <v>792</v>
      </c>
      <c r="B67" s="170">
        <v>2</v>
      </c>
      <c r="C67" s="519">
        <f t="shared" ref="C67:K67" si="20">SUM(C54:C66)</f>
        <v>2121636.66</v>
      </c>
      <c r="D67" s="478">
        <f t="shared" si="20"/>
        <v>0</v>
      </c>
      <c r="E67" s="433">
        <f t="shared" si="20"/>
        <v>0</v>
      </c>
      <c r="F67" s="433">
        <f>SUM(F54:F66)</f>
        <v>0</v>
      </c>
      <c r="G67" s="433">
        <f>SUM(G54:G66)</f>
        <v>0</v>
      </c>
      <c r="H67" s="433">
        <f>SUM(H54:H66)</f>
        <v>0</v>
      </c>
      <c r="I67" s="433">
        <f t="shared" si="17"/>
        <v>0</v>
      </c>
      <c r="J67" s="434" t="str">
        <f>IF(I67=0,"",I67/H67)</f>
        <v/>
      </c>
      <c r="K67" s="516">
        <f t="shared" si="20"/>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743">
        <v>0</v>
      </c>
      <c r="I71" s="45">
        <f t="shared" ref="I71:I83" si="21">G71-H71</f>
        <v>0</v>
      </c>
      <c r="J71" s="333" t="str">
        <f t="shared" ref="J71:J82" si="22">IF(I71=0,"",I71/H71)</f>
        <v/>
      </c>
      <c r="K71" s="745">
        <f>D71</f>
        <v>0</v>
      </c>
    </row>
    <row r="72" spans="1:11" ht="12.75" customHeight="1" x14ac:dyDescent="0.2">
      <c r="A72" s="521" t="s">
        <v>1066</v>
      </c>
      <c r="B72" s="170"/>
      <c r="C72" s="758">
        <v>0</v>
      </c>
      <c r="D72" s="755">
        <v>0</v>
      </c>
      <c r="E72" s="743">
        <v>0</v>
      </c>
      <c r="F72" s="743">
        <v>0</v>
      </c>
      <c r="G72" s="743">
        <v>0</v>
      </c>
      <c r="H72" s="743">
        <f t="shared" ref="H72:H77" si="23">E72/12*11</f>
        <v>0</v>
      </c>
      <c r="I72" s="45">
        <f t="shared" si="21"/>
        <v>0</v>
      </c>
      <c r="J72" s="333" t="str">
        <f t="shared" si="22"/>
        <v/>
      </c>
      <c r="K72" s="745">
        <f t="shared" ref="K72:K82" si="24">D72</f>
        <v>0</v>
      </c>
    </row>
    <row r="73" spans="1:11" ht="12.75" customHeight="1" x14ac:dyDescent="0.2">
      <c r="A73" s="521" t="s">
        <v>436</v>
      </c>
      <c r="B73" s="170"/>
      <c r="C73" s="758">
        <v>0</v>
      </c>
      <c r="D73" s="755">
        <v>0</v>
      </c>
      <c r="E73" s="743">
        <v>0</v>
      </c>
      <c r="F73" s="743">
        <v>0</v>
      </c>
      <c r="G73" s="743">
        <v>0</v>
      </c>
      <c r="H73" s="973">
        <f t="shared" si="23"/>
        <v>0</v>
      </c>
      <c r="I73" s="45">
        <f t="shared" si="21"/>
        <v>0</v>
      </c>
      <c r="J73" s="333" t="str">
        <f t="shared" si="22"/>
        <v/>
      </c>
      <c r="K73" s="745">
        <f t="shared" si="24"/>
        <v>0</v>
      </c>
    </row>
    <row r="74" spans="1:11" ht="12.75" customHeight="1" x14ac:dyDescent="0.2">
      <c r="A74" s="521" t="s">
        <v>558</v>
      </c>
      <c r="B74" s="170"/>
      <c r="C74" s="758">
        <v>0</v>
      </c>
      <c r="D74" s="755">
        <v>0</v>
      </c>
      <c r="E74" s="743">
        <v>0</v>
      </c>
      <c r="F74" s="743">
        <v>0</v>
      </c>
      <c r="G74" s="743">
        <v>0</v>
      </c>
      <c r="H74" s="973">
        <f t="shared" si="23"/>
        <v>0</v>
      </c>
      <c r="I74" s="45">
        <f t="shared" si="21"/>
        <v>0</v>
      </c>
      <c r="J74" s="333" t="str">
        <f t="shared" si="22"/>
        <v/>
      </c>
      <c r="K74" s="745">
        <f t="shared" si="24"/>
        <v>0</v>
      </c>
    </row>
    <row r="75" spans="1:11" ht="12.75" customHeight="1" x14ac:dyDescent="0.2">
      <c r="A75" s="521" t="s">
        <v>438</v>
      </c>
      <c r="B75" s="170"/>
      <c r="C75" s="758">
        <v>0</v>
      </c>
      <c r="D75" s="755">
        <v>0</v>
      </c>
      <c r="E75" s="743">
        <v>0</v>
      </c>
      <c r="F75" s="743">
        <v>0</v>
      </c>
      <c r="G75" s="743">
        <v>0</v>
      </c>
      <c r="H75" s="973">
        <f t="shared" si="23"/>
        <v>0</v>
      </c>
      <c r="I75" s="45">
        <f>G75-H75</f>
        <v>0</v>
      </c>
      <c r="J75" s="333" t="str">
        <f>IF(I75=0,"",I75/H75)</f>
        <v/>
      </c>
      <c r="K75" s="745">
        <f t="shared" si="24"/>
        <v>0</v>
      </c>
    </row>
    <row r="76" spans="1:11" ht="12.75" customHeight="1" x14ac:dyDescent="0.2">
      <c r="A76" s="521" t="s">
        <v>1067</v>
      </c>
      <c r="B76" s="170"/>
      <c r="C76" s="758">
        <v>0</v>
      </c>
      <c r="D76" s="755">
        <v>0</v>
      </c>
      <c r="E76" s="743">
        <v>0</v>
      </c>
      <c r="F76" s="743">
        <v>0</v>
      </c>
      <c r="G76" s="743">
        <v>0</v>
      </c>
      <c r="H76" s="973">
        <f t="shared" si="23"/>
        <v>0</v>
      </c>
      <c r="I76" s="45">
        <f>G76-H76</f>
        <v>0</v>
      </c>
      <c r="J76" s="333" t="str">
        <f>IF(I76=0,"",I76/H76)</f>
        <v/>
      </c>
      <c r="K76" s="745">
        <f t="shared" si="24"/>
        <v>0</v>
      </c>
    </row>
    <row r="77" spans="1:11" ht="12.75" customHeight="1" x14ac:dyDescent="0.2">
      <c r="A77" s="521" t="s">
        <v>1068</v>
      </c>
      <c r="B77" s="170"/>
      <c r="C77" s="758">
        <v>0</v>
      </c>
      <c r="D77" s="755">
        <v>0</v>
      </c>
      <c r="E77" s="743">
        <v>0</v>
      </c>
      <c r="F77" s="743">
        <v>0</v>
      </c>
      <c r="G77" s="743">
        <v>0</v>
      </c>
      <c r="H77" s="973">
        <f t="shared" si="23"/>
        <v>0</v>
      </c>
      <c r="I77" s="45">
        <f>G77-H77</f>
        <v>0</v>
      </c>
      <c r="J77" s="333" t="str">
        <f>IF(I77=0,"",I77/H77)</f>
        <v/>
      </c>
      <c r="K77" s="745">
        <f t="shared" si="24"/>
        <v>0</v>
      </c>
    </row>
    <row r="78" spans="1:11" ht="12.75" customHeight="1" x14ac:dyDescent="0.2">
      <c r="A78" s="521" t="s">
        <v>1069</v>
      </c>
      <c r="B78" s="170"/>
      <c r="C78" s="758">
        <v>0</v>
      </c>
      <c r="D78" s="755">
        <v>0</v>
      </c>
      <c r="E78" s="743">
        <v>0</v>
      </c>
      <c r="F78" s="743">
        <v>0</v>
      </c>
      <c r="G78" s="743">
        <v>0</v>
      </c>
      <c r="H78" s="973">
        <f t="shared" ref="H78:H82" si="25">E78/12*10</f>
        <v>0</v>
      </c>
      <c r="I78" s="45">
        <f>G78-H78</f>
        <v>0</v>
      </c>
      <c r="J78" s="333" t="str">
        <f>IF(I78=0,"",I78/H78)</f>
        <v/>
      </c>
      <c r="K78" s="745">
        <f t="shared" si="24"/>
        <v>0</v>
      </c>
    </row>
    <row r="79" spans="1:11" ht="12.75" customHeight="1" x14ac:dyDescent="0.2">
      <c r="A79" s="521" t="s">
        <v>1070</v>
      </c>
      <c r="B79" s="170"/>
      <c r="C79" s="758">
        <v>0</v>
      </c>
      <c r="D79" s="755">
        <v>0</v>
      </c>
      <c r="E79" s="743">
        <v>0</v>
      </c>
      <c r="F79" s="743">
        <v>0</v>
      </c>
      <c r="G79" s="743">
        <v>0</v>
      </c>
      <c r="H79" s="973">
        <f t="shared" si="25"/>
        <v>0</v>
      </c>
      <c r="I79" s="45">
        <f t="shared" si="21"/>
        <v>0</v>
      </c>
      <c r="J79" s="333" t="str">
        <f t="shared" si="22"/>
        <v/>
      </c>
      <c r="K79" s="745">
        <f t="shared" si="24"/>
        <v>0</v>
      </c>
    </row>
    <row r="80" spans="1:11" ht="12.75" customHeight="1" x14ac:dyDescent="0.2">
      <c r="A80" s="521" t="s">
        <v>1071</v>
      </c>
      <c r="B80" s="170"/>
      <c r="C80" s="758">
        <v>0</v>
      </c>
      <c r="D80" s="755">
        <v>0</v>
      </c>
      <c r="E80" s="743">
        <v>0</v>
      </c>
      <c r="F80" s="743">
        <v>0</v>
      </c>
      <c r="G80" s="743">
        <v>0</v>
      </c>
      <c r="H80" s="973">
        <f t="shared" si="25"/>
        <v>0</v>
      </c>
      <c r="I80" s="45">
        <f t="shared" si="21"/>
        <v>0</v>
      </c>
      <c r="J80" s="333" t="str">
        <f t="shared" si="22"/>
        <v/>
      </c>
      <c r="K80" s="745">
        <f t="shared" si="24"/>
        <v>0</v>
      </c>
    </row>
    <row r="81" spans="1:11" ht="12.75" customHeight="1" x14ac:dyDescent="0.2">
      <c r="A81" s="521" t="s">
        <v>1072</v>
      </c>
      <c r="B81" s="170"/>
      <c r="C81" s="758">
        <v>0</v>
      </c>
      <c r="D81" s="755">
        <v>0</v>
      </c>
      <c r="E81" s="743">
        <v>0</v>
      </c>
      <c r="F81" s="743">
        <v>0</v>
      </c>
      <c r="G81" s="743">
        <v>0</v>
      </c>
      <c r="H81" s="973">
        <f t="shared" si="25"/>
        <v>0</v>
      </c>
      <c r="I81" s="45">
        <f t="shared" si="21"/>
        <v>0</v>
      </c>
      <c r="J81" s="333" t="str">
        <f t="shared" si="22"/>
        <v/>
      </c>
      <c r="K81" s="745">
        <f t="shared" si="24"/>
        <v>0</v>
      </c>
    </row>
    <row r="82" spans="1:11" ht="12.75" customHeight="1" x14ac:dyDescent="0.2">
      <c r="A82" s="521" t="s">
        <v>1073</v>
      </c>
      <c r="B82" s="170">
        <v>2</v>
      </c>
      <c r="C82" s="758">
        <v>0</v>
      </c>
      <c r="D82" s="755">
        <v>0</v>
      </c>
      <c r="E82" s="743">
        <v>0</v>
      </c>
      <c r="F82" s="743"/>
      <c r="G82" s="743"/>
      <c r="H82" s="973">
        <f t="shared" si="25"/>
        <v>0</v>
      </c>
      <c r="I82" s="45">
        <f t="shared" si="21"/>
        <v>0</v>
      </c>
      <c r="J82" s="333" t="str">
        <f t="shared" si="22"/>
        <v/>
      </c>
      <c r="K82" s="745">
        <f t="shared" si="24"/>
        <v>0</v>
      </c>
    </row>
    <row r="83" spans="1:11" ht="12.75" customHeight="1" x14ac:dyDescent="0.2">
      <c r="A83" s="88" t="s">
        <v>853</v>
      </c>
      <c r="B83" s="170"/>
      <c r="C83" s="519">
        <f t="shared" ref="C83:K83" si="26">SUM(C71:C82)</f>
        <v>1195432.5333333334</v>
      </c>
      <c r="D83" s="478">
        <f t="shared" si="26"/>
        <v>0</v>
      </c>
      <c r="E83" s="433">
        <f t="shared" si="26"/>
        <v>0</v>
      </c>
      <c r="F83" s="433">
        <f>SUM(F71:F82)</f>
        <v>0</v>
      </c>
      <c r="G83" s="433">
        <f>SUM(G71:G82)</f>
        <v>0</v>
      </c>
      <c r="H83" s="433">
        <f>SUM(H71:H82)</f>
        <v>0</v>
      </c>
      <c r="I83" s="433">
        <f t="shared" si="21"/>
        <v>0</v>
      </c>
      <c r="J83" s="434" t="str">
        <f>IF(I83=0,"",I83/H83)</f>
        <v/>
      </c>
      <c r="K83" s="516">
        <f t="shared" si="26"/>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v>6678671.6654000012</v>
      </c>
      <c r="E87" s="743">
        <v>6678671.6654000012</v>
      </c>
      <c r="F87" s="743">
        <v>0</v>
      </c>
      <c r="G87" s="743">
        <v>0</v>
      </c>
      <c r="H87" s="743">
        <f t="shared" ref="H87:H98" si="27">E87</f>
        <v>6678671.6654000012</v>
      </c>
      <c r="I87" s="45">
        <f t="shared" ref="I87:I99" si="28">G87-H87</f>
        <v>-6678671.6654000012</v>
      </c>
      <c r="J87" s="333">
        <f t="shared" ref="J87:J98" si="29">IF(I87=0,"",I87/H87)</f>
        <v>-1</v>
      </c>
      <c r="K87" s="745">
        <f>D87</f>
        <v>6678671.6654000012</v>
      </c>
    </row>
    <row r="88" spans="1:11" ht="12.75" customHeight="1" x14ac:dyDescent="0.2">
      <c r="A88" s="521" t="s">
        <v>1066</v>
      </c>
      <c r="B88" s="170"/>
      <c r="C88" s="758">
        <v>0</v>
      </c>
      <c r="D88" s="755">
        <v>341601.75860000006</v>
      </c>
      <c r="E88" s="743">
        <v>341601.75860000006</v>
      </c>
      <c r="F88" s="743">
        <v>0</v>
      </c>
      <c r="G88" s="743">
        <v>0</v>
      </c>
      <c r="H88" s="743">
        <f t="shared" si="27"/>
        <v>341601.75860000006</v>
      </c>
      <c r="I88" s="45">
        <f t="shared" si="28"/>
        <v>-341601.75860000006</v>
      </c>
      <c r="J88" s="333">
        <f t="shared" si="29"/>
        <v>-1</v>
      </c>
      <c r="K88" s="745">
        <f t="shared" ref="K88:K98" si="30">D88</f>
        <v>341601.75860000006</v>
      </c>
    </row>
    <row r="89" spans="1:11" ht="12.75" customHeight="1" x14ac:dyDescent="0.2">
      <c r="A89" s="521" t="s">
        <v>436</v>
      </c>
      <c r="B89" s="170"/>
      <c r="C89" s="758">
        <v>0</v>
      </c>
      <c r="D89" s="755">
        <v>425041.45</v>
      </c>
      <c r="E89" s="743">
        <v>425041.45</v>
      </c>
      <c r="F89" s="743">
        <v>0</v>
      </c>
      <c r="G89" s="743">
        <v>0</v>
      </c>
      <c r="H89" s="743">
        <f t="shared" si="27"/>
        <v>425041.45</v>
      </c>
      <c r="I89" s="45">
        <f>G89-H89</f>
        <v>-425041.45</v>
      </c>
      <c r="J89" s="333">
        <f>IF(I89=0,"",I89/H89)</f>
        <v>-1</v>
      </c>
      <c r="K89" s="745">
        <f t="shared" si="30"/>
        <v>425041.45</v>
      </c>
    </row>
    <row r="90" spans="1:11" ht="12.75" customHeight="1" x14ac:dyDescent="0.2">
      <c r="A90" s="521" t="s">
        <v>558</v>
      </c>
      <c r="B90" s="170"/>
      <c r="C90" s="758">
        <v>0</v>
      </c>
      <c r="D90" s="755">
        <v>45368</v>
      </c>
      <c r="E90" s="743">
        <v>45368</v>
      </c>
      <c r="F90" s="743">
        <v>0</v>
      </c>
      <c r="G90" s="743">
        <v>0</v>
      </c>
      <c r="H90" s="743">
        <f t="shared" si="27"/>
        <v>45368</v>
      </c>
      <c r="I90" s="45">
        <f>G90-H90</f>
        <v>-45368</v>
      </c>
      <c r="J90" s="333">
        <f>IF(I90=0,"",I90/H90)</f>
        <v>-1</v>
      </c>
      <c r="K90" s="745">
        <f t="shared" si="30"/>
        <v>45368</v>
      </c>
    </row>
    <row r="91" spans="1:11" ht="12.75" customHeight="1" x14ac:dyDescent="0.2">
      <c r="A91" s="521" t="s">
        <v>438</v>
      </c>
      <c r="B91" s="170"/>
      <c r="C91" s="758">
        <v>0</v>
      </c>
      <c r="D91" s="755">
        <v>0</v>
      </c>
      <c r="E91" s="743">
        <v>0</v>
      </c>
      <c r="F91" s="743">
        <v>0</v>
      </c>
      <c r="G91" s="743">
        <v>0</v>
      </c>
      <c r="H91" s="743">
        <f t="shared" si="27"/>
        <v>0</v>
      </c>
      <c r="I91" s="45">
        <f>G91-H91</f>
        <v>0</v>
      </c>
      <c r="J91" s="333" t="str">
        <f>IF(I91=0,"",I91/H91)</f>
        <v/>
      </c>
      <c r="K91" s="745">
        <f t="shared" si="30"/>
        <v>0</v>
      </c>
    </row>
    <row r="92" spans="1:11" ht="12.75" customHeight="1" x14ac:dyDescent="0.2">
      <c r="A92" s="521" t="s">
        <v>1067</v>
      </c>
      <c r="B92" s="170"/>
      <c r="C92" s="758">
        <v>0</v>
      </c>
      <c r="D92" s="755">
        <v>0</v>
      </c>
      <c r="E92" s="743">
        <v>0</v>
      </c>
      <c r="F92" s="743">
        <v>0</v>
      </c>
      <c r="G92" s="743">
        <v>0</v>
      </c>
      <c r="H92" s="743">
        <f t="shared" si="27"/>
        <v>0</v>
      </c>
      <c r="I92" s="45">
        <f>G92-H92</f>
        <v>0</v>
      </c>
      <c r="J92" s="333" t="str">
        <f>IF(I92=0,"",I92/H92)</f>
        <v/>
      </c>
      <c r="K92" s="745">
        <f t="shared" si="30"/>
        <v>0</v>
      </c>
    </row>
    <row r="93" spans="1:11" ht="12.75" customHeight="1" x14ac:dyDescent="0.2">
      <c r="A93" s="521" t="s">
        <v>1068</v>
      </c>
      <c r="B93" s="170"/>
      <c r="C93" s="758">
        <v>0</v>
      </c>
      <c r="D93" s="755">
        <v>0</v>
      </c>
      <c r="E93" s="743">
        <v>0</v>
      </c>
      <c r="F93" s="743">
        <v>0</v>
      </c>
      <c r="G93" s="743">
        <v>0</v>
      </c>
      <c r="H93" s="743">
        <f t="shared" si="27"/>
        <v>0</v>
      </c>
      <c r="I93" s="45">
        <f t="shared" si="28"/>
        <v>0</v>
      </c>
      <c r="J93" s="333" t="str">
        <f t="shared" si="29"/>
        <v/>
      </c>
      <c r="K93" s="745">
        <f t="shared" si="30"/>
        <v>0</v>
      </c>
    </row>
    <row r="94" spans="1:11" ht="12.75" customHeight="1" x14ac:dyDescent="0.2">
      <c r="A94" s="521" t="s">
        <v>1069</v>
      </c>
      <c r="B94" s="170"/>
      <c r="C94" s="758">
        <v>0</v>
      </c>
      <c r="D94" s="755">
        <v>121980</v>
      </c>
      <c r="E94" s="743">
        <v>121980</v>
      </c>
      <c r="F94" s="743">
        <v>0</v>
      </c>
      <c r="G94" s="743">
        <v>0</v>
      </c>
      <c r="H94" s="743">
        <f t="shared" si="27"/>
        <v>121980</v>
      </c>
      <c r="I94" s="45">
        <f t="shared" si="28"/>
        <v>-121980</v>
      </c>
      <c r="J94" s="333">
        <f t="shared" si="29"/>
        <v>-1</v>
      </c>
      <c r="K94" s="745">
        <f t="shared" si="30"/>
        <v>121980</v>
      </c>
    </row>
    <row r="95" spans="1:11" ht="12.75" customHeight="1" x14ac:dyDescent="0.2">
      <c r="A95" s="521" t="s">
        <v>1070</v>
      </c>
      <c r="B95" s="170"/>
      <c r="C95" s="758">
        <v>0</v>
      </c>
      <c r="D95" s="755">
        <v>0</v>
      </c>
      <c r="E95" s="743">
        <v>0</v>
      </c>
      <c r="F95" s="743">
        <v>0</v>
      </c>
      <c r="G95" s="743">
        <v>0</v>
      </c>
      <c r="H95" s="973">
        <f t="shared" si="27"/>
        <v>0</v>
      </c>
      <c r="I95" s="45">
        <f t="shared" si="28"/>
        <v>0</v>
      </c>
      <c r="J95" s="333" t="str">
        <f t="shared" si="29"/>
        <v/>
      </c>
      <c r="K95" s="745">
        <f t="shared" si="30"/>
        <v>0</v>
      </c>
    </row>
    <row r="96" spans="1:11" ht="12.75" customHeight="1" x14ac:dyDescent="0.2">
      <c r="A96" s="521" t="s">
        <v>1071</v>
      </c>
      <c r="B96" s="170"/>
      <c r="C96" s="758">
        <v>0</v>
      </c>
      <c r="D96" s="755">
        <v>0</v>
      </c>
      <c r="E96" s="743">
        <v>0</v>
      </c>
      <c r="F96" s="743">
        <v>0</v>
      </c>
      <c r="G96" s="743">
        <v>0</v>
      </c>
      <c r="H96" s="973">
        <f t="shared" si="27"/>
        <v>0</v>
      </c>
      <c r="I96" s="45">
        <f t="shared" si="28"/>
        <v>0</v>
      </c>
      <c r="J96" s="333" t="str">
        <f t="shared" si="29"/>
        <v/>
      </c>
      <c r="K96" s="745">
        <f t="shared" si="30"/>
        <v>0</v>
      </c>
    </row>
    <row r="97" spans="1:14" ht="12.75" customHeight="1" x14ac:dyDescent="0.2">
      <c r="A97" s="521" t="s">
        <v>1072</v>
      </c>
      <c r="B97" s="170"/>
      <c r="C97" s="758">
        <v>0</v>
      </c>
      <c r="D97" s="755">
        <v>0</v>
      </c>
      <c r="E97" s="743">
        <v>0</v>
      </c>
      <c r="F97" s="743">
        <v>0</v>
      </c>
      <c r="G97" s="743">
        <v>0</v>
      </c>
      <c r="H97" s="973">
        <f t="shared" si="27"/>
        <v>0</v>
      </c>
      <c r="I97" s="45">
        <f t="shared" si="28"/>
        <v>0</v>
      </c>
      <c r="J97" s="333" t="str">
        <f t="shared" si="29"/>
        <v/>
      </c>
      <c r="K97" s="745">
        <f>760451343-C106</f>
        <v>-4495928.4133332968</v>
      </c>
    </row>
    <row r="98" spans="1:14" ht="12.75" customHeight="1" x14ac:dyDescent="0.2">
      <c r="A98" s="521" t="s">
        <v>1073</v>
      </c>
      <c r="B98" s="170"/>
      <c r="C98" s="758">
        <v>0</v>
      </c>
      <c r="D98" s="755">
        <v>0</v>
      </c>
      <c r="E98" s="743">
        <v>0</v>
      </c>
      <c r="F98" s="743">
        <v>0</v>
      </c>
      <c r="G98" s="743">
        <v>0</v>
      </c>
      <c r="H98" s="973">
        <f t="shared" si="27"/>
        <v>0</v>
      </c>
      <c r="I98" s="45">
        <f t="shared" si="28"/>
        <v>0</v>
      </c>
      <c r="J98" s="333" t="str">
        <f t="shared" si="29"/>
        <v/>
      </c>
      <c r="K98" s="745">
        <f t="shared" si="30"/>
        <v>0</v>
      </c>
    </row>
    <row r="99" spans="1:14" ht="12.75" customHeight="1" x14ac:dyDescent="0.2">
      <c r="A99" s="88" t="s">
        <v>524</v>
      </c>
      <c r="B99" s="170"/>
      <c r="C99" s="519">
        <f t="shared" ref="C99:H99" si="31">SUM(C87:C98)</f>
        <v>0</v>
      </c>
      <c r="D99" s="478">
        <f t="shared" si="31"/>
        <v>7612662.8740000017</v>
      </c>
      <c r="E99" s="433">
        <f t="shared" si="31"/>
        <v>7612662.8740000017</v>
      </c>
      <c r="F99" s="433">
        <f t="shared" si="31"/>
        <v>0</v>
      </c>
      <c r="G99" s="433">
        <f t="shared" si="31"/>
        <v>0</v>
      </c>
      <c r="H99" s="433">
        <f t="shared" si="31"/>
        <v>7612662.8740000017</v>
      </c>
      <c r="I99" s="433">
        <f t="shared" si="28"/>
        <v>-7612662.8740000017</v>
      </c>
      <c r="J99" s="434">
        <f>IF(I99=0,"",I99/H99)</f>
        <v>-1</v>
      </c>
      <c r="K99" s="516">
        <f>SUM(K87:K98)</f>
        <v>3116734.4606667049</v>
      </c>
    </row>
    <row r="100" spans="1:14" ht="12.75" customHeight="1" x14ac:dyDescent="0.2">
      <c r="A100" s="574" t="s">
        <v>744</v>
      </c>
      <c r="B100" s="170">
        <v>4</v>
      </c>
      <c r="C100" s="402"/>
      <c r="D100" s="306" t="e">
        <f>IF(D99=0,"",(D99/C99)-1)</f>
        <v>#DIV/0!</v>
      </c>
      <c r="E100" s="306" t="e">
        <f>IF(E99=0,"",(E99/C99)-1)</f>
        <v>#DIV/0!</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2">C67+C83+C99</f>
        <v>3317069.1933333334</v>
      </c>
      <c r="D102" s="478">
        <f t="shared" si="32"/>
        <v>7612662.8740000017</v>
      </c>
      <c r="E102" s="433">
        <f t="shared" si="32"/>
        <v>7612662.8740000017</v>
      </c>
      <c r="F102" s="433">
        <f t="shared" si="32"/>
        <v>0</v>
      </c>
      <c r="G102" s="433">
        <f t="shared" si="32"/>
        <v>0</v>
      </c>
      <c r="H102" s="433">
        <f t="shared" si="32"/>
        <v>7612662.8740000017</v>
      </c>
      <c r="I102" s="433">
        <f>G102-H102</f>
        <v>-7612662.8740000017</v>
      </c>
      <c r="J102" s="434">
        <f>IF(I102=0,"",I102/H102)</f>
        <v>-1</v>
      </c>
      <c r="K102" s="516">
        <f>K67+K83+K99</f>
        <v>3116734.4606667049</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3">C49+C102</f>
        <v>805428801.72333336</v>
      </c>
      <c r="D104" s="57">
        <f t="shared" si="33"/>
        <v>969323086.87399995</v>
      </c>
      <c r="E104" s="56">
        <f t="shared" si="33"/>
        <v>7612662.8740000017</v>
      </c>
      <c r="F104" s="56">
        <f t="shared" si="33"/>
        <v>69957600.550000012</v>
      </c>
      <c r="G104" s="56">
        <f t="shared" si="33"/>
        <v>69957600.550000012</v>
      </c>
      <c r="H104" s="56">
        <f t="shared" si="33"/>
        <v>87755198.207333341</v>
      </c>
      <c r="I104" s="56">
        <f>G104-H104</f>
        <v>-17797597.657333329</v>
      </c>
      <c r="J104" s="335">
        <f>IF(I104=0,"",I104/H104)</f>
        <v>-0.20280961152049518</v>
      </c>
      <c r="K104" s="236">
        <f>K49+K102</f>
        <v>964827158.46066666</v>
      </c>
    </row>
    <row r="105" spans="1:14" ht="12.75" customHeight="1" x14ac:dyDescent="0.2">
      <c r="A105" s="574" t="s">
        <v>744</v>
      </c>
      <c r="B105" s="170">
        <v>4</v>
      </c>
      <c r="C105" s="402"/>
      <c r="D105" s="306">
        <f>IF(D104=0,"",(D104/C104)-1)</f>
        <v>0.2034869932637009</v>
      </c>
      <c r="E105" s="306">
        <f>IF(E104=0,"",(E104/C104)-1)</f>
        <v>-0.99054831059218196</v>
      </c>
      <c r="F105" s="306"/>
      <c r="G105" s="306"/>
      <c r="H105" s="306"/>
      <c r="I105" s="404"/>
      <c r="J105" s="406"/>
      <c r="K105" s="315">
        <f>IF(K104=0,"",(K104/C104)-1)</f>
        <v>0.19790496242036171</v>
      </c>
      <c r="L105" s="68"/>
      <c r="M105" s="68"/>
      <c r="N105" s="68"/>
    </row>
    <row r="106" spans="1:14" ht="12.75" customHeight="1" x14ac:dyDescent="0.2">
      <c r="A106" s="576" t="s">
        <v>137</v>
      </c>
      <c r="B106" s="237"/>
      <c r="C106" s="113">
        <f t="shared" ref="C106:I106" si="34">C30+C46+C83+C99</f>
        <v>764947271.4133333</v>
      </c>
      <c r="D106" s="57">
        <f t="shared" si="34"/>
        <v>928805662.87399995</v>
      </c>
      <c r="E106" s="56">
        <f t="shared" si="34"/>
        <v>7612662.8740000017</v>
      </c>
      <c r="F106" s="56">
        <f t="shared" si="34"/>
        <v>66737389.730000012</v>
      </c>
      <c r="G106" s="56">
        <f t="shared" si="34"/>
        <v>66737389.730000012</v>
      </c>
      <c r="H106" s="56">
        <f t="shared" si="34"/>
        <v>84378746.207333341</v>
      </c>
      <c r="I106" s="56">
        <f t="shared" si="34"/>
        <v>-17641356.477333345</v>
      </c>
      <c r="J106" s="895">
        <f>IF(I106=0,"",I106/H106)</f>
        <v>-0.20907346067913174</v>
      </c>
      <c r="K106" s="236">
        <f>K30+K46+K83+K99</f>
        <v>924309734.46066666</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8"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Q56" sqref="C6:Q56"/>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M01 July</v>
      </c>
      <c r="B1" s="69"/>
    </row>
    <row r="2" spans="1:17" ht="25.5" customHeight="1" x14ac:dyDescent="0.2">
      <c r="A2" s="1020" t="str">
        <f>desc</f>
        <v>Description</v>
      </c>
      <c r="B2" s="1013" t="str">
        <f>head27</f>
        <v>Ref</v>
      </c>
      <c r="C2" s="1015" t="str">
        <f>Head2</f>
        <v>Budget Year 2019/20</v>
      </c>
      <c r="D2" s="1016"/>
      <c r="E2" s="1016"/>
      <c r="F2" s="1016"/>
      <c r="G2" s="1016"/>
      <c r="H2" s="1016"/>
      <c r="I2" s="1016"/>
      <c r="J2" s="1016"/>
      <c r="K2" s="1016"/>
      <c r="L2" s="1016"/>
      <c r="M2" s="1016"/>
      <c r="N2" s="1066"/>
      <c r="O2" s="1015" t="str">
        <f>'Template names'!B5</f>
        <v>2019/20 Medium Term Revenue &amp; Expenditure Framework</v>
      </c>
      <c r="P2" s="1016"/>
      <c r="Q2" s="1017"/>
    </row>
    <row r="3" spans="1:17" ht="12.75" customHeight="1" x14ac:dyDescent="0.2">
      <c r="A3" s="1021"/>
      <c r="B3" s="1024"/>
      <c r="C3" s="144" t="s">
        <v>804</v>
      </c>
      <c r="D3" s="27" t="s">
        <v>935</v>
      </c>
      <c r="E3" s="27" t="s">
        <v>3</v>
      </c>
      <c r="F3" s="27" t="s">
        <v>936</v>
      </c>
      <c r="G3" s="27" t="s">
        <v>4</v>
      </c>
      <c r="H3" s="27" t="s">
        <v>5</v>
      </c>
      <c r="I3" s="27" t="s">
        <v>939</v>
      </c>
      <c r="J3" s="27" t="s">
        <v>6</v>
      </c>
      <c r="K3" s="27" t="s">
        <v>941</v>
      </c>
      <c r="L3" s="27" t="s">
        <v>942</v>
      </c>
      <c r="M3" s="27" t="s">
        <v>943</v>
      </c>
      <c r="N3" s="164" t="s">
        <v>944</v>
      </c>
      <c r="O3" s="1064" t="str">
        <f>Head9</f>
        <v>Budget Year 2019/20</v>
      </c>
      <c r="P3" s="1060" t="str">
        <f>Head10</f>
        <v>Budget Year +1 2020/21</v>
      </c>
      <c r="Q3" s="1062" t="str">
        <f>Head11</f>
        <v>Budget Year +2 2021/22</v>
      </c>
    </row>
    <row r="4" spans="1:17" ht="13.5" customHeight="1" x14ac:dyDescent="0.2">
      <c r="A4" s="294" t="s">
        <v>687</v>
      </c>
      <c r="B4" s="249">
        <v>1</v>
      </c>
      <c r="C4" s="800" t="s">
        <v>569</v>
      </c>
      <c r="D4" s="801" t="s">
        <v>569</v>
      </c>
      <c r="E4" s="801" t="s">
        <v>569</v>
      </c>
      <c r="F4" s="801" t="s">
        <v>569</v>
      </c>
      <c r="G4" s="801" t="s">
        <v>569</v>
      </c>
      <c r="H4" s="801" t="s">
        <v>569</v>
      </c>
      <c r="I4" s="801" t="s">
        <v>51</v>
      </c>
      <c r="J4" s="801" t="s">
        <v>51</v>
      </c>
      <c r="K4" s="801" t="s">
        <v>51</v>
      </c>
      <c r="L4" s="801" t="s">
        <v>51</v>
      </c>
      <c r="M4" s="801" t="s">
        <v>51</v>
      </c>
      <c r="N4" s="802" t="s">
        <v>51</v>
      </c>
      <c r="O4" s="1065"/>
      <c r="P4" s="1061"/>
      <c r="Q4" s="1063"/>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0</v>
      </c>
      <c r="E6" s="743">
        <v>0</v>
      </c>
      <c r="F6" s="743">
        <v>0</v>
      </c>
      <c r="G6" s="743">
        <v>0</v>
      </c>
      <c r="H6" s="743">
        <v>0</v>
      </c>
      <c r="I6" s="743">
        <v>0</v>
      </c>
      <c r="J6" s="743">
        <v>0</v>
      </c>
      <c r="K6" s="743">
        <v>0</v>
      </c>
      <c r="L6" s="743">
        <v>0</v>
      </c>
      <c r="M6" s="743">
        <v>0</v>
      </c>
      <c r="N6" s="109">
        <f t="shared" ref="N6:N20" si="0">O6-SUM(C6:M6)</f>
        <v>400872350.84000009</v>
      </c>
      <c r="O6" s="755">
        <v>422400000</v>
      </c>
      <c r="P6" s="743">
        <v>407040000</v>
      </c>
      <c r="Q6" s="745">
        <v>431462400</v>
      </c>
    </row>
    <row r="7" spans="1:17" ht="12.75" customHeight="1" x14ac:dyDescent="0.2">
      <c r="A7" s="40" t="s">
        <v>856</v>
      </c>
      <c r="B7" s="41"/>
      <c r="C7" s="763">
        <v>69387857.930000037</v>
      </c>
      <c r="D7" s="743">
        <v>0</v>
      </c>
      <c r="E7" s="743">
        <v>0</v>
      </c>
      <c r="F7" s="743">
        <v>0</v>
      </c>
      <c r="G7" s="743">
        <v>0</v>
      </c>
      <c r="H7" s="743">
        <v>0</v>
      </c>
      <c r="I7" s="743">
        <v>0</v>
      </c>
      <c r="J7" s="743">
        <v>0</v>
      </c>
      <c r="K7" s="743">
        <v>0</v>
      </c>
      <c r="L7" s="743">
        <v>0</v>
      </c>
      <c r="M7" s="743">
        <v>0</v>
      </c>
      <c r="N7" s="109">
        <f t="shared" si="0"/>
        <v>1016087442.0699999</v>
      </c>
      <c r="O7" s="755">
        <v>1085475300</v>
      </c>
      <c r="P7" s="743">
        <v>1193051200</v>
      </c>
      <c r="Q7" s="745">
        <v>1313724720</v>
      </c>
    </row>
    <row r="8" spans="1:17" ht="12.75" customHeight="1" x14ac:dyDescent="0.2">
      <c r="A8" s="40" t="s">
        <v>857</v>
      </c>
      <c r="B8" s="41"/>
      <c r="C8" s="763">
        <v>15311806.950000059</v>
      </c>
      <c r="D8" s="743">
        <v>0</v>
      </c>
      <c r="E8" s="743">
        <v>0</v>
      </c>
      <c r="F8" s="743">
        <v>0</v>
      </c>
      <c r="G8" s="743">
        <v>0</v>
      </c>
      <c r="H8" s="743">
        <v>0</v>
      </c>
      <c r="I8" s="743">
        <v>0</v>
      </c>
      <c r="J8" s="743">
        <v>0</v>
      </c>
      <c r="K8" s="743">
        <v>0</v>
      </c>
      <c r="L8" s="743">
        <v>0</v>
      </c>
      <c r="M8" s="743">
        <v>0</v>
      </c>
      <c r="N8" s="109">
        <f t="shared" si="0"/>
        <v>267553503.04999995</v>
      </c>
      <c r="O8" s="755">
        <v>282865310</v>
      </c>
      <c r="P8" s="743">
        <v>289952960</v>
      </c>
      <c r="Q8" s="745">
        <v>307348800</v>
      </c>
    </row>
    <row r="9" spans="1:17" ht="12.75" customHeight="1" x14ac:dyDescent="0.2">
      <c r="A9" s="40" t="s">
        <v>858</v>
      </c>
      <c r="B9" s="41"/>
      <c r="C9" s="763">
        <v>6170739.5499999635</v>
      </c>
      <c r="D9" s="743">
        <v>0</v>
      </c>
      <c r="E9" s="743">
        <v>0</v>
      </c>
      <c r="F9" s="743">
        <v>0</v>
      </c>
      <c r="G9" s="743">
        <v>0</v>
      </c>
      <c r="H9" s="743">
        <v>0</v>
      </c>
      <c r="I9" s="743">
        <v>0</v>
      </c>
      <c r="J9" s="743">
        <v>0</v>
      </c>
      <c r="K9" s="743">
        <v>0</v>
      </c>
      <c r="L9" s="743">
        <v>0</v>
      </c>
      <c r="M9" s="743">
        <v>0</v>
      </c>
      <c r="N9" s="109">
        <f t="shared" si="0"/>
        <v>115562690.45000003</v>
      </c>
      <c r="O9" s="755">
        <v>121733430</v>
      </c>
      <c r="P9" s="743">
        <v>124784000</v>
      </c>
      <c r="Q9" s="745">
        <v>132271920</v>
      </c>
    </row>
    <row r="10" spans="1:17" ht="12.75" customHeight="1" x14ac:dyDescent="0.2">
      <c r="A10" s="40" t="s">
        <v>498</v>
      </c>
      <c r="B10" s="41"/>
      <c r="C10" s="763">
        <v>6459479.520000007</v>
      </c>
      <c r="D10" s="743">
        <v>0</v>
      </c>
      <c r="E10" s="743">
        <v>0</v>
      </c>
      <c r="F10" s="743">
        <v>0</v>
      </c>
      <c r="G10" s="743">
        <v>0</v>
      </c>
      <c r="H10" s="743">
        <v>0</v>
      </c>
      <c r="I10" s="743">
        <v>0</v>
      </c>
      <c r="J10" s="743">
        <v>0</v>
      </c>
      <c r="K10" s="743">
        <v>0</v>
      </c>
      <c r="L10" s="743">
        <v>0</v>
      </c>
      <c r="M10" s="743">
        <v>0</v>
      </c>
      <c r="N10" s="109">
        <f t="shared" si="0"/>
        <v>110591090.47999999</v>
      </c>
      <c r="O10" s="755">
        <v>117050570</v>
      </c>
      <c r="P10" s="743">
        <v>119956320</v>
      </c>
      <c r="Q10" s="743">
        <v>127128320</v>
      </c>
    </row>
    <row r="11" spans="1:17" ht="12.75" customHeight="1" x14ac:dyDescent="0.2">
      <c r="A11" s="40" t="s">
        <v>859</v>
      </c>
      <c r="B11" s="41"/>
      <c r="C11" s="743"/>
      <c r="D11" s="743">
        <v>0</v>
      </c>
      <c r="E11" s="743">
        <v>0</v>
      </c>
      <c r="F11" s="743">
        <v>0</v>
      </c>
      <c r="G11" s="743">
        <v>0</v>
      </c>
      <c r="H11" s="743">
        <v>0</v>
      </c>
      <c r="I11" s="743">
        <v>0</v>
      </c>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0</v>
      </c>
      <c r="E12" s="743">
        <v>0</v>
      </c>
      <c r="F12" s="743">
        <v>0</v>
      </c>
      <c r="G12" s="743">
        <v>0</v>
      </c>
      <c r="H12" s="743">
        <v>0</v>
      </c>
      <c r="I12" s="743">
        <v>0</v>
      </c>
      <c r="J12" s="743">
        <v>0</v>
      </c>
      <c r="K12" s="743">
        <v>0</v>
      </c>
      <c r="L12" s="743">
        <v>0</v>
      </c>
      <c r="M12" s="743">
        <v>0</v>
      </c>
      <c r="N12" s="109">
        <f t="shared" si="0"/>
        <v>35194425.959999979</v>
      </c>
      <c r="O12" s="755">
        <v>35980490</v>
      </c>
      <c r="P12" s="743">
        <v>36881680</v>
      </c>
      <c r="Q12" s="745">
        <v>39089600</v>
      </c>
    </row>
    <row r="13" spans="1:17" ht="12.75" customHeight="1" x14ac:dyDescent="0.2">
      <c r="A13" s="40" t="s">
        <v>862</v>
      </c>
      <c r="B13" s="41"/>
      <c r="C13" s="763">
        <v>1551166.67</v>
      </c>
      <c r="D13" s="743">
        <v>0</v>
      </c>
      <c r="E13" s="743">
        <v>0</v>
      </c>
      <c r="F13" s="743">
        <v>0</v>
      </c>
      <c r="G13" s="743">
        <v>0</v>
      </c>
      <c r="H13" s="743">
        <v>0</v>
      </c>
      <c r="I13" s="743">
        <v>0</v>
      </c>
      <c r="J13" s="743">
        <v>0</v>
      </c>
      <c r="K13" s="743">
        <v>0</v>
      </c>
      <c r="L13" s="743">
        <v>0</v>
      </c>
      <c r="M13" s="743">
        <v>0</v>
      </c>
      <c r="N13" s="109">
        <f t="shared" si="0"/>
        <v>24764213.329999998</v>
      </c>
      <c r="O13" s="755">
        <v>26315380</v>
      </c>
      <c r="P13" s="743">
        <v>26974640</v>
      </c>
      <c r="Q13" s="745">
        <v>28592960</v>
      </c>
    </row>
    <row r="14" spans="1:17" ht="12.75" customHeight="1" x14ac:dyDescent="0.2">
      <c r="A14" s="40" t="s">
        <v>863</v>
      </c>
      <c r="B14" s="41"/>
      <c r="C14" s="763">
        <v>8662844.0399999991</v>
      </c>
      <c r="D14" s="743">
        <v>0</v>
      </c>
      <c r="E14" s="743">
        <v>0</v>
      </c>
      <c r="F14" s="743">
        <v>0</v>
      </c>
      <c r="G14" s="743">
        <v>0</v>
      </c>
      <c r="H14" s="743">
        <v>0</v>
      </c>
      <c r="I14" s="743">
        <v>0</v>
      </c>
      <c r="J14" s="743">
        <v>0</v>
      </c>
      <c r="K14" s="743">
        <v>0</v>
      </c>
      <c r="L14" s="743">
        <v>0</v>
      </c>
      <c r="M14" s="743">
        <v>0</v>
      </c>
      <c r="N14" s="109">
        <f t="shared" si="0"/>
        <v>68505155.960000008</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0</v>
      </c>
      <c r="E16" s="743">
        <v>0</v>
      </c>
      <c r="F16" s="743">
        <v>0</v>
      </c>
      <c r="G16" s="743">
        <v>0</v>
      </c>
      <c r="H16" s="743">
        <v>0</v>
      </c>
      <c r="I16" s="743">
        <v>0</v>
      </c>
      <c r="J16" s="743">
        <v>0</v>
      </c>
      <c r="K16" s="743">
        <v>0</v>
      </c>
      <c r="L16" s="743">
        <v>0</v>
      </c>
      <c r="M16" s="743">
        <v>0</v>
      </c>
      <c r="N16" s="109">
        <f t="shared" si="0"/>
        <v>15335379.390000001</v>
      </c>
      <c r="O16" s="755">
        <v>15433600</v>
      </c>
      <c r="P16" s="743">
        <v>15822400</v>
      </c>
      <c r="Q16" s="745">
        <v>16772800</v>
      </c>
    </row>
    <row r="17" spans="1:17" ht="12.75" customHeight="1" x14ac:dyDescent="0.2">
      <c r="A17" s="40" t="s">
        <v>864</v>
      </c>
      <c r="B17" s="41"/>
      <c r="C17" s="763">
        <v>1108559.28</v>
      </c>
      <c r="D17" s="743">
        <v>0</v>
      </c>
      <c r="E17" s="743">
        <v>0</v>
      </c>
      <c r="F17" s="743">
        <v>0</v>
      </c>
      <c r="G17" s="743">
        <v>0</v>
      </c>
      <c r="H17" s="743">
        <v>0</v>
      </c>
      <c r="I17" s="743">
        <v>0</v>
      </c>
      <c r="J17" s="743">
        <v>0</v>
      </c>
      <c r="K17" s="743">
        <v>0</v>
      </c>
      <c r="L17" s="743">
        <v>0</v>
      </c>
      <c r="M17" s="743">
        <v>0</v>
      </c>
      <c r="N17" s="109">
        <f t="shared" si="0"/>
        <v>12781360.720000001</v>
      </c>
      <c r="O17" s="755">
        <v>13889920</v>
      </c>
      <c r="P17" s="743">
        <v>14725040</v>
      </c>
      <c r="Q17" s="745">
        <v>15605040</v>
      </c>
    </row>
    <row r="18" spans="1:17" ht="12.75" customHeight="1" x14ac:dyDescent="0.2">
      <c r="A18" s="40" t="s">
        <v>600</v>
      </c>
      <c r="B18" s="41"/>
      <c r="C18" s="763">
        <v>9933007.4700000007</v>
      </c>
      <c r="D18" s="743">
        <v>0</v>
      </c>
      <c r="E18" s="743">
        <v>0</v>
      </c>
      <c r="F18" s="743">
        <v>0</v>
      </c>
      <c r="G18" s="743">
        <v>0</v>
      </c>
      <c r="H18" s="743">
        <v>0</v>
      </c>
      <c r="I18" s="743">
        <v>0</v>
      </c>
      <c r="J18" s="743">
        <v>0</v>
      </c>
      <c r="K18" s="743">
        <v>0</v>
      </c>
      <c r="L18" s="743">
        <v>0</v>
      </c>
      <c r="M18" s="743">
        <v>0</v>
      </c>
      <c r="N18" s="109">
        <f t="shared" si="0"/>
        <v>13386992.529999999</v>
      </c>
      <c r="O18" s="755">
        <v>23320000</v>
      </c>
      <c r="P18" s="743">
        <v>24719200</v>
      </c>
      <c r="Q18" s="745">
        <v>26202000</v>
      </c>
    </row>
    <row r="19" spans="1:17" ht="12.75" customHeight="1" x14ac:dyDescent="0.2">
      <c r="A19" s="40" t="s">
        <v>138</v>
      </c>
      <c r="B19" s="41"/>
      <c r="C19" s="763">
        <v>391834885</v>
      </c>
      <c r="D19" s="743">
        <v>0</v>
      </c>
      <c r="E19" s="743">
        <v>0</v>
      </c>
      <c r="F19" s="743">
        <v>0</v>
      </c>
      <c r="G19" s="743">
        <v>0</v>
      </c>
      <c r="H19" s="743">
        <v>0</v>
      </c>
      <c r="I19" s="743">
        <v>0</v>
      </c>
      <c r="J19" s="743">
        <v>0</v>
      </c>
      <c r="K19" s="743">
        <v>0</v>
      </c>
      <c r="L19" s="743">
        <v>0</v>
      </c>
      <c r="M19" s="743">
        <v>0</v>
      </c>
      <c r="N19" s="109">
        <f t="shared" si="0"/>
        <v>647532115</v>
      </c>
      <c r="O19" s="755">
        <v>1039367000</v>
      </c>
      <c r="P19" s="743">
        <v>1149693000</v>
      </c>
      <c r="Q19" s="745">
        <v>1228909640</v>
      </c>
    </row>
    <row r="20" spans="1:17" ht="12.75" customHeight="1" x14ac:dyDescent="0.2">
      <c r="A20" s="40" t="s">
        <v>463</v>
      </c>
      <c r="B20" s="41"/>
      <c r="C20" s="763">
        <v>6262715.2300000191</v>
      </c>
      <c r="D20" s="743">
        <v>0</v>
      </c>
      <c r="E20" s="743">
        <v>0</v>
      </c>
      <c r="F20" s="743">
        <v>0</v>
      </c>
      <c r="G20" s="743">
        <v>0</v>
      </c>
      <c r="H20" s="743">
        <v>0</v>
      </c>
      <c r="I20" s="743">
        <v>0</v>
      </c>
      <c r="J20" s="743">
        <v>0</v>
      </c>
      <c r="K20" s="743">
        <v>0</v>
      </c>
      <c r="L20" s="743">
        <v>0</v>
      </c>
      <c r="M20" s="743">
        <v>0</v>
      </c>
      <c r="N20" s="109">
        <f t="shared" si="0"/>
        <v>255844404.76999998</v>
      </c>
      <c r="O20" s="755">
        <v>262107120</v>
      </c>
      <c r="P20" s="743">
        <v>189945360</v>
      </c>
      <c r="Q20" s="745">
        <v>206739280</v>
      </c>
    </row>
    <row r="21" spans="1:17" ht="12.75" customHeight="1" x14ac:dyDescent="0.2">
      <c r="A21" s="89" t="s">
        <v>963</v>
      </c>
      <c r="B21" s="53"/>
      <c r="C21" s="478">
        <f t="shared" ref="C21:Q21" si="1">SUM(C6:C20)</f>
        <v>539094995.45000005</v>
      </c>
      <c r="D21" s="433">
        <f t="shared" si="1"/>
        <v>0</v>
      </c>
      <c r="E21" s="433">
        <f t="shared" si="1"/>
        <v>0</v>
      </c>
      <c r="F21" s="433">
        <f t="shared" si="1"/>
        <v>0</v>
      </c>
      <c r="G21" s="433">
        <f t="shared" si="1"/>
        <v>0</v>
      </c>
      <c r="H21" s="433">
        <f t="shared" si="1"/>
        <v>0</v>
      </c>
      <c r="I21" s="433">
        <f t="shared" si="1"/>
        <v>0</v>
      </c>
      <c r="J21" s="433">
        <f t="shared" si="1"/>
        <v>0</v>
      </c>
      <c r="K21" s="433">
        <f t="shared" si="1"/>
        <v>0</v>
      </c>
      <c r="L21" s="433">
        <f t="shared" si="1"/>
        <v>0</v>
      </c>
      <c r="M21" s="433">
        <f t="shared" si="1"/>
        <v>0</v>
      </c>
      <c r="N21" s="511">
        <f t="shared" si="1"/>
        <v>2984011124.5500002</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0</v>
      </c>
      <c r="E24" s="743">
        <v>0</v>
      </c>
      <c r="F24" s="743">
        <v>0</v>
      </c>
      <c r="G24" s="743">
        <v>0</v>
      </c>
      <c r="H24" s="743">
        <v>0</v>
      </c>
      <c r="I24" s="743">
        <v>0</v>
      </c>
      <c r="J24" s="743">
        <v>0</v>
      </c>
      <c r="K24" s="743">
        <v>0</v>
      </c>
      <c r="L24" s="743">
        <v>0</v>
      </c>
      <c r="M24" s="743">
        <v>0</v>
      </c>
      <c r="N24" s="109">
        <f t="shared" si="2"/>
        <v>1067143885</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0</v>
      </c>
      <c r="I26" s="743">
        <v>0</v>
      </c>
      <c r="J26" s="743">
        <v>0</v>
      </c>
      <c r="K26" s="743">
        <v>0</v>
      </c>
      <c r="L26" s="743">
        <v>0</v>
      </c>
      <c r="M26" s="743">
        <v>0</v>
      </c>
      <c r="N26" s="109">
        <f t="shared" si="2"/>
        <v>0</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0</v>
      </c>
      <c r="E28" s="743">
        <v>0</v>
      </c>
      <c r="F28" s="743">
        <v>0</v>
      </c>
      <c r="G28" s="743">
        <v>0</v>
      </c>
      <c r="H28" s="743">
        <v>0</v>
      </c>
      <c r="I28" s="743">
        <v>0</v>
      </c>
      <c r="J28" s="743">
        <v>0</v>
      </c>
      <c r="K28" s="743">
        <v>0</v>
      </c>
      <c r="L28" s="743">
        <v>0</v>
      </c>
      <c r="M28" s="743">
        <v>0</v>
      </c>
      <c r="N28" s="109">
        <f t="shared" si="2"/>
        <v>300000000</v>
      </c>
      <c r="O28" s="755">
        <v>300000000</v>
      </c>
      <c r="P28" s="743">
        <v>65000000</v>
      </c>
      <c r="Q28" s="745">
        <v>65000000</v>
      </c>
    </row>
    <row r="29" spans="1:17" ht="12.75" customHeight="1" x14ac:dyDescent="0.2">
      <c r="A29" s="40" t="s">
        <v>861</v>
      </c>
      <c r="B29" s="41"/>
      <c r="C29" s="763">
        <v>0</v>
      </c>
      <c r="D29" s="743">
        <v>0</v>
      </c>
      <c r="E29" s="743">
        <v>0</v>
      </c>
      <c r="F29" s="743">
        <v>0</v>
      </c>
      <c r="G29" s="743">
        <v>0</v>
      </c>
      <c r="H29" s="743">
        <v>0</v>
      </c>
      <c r="I29" s="743">
        <v>0</v>
      </c>
      <c r="J29" s="743">
        <v>0</v>
      </c>
      <c r="K29" s="743">
        <v>0</v>
      </c>
      <c r="L29" s="743">
        <v>0</v>
      </c>
      <c r="M29" s="743">
        <v>0</v>
      </c>
      <c r="N29" s="109">
        <f t="shared" si="2"/>
        <v>0</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0</v>
      </c>
      <c r="E33" s="74">
        <f t="shared" si="3"/>
        <v>0</v>
      </c>
      <c r="F33" s="74">
        <f t="shared" si="3"/>
        <v>0</v>
      </c>
      <c r="G33" s="74">
        <f t="shared" si="3"/>
        <v>0</v>
      </c>
      <c r="H33" s="74">
        <f t="shared" si="3"/>
        <v>0</v>
      </c>
      <c r="I33" s="74">
        <f t="shared" si="3"/>
        <v>0</v>
      </c>
      <c r="J33" s="74">
        <f t="shared" si="3"/>
        <v>0</v>
      </c>
      <c r="K33" s="74">
        <f t="shared" si="3"/>
        <v>0</v>
      </c>
      <c r="L33" s="74">
        <f t="shared" si="3"/>
        <v>0</v>
      </c>
      <c r="M33" s="74">
        <f t="shared" si="3"/>
        <v>0</v>
      </c>
      <c r="N33" s="323">
        <f t="shared" si="3"/>
        <v>4232761868.54</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0</v>
      </c>
      <c r="E36" s="743">
        <v>0</v>
      </c>
      <c r="F36" s="743">
        <v>0</v>
      </c>
      <c r="G36" s="743">
        <v>0</v>
      </c>
      <c r="H36" s="743">
        <v>0</v>
      </c>
      <c r="I36" s="743">
        <v>0</v>
      </c>
      <c r="J36" s="743">
        <v>0</v>
      </c>
      <c r="K36" s="743">
        <v>0</v>
      </c>
      <c r="L36" s="743">
        <v>0</v>
      </c>
      <c r="M36" s="743">
        <v>0</v>
      </c>
      <c r="N36" s="109">
        <f t="shared" si="4"/>
        <v>851692031.26999998</v>
      </c>
      <c r="O36" s="755">
        <v>918429421</v>
      </c>
      <c r="P36" s="743">
        <v>976585428</v>
      </c>
      <c r="Q36" s="745">
        <v>1038294000</v>
      </c>
    </row>
    <row r="37" spans="1:17" ht="12.75" customHeight="1" x14ac:dyDescent="0.2">
      <c r="A37" s="40" t="s">
        <v>489</v>
      </c>
      <c r="B37" s="41"/>
      <c r="C37" s="763">
        <v>3220210.82</v>
      </c>
      <c r="D37" s="743">
        <v>0</v>
      </c>
      <c r="E37" s="743">
        <v>0</v>
      </c>
      <c r="F37" s="743">
        <v>0</v>
      </c>
      <c r="G37" s="743">
        <v>0</v>
      </c>
      <c r="H37" s="743">
        <v>0</v>
      </c>
      <c r="I37" s="743">
        <v>0</v>
      </c>
      <c r="J37" s="743">
        <v>0</v>
      </c>
      <c r="K37" s="743">
        <v>0</v>
      </c>
      <c r="L37" s="743">
        <v>0</v>
      </c>
      <c r="M37" s="743">
        <v>0</v>
      </c>
      <c r="N37" s="109">
        <f t="shared" si="4"/>
        <v>36879789.18</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0</v>
      </c>
      <c r="J38" s="743">
        <v>0</v>
      </c>
      <c r="K38" s="743">
        <v>0</v>
      </c>
      <c r="L38" s="743">
        <v>0</v>
      </c>
      <c r="M38" s="743">
        <v>0</v>
      </c>
      <c r="N38" s="109">
        <f t="shared" si="4"/>
        <v>52402571.43</v>
      </c>
      <c r="O38" s="755">
        <v>84866634</v>
      </c>
      <c r="P38" s="743">
        <v>114212332</v>
      </c>
      <c r="Q38" s="745">
        <v>116473528</v>
      </c>
    </row>
    <row r="39" spans="1:17" ht="12.75" customHeight="1" x14ac:dyDescent="0.2">
      <c r="A39" s="40" t="s">
        <v>945</v>
      </c>
      <c r="B39" s="41"/>
      <c r="C39" s="763">
        <v>90160964.450000003</v>
      </c>
      <c r="D39" s="743">
        <v>0</v>
      </c>
      <c r="E39" s="743">
        <v>0</v>
      </c>
      <c r="F39" s="743">
        <v>0</v>
      </c>
      <c r="G39" s="743">
        <v>0</v>
      </c>
      <c r="H39" s="743">
        <v>0</v>
      </c>
      <c r="I39" s="743">
        <v>0</v>
      </c>
      <c r="J39" s="743">
        <v>0</v>
      </c>
      <c r="K39" s="743">
        <v>0</v>
      </c>
      <c r="L39" s="743">
        <v>0</v>
      </c>
      <c r="M39" s="743">
        <v>0</v>
      </c>
      <c r="N39" s="109">
        <f t="shared" si="4"/>
        <v>646201235.54999995</v>
      </c>
      <c r="O39" s="755">
        <v>736362200</v>
      </c>
      <c r="P39" s="743">
        <v>809997734</v>
      </c>
      <c r="Q39" s="745">
        <v>900362199.24000013</v>
      </c>
    </row>
    <row r="40" spans="1:17" ht="12.75" customHeight="1" x14ac:dyDescent="0.2">
      <c r="A40" s="87" t="s">
        <v>948</v>
      </c>
      <c r="B40" s="41"/>
      <c r="C40" s="763">
        <v>18296875.210000001</v>
      </c>
      <c r="D40" s="743">
        <v>0</v>
      </c>
      <c r="E40" s="743">
        <v>0</v>
      </c>
      <c r="F40" s="743">
        <v>0</v>
      </c>
      <c r="G40" s="743">
        <v>0</v>
      </c>
      <c r="H40" s="743">
        <v>0</v>
      </c>
      <c r="I40" s="743">
        <v>0</v>
      </c>
      <c r="J40" s="743">
        <v>0</v>
      </c>
      <c r="K40" s="743">
        <v>0</v>
      </c>
      <c r="L40" s="743">
        <v>0</v>
      </c>
      <c r="M40" s="743">
        <v>0</v>
      </c>
      <c r="N40" s="109">
        <f t="shared" si="4"/>
        <v>194516984.78999999</v>
      </c>
      <c r="O40" s="755">
        <v>212813860</v>
      </c>
      <c r="P40" s="743">
        <v>234095246.00000003</v>
      </c>
      <c r="Q40" s="745">
        <v>248140960.76000002</v>
      </c>
    </row>
    <row r="41" spans="1:17" ht="12.75" customHeight="1" x14ac:dyDescent="0.2">
      <c r="A41" s="87" t="s">
        <v>950</v>
      </c>
      <c r="B41" s="41"/>
      <c r="C41" s="763">
        <v>0</v>
      </c>
      <c r="D41" s="743">
        <v>0</v>
      </c>
      <c r="E41" s="743">
        <v>0</v>
      </c>
      <c r="F41" s="743">
        <v>0</v>
      </c>
      <c r="G41" s="743">
        <v>0</v>
      </c>
      <c r="H41" s="743">
        <v>0</v>
      </c>
      <c r="I41" s="743">
        <v>0</v>
      </c>
      <c r="J41" s="743">
        <v>0</v>
      </c>
      <c r="K41" s="743">
        <v>0</v>
      </c>
      <c r="L41" s="743">
        <v>0</v>
      </c>
      <c r="M41" s="743">
        <v>0</v>
      </c>
      <c r="N41" s="109">
        <f t="shared" si="4"/>
        <v>85331236</v>
      </c>
      <c r="O41" s="755">
        <v>85331236</v>
      </c>
      <c r="P41" s="743">
        <v>114556000</v>
      </c>
      <c r="Q41" s="745">
        <v>116824000</v>
      </c>
    </row>
    <row r="42" spans="1:17" ht="12.75" customHeight="1" x14ac:dyDescent="0.2">
      <c r="A42" s="87" t="s">
        <v>870</v>
      </c>
      <c r="B42" s="41"/>
      <c r="C42" s="763">
        <v>703715.47</v>
      </c>
      <c r="D42" s="743">
        <v>0</v>
      </c>
      <c r="E42" s="743">
        <v>0</v>
      </c>
      <c r="F42" s="743">
        <v>0</v>
      </c>
      <c r="G42" s="743">
        <v>0</v>
      </c>
      <c r="H42" s="743">
        <v>0</v>
      </c>
      <c r="I42" s="743">
        <v>0</v>
      </c>
      <c r="J42" s="743">
        <v>0</v>
      </c>
      <c r="K42" s="743">
        <v>0</v>
      </c>
      <c r="L42" s="743">
        <v>0</v>
      </c>
      <c r="M42" s="743">
        <v>0</v>
      </c>
      <c r="N42" s="109">
        <f t="shared" si="4"/>
        <v>754081116.52999997</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0</v>
      </c>
      <c r="J43" s="743">
        <v>0</v>
      </c>
      <c r="K43" s="743">
        <v>0</v>
      </c>
      <c r="L43" s="743">
        <v>0</v>
      </c>
      <c r="M43" s="743">
        <v>0</v>
      </c>
      <c r="N43" s="109">
        <f t="shared" si="4"/>
        <v>0</v>
      </c>
      <c r="O43" s="755"/>
      <c r="P43" s="743"/>
      <c r="Q43" s="745"/>
    </row>
    <row r="44" spans="1:17" ht="12.75" customHeight="1" x14ac:dyDescent="0.2">
      <c r="A44" s="87" t="s">
        <v>955</v>
      </c>
      <c r="B44" s="41"/>
      <c r="C44" s="763">
        <v>1140000</v>
      </c>
      <c r="D44" s="743">
        <v>0</v>
      </c>
      <c r="E44" s="743">
        <v>0</v>
      </c>
      <c r="F44" s="743">
        <v>0</v>
      </c>
      <c r="G44" s="743">
        <v>0</v>
      </c>
      <c r="H44" s="743">
        <v>0</v>
      </c>
      <c r="I44" s="743">
        <v>0</v>
      </c>
      <c r="J44" s="743">
        <v>0</v>
      </c>
      <c r="K44" s="743">
        <v>0</v>
      </c>
      <c r="L44" s="743">
        <v>0</v>
      </c>
      <c r="M44" s="743">
        <v>0</v>
      </c>
      <c r="N44" s="109">
        <f t="shared" si="4"/>
        <v>10360000</v>
      </c>
      <c r="O44" s="755">
        <v>11500000</v>
      </c>
      <c r="P44" s="743">
        <v>11500000</v>
      </c>
      <c r="Q44" s="745">
        <v>11500000</v>
      </c>
    </row>
    <row r="45" spans="1:17" ht="12.75" customHeight="1" x14ac:dyDescent="0.2">
      <c r="A45" s="87" t="s">
        <v>871</v>
      </c>
      <c r="B45" s="41"/>
      <c r="C45" s="763">
        <v>0</v>
      </c>
      <c r="D45" s="743">
        <v>0</v>
      </c>
      <c r="E45" s="743">
        <v>0</v>
      </c>
      <c r="F45" s="743">
        <v>0</v>
      </c>
      <c r="G45" s="743">
        <v>0</v>
      </c>
      <c r="H45" s="743">
        <v>0</v>
      </c>
      <c r="I45" s="743">
        <v>0</v>
      </c>
      <c r="J45" s="743">
        <v>0</v>
      </c>
      <c r="K45" s="743">
        <v>0</v>
      </c>
      <c r="L45" s="743">
        <v>0</v>
      </c>
      <c r="M45" s="743">
        <v>0</v>
      </c>
      <c r="N45" s="109">
        <f t="shared" si="4"/>
        <v>243092528</v>
      </c>
      <c r="O45" s="755">
        <v>243092528</v>
      </c>
      <c r="P45" s="743">
        <v>252282874</v>
      </c>
      <c r="Q45" s="745">
        <v>267776254</v>
      </c>
    </row>
    <row r="46" spans="1:17" ht="12.75" customHeight="1" x14ac:dyDescent="0.2">
      <c r="A46" s="89" t="s">
        <v>964</v>
      </c>
      <c r="B46" s="53">
        <f>SUM(B36:B45)</f>
        <v>0</v>
      </c>
      <c r="C46" s="478">
        <f>SUM(C36:C45)</f>
        <v>212723218.25</v>
      </c>
      <c r="D46" s="433">
        <f t="shared" ref="D46:Q46" si="5">SUM(D36:D45)</f>
        <v>0</v>
      </c>
      <c r="E46" s="433">
        <f t="shared" si="5"/>
        <v>0</v>
      </c>
      <c r="F46" s="433">
        <f t="shared" si="5"/>
        <v>0</v>
      </c>
      <c r="G46" s="433">
        <f t="shared" si="5"/>
        <v>0</v>
      </c>
      <c r="H46" s="433">
        <f t="shared" si="5"/>
        <v>0</v>
      </c>
      <c r="I46" s="433">
        <f t="shared" si="5"/>
        <v>0</v>
      </c>
      <c r="J46" s="433">
        <f t="shared" si="5"/>
        <v>0</v>
      </c>
      <c r="K46" s="433">
        <f t="shared" si="5"/>
        <v>0</v>
      </c>
      <c r="L46" s="433">
        <f t="shared" si="5"/>
        <v>0</v>
      </c>
      <c r="M46" s="433">
        <f t="shared" si="5"/>
        <v>0</v>
      </c>
      <c r="N46" s="511">
        <f t="shared" si="5"/>
        <v>2874557492.75</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0</v>
      </c>
      <c r="E49" s="743">
        <v>0</v>
      </c>
      <c r="F49" s="743">
        <v>0</v>
      </c>
      <c r="G49" s="743">
        <v>0</v>
      </c>
      <c r="H49" s="743">
        <v>0</v>
      </c>
      <c r="I49" s="743">
        <v>0</v>
      </c>
      <c r="J49" s="743">
        <v>0</v>
      </c>
      <c r="K49" s="743">
        <v>0</v>
      </c>
      <c r="L49" s="743">
        <v>0</v>
      </c>
      <c r="M49" s="743">
        <v>0</v>
      </c>
      <c r="N49" s="109">
        <f>O49-SUM(C49:M49)</f>
        <v>1731082144.3199997</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v>0</v>
      </c>
      <c r="I50" s="743">
        <v>0</v>
      </c>
      <c r="J50" s="743">
        <v>0</v>
      </c>
      <c r="K50" s="743">
        <v>0</v>
      </c>
      <c r="L50" s="743">
        <v>0</v>
      </c>
      <c r="M50" s="743">
        <v>0</v>
      </c>
      <c r="N50" s="109">
        <f>O50-SUM(C50:M50)</f>
        <v>43571381.130000003</v>
      </c>
      <c r="O50" s="755">
        <v>60000000</v>
      </c>
      <c r="P50" s="743">
        <v>64205000</v>
      </c>
      <c r="Q50" s="745">
        <v>262760000</v>
      </c>
    </row>
    <row r="51" spans="1:17" ht="12.75" customHeight="1" x14ac:dyDescent="0.2">
      <c r="A51" s="87" t="s">
        <v>2</v>
      </c>
      <c r="B51" s="41"/>
      <c r="C51" s="763">
        <v>356009665.40000004</v>
      </c>
      <c r="D51" s="743"/>
      <c r="E51" s="743"/>
      <c r="F51" s="743"/>
      <c r="G51" s="743"/>
      <c r="H51" s="743">
        <v>0</v>
      </c>
      <c r="I51" s="743">
        <v>0</v>
      </c>
      <c r="J51" s="743">
        <v>0</v>
      </c>
      <c r="K51" s="743">
        <v>0</v>
      </c>
      <c r="L51" s="743">
        <v>0</v>
      </c>
      <c r="M51" s="743">
        <v>0</v>
      </c>
      <c r="N51" s="109">
        <f>O51-SUM(C51:M51)</f>
        <v>-236009665.40000004</v>
      </c>
      <c r="O51" s="755">
        <v>120000000</v>
      </c>
      <c r="P51" s="743">
        <v>30000000</v>
      </c>
      <c r="Q51" s="745">
        <v>30000000</v>
      </c>
    </row>
    <row r="52" spans="1:17" ht="12.75" customHeight="1" x14ac:dyDescent="0.2">
      <c r="A52" s="321" t="s">
        <v>947</v>
      </c>
      <c r="B52" s="322">
        <f t="shared" ref="B52:Q52" si="6">SUM(B46:B51)</f>
        <v>0</v>
      </c>
      <c r="C52" s="261">
        <f t="shared" si="6"/>
        <v>670459171.6400001</v>
      </c>
      <c r="D52" s="74">
        <f t="shared" si="6"/>
        <v>0</v>
      </c>
      <c r="E52" s="74">
        <f t="shared" si="6"/>
        <v>0</v>
      </c>
      <c r="F52" s="74">
        <f t="shared" si="6"/>
        <v>0</v>
      </c>
      <c r="G52" s="74">
        <f t="shared" si="6"/>
        <v>0</v>
      </c>
      <c r="H52" s="74">
        <f t="shared" si="6"/>
        <v>0</v>
      </c>
      <c r="I52" s="74">
        <f t="shared" si="6"/>
        <v>0</v>
      </c>
      <c r="J52" s="74">
        <f t="shared" si="6"/>
        <v>0</v>
      </c>
      <c r="K52" s="74">
        <f t="shared" si="6"/>
        <v>0</v>
      </c>
      <c r="L52" s="74">
        <f t="shared" si="6"/>
        <v>0</v>
      </c>
      <c r="M52" s="74">
        <f t="shared" si="6"/>
        <v>0</v>
      </c>
      <c r="N52" s="323">
        <f t="shared" si="6"/>
        <v>4413201352.8000002</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187021079.81999993</v>
      </c>
      <c r="D54" s="51">
        <f t="shared" si="7"/>
        <v>0</v>
      </c>
      <c r="E54" s="51">
        <f t="shared" si="7"/>
        <v>0</v>
      </c>
      <c r="F54" s="51">
        <f t="shared" si="7"/>
        <v>0</v>
      </c>
      <c r="G54" s="51">
        <f t="shared" si="7"/>
        <v>0</v>
      </c>
      <c r="H54" s="51">
        <f t="shared" si="7"/>
        <v>0</v>
      </c>
      <c r="I54" s="51">
        <f t="shared" si="7"/>
        <v>0</v>
      </c>
      <c r="J54" s="51">
        <f t="shared" si="7"/>
        <v>0</v>
      </c>
      <c r="K54" s="51">
        <f t="shared" si="7"/>
        <v>0</v>
      </c>
      <c r="L54" s="51">
        <f t="shared" si="7"/>
        <v>0</v>
      </c>
      <c r="M54" s="51">
        <f t="shared" si="7"/>
        <v>0</v>
      </c>
      <c r="N54" s="111">
        <f t="shared" si="7"/>
        <v>-180439484.26000023</v>
      </c>
      <c r="O54" s="52">
        <f t="shared" si="7"/>
        <v>6581595.5600004196</v>
      </c>
      <c r="P54" s="51">
        <f t="shared" si="7"/>
        <v>81606605.920000076</v>
      </c>
      <c r="Q54" s="195">
        <f t="shared" si="7"/>
        <v>-77069522.554400444</v>
      </c>
    </row>
    <row r="55" spans="1:17" ht="12.75" customHeight="1" x14ac:dyDescent="0.2">
      <c r="A55" s="87" t="s">
        <v>587</v>
      </c>
      <c r="B55" s="41"/>
      <c r="C55" s="763">
        <v>61619929.729999997</v>
      </c>
      <c r="D55" s="45">
        <f>C56</f>
        <v>248641009.54999992</v>
      </c>
      <c r="E55" s="45">
        <f t="shared" ref="E55:N55" si="8">D56</f>
        <v>248641009.54999992</v>
      </c>
      <c r="F55" s="45">
        <f t="shared" si="8"/>
        <v>248641009.54999992</v>
      </c>
      <c r="G55" s="45">
        <f t="shared" si="8"/>
        <v>248641009.54999992</v>
      </c>
      <c r="H55" s="45">
        <f t="shared" si="8"/>
        <v>248641009.54999992</v>
      </c>
      <c r="I55" s="45">
        <f t="shared" si="8"/>
        <v>248641009.54999992</v>
      </c>
      <c r="J55" s="45">
        <f t="shared" si="8"/>
        <v>248641009.54999992</v>
      </c>
      <c r="K55" s="45">
        <f t="shared" si="8"/>
        <v>248641009.54999992</v>
      </c>
      <c r="L55" s="45">
        <f t="shared" si="8"/>
        <v>248641009.54999992</v>
      </c>
      <c r="M55" s="45">
        <f t="shared" si="8"/>
        <v>248641009.54999992</v>
      </c>
      <c r="N55" s="109">
        <f t="shared" si="8"/>
        <v>248641009.54999992</v>
      </c>
      <c r="O55" s="47">
        <f>C55</f>
        <v>61619929.729999997</v>
      </c>
      <c r="P55" s="45">
        <f>O56</f>
        <v>68201525.290000409</v>
      </c>
      <c r="Q55" s="145">
        <f>P56</f>
        <v>149808131.21000049</v>
      </c>
    </row>
    <row r="56" spans="1:17" ht="12.75" customHeight="1" x14ac:dyDescent="0.2">
      <c r="A56" s="324" t="s">
        <v>689</v>
      </c>
      <c r="B56" s="177"/>
      <c r="C56" s="302">
        <f>C54+C55</f>
        <v>248641009.54999992</v>
      </c>
      <c r="D56" s="116">
        <f>D54+D55</f>
        <v>248641009.54999992</v>
      </c>
      <c r="E56" s="116">
        <f t="shared" ref="E56:N56" si="9">E54+E55</f>
        <v>248641009.54999992</v>
      </c>
      <c r="F56" s="116">
        <f t="shared" si="9"/>
        <v>248641009.54999992</v>
      </c>
      <c r="G56" s="116">
        <f t="shared" si="9"/>
        <v>248641009.54999992</v>
      </c>
      <c r="H56" s="116">
        <f t="shared" si="9"/>
        <v>248641009.54999992</v>
      </c>
      <c r="I56" s="116">
        <f t="shared" si="9"/>
        <v>248641009.54999992</v>
      </c>
      <c r="J56" s="116">
        <f t="shared" si="9"/>
        <v>248641009.54999992</v>
      </c>
      <c r="K56" s="116">
        <f t="shared" si="9"/>
        <v>248641009.54999992</v>
      </c>
      <c r="L56" s="116">
        <f t="shared" si="9"/>
        <v>248641009.54999992</v>
      </c>
      <c r="M56" s="116">
        <f t="shared" si="9"/>
        <v>248641009.54999992</v>
      </c>
      <c r="N56" s="320">
        <f t="shared" si="9"/>
        <v>68201525.289999694</v>
      </c>
      <c r="O56" s="117">
        <f>O54+O55</f>
        <v>68201525.290000409</v>
      </c>
      <c r="P56" s="116">
        <f>P54+P55</f>
        <v>149808131.21000049</v>
      </c>
      <c r="Q56" s="191">
        <f>Q54+Q55</f>
        <v>72738608.655600041</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0</v>
      </c>
      <c r="F65" s="86">
        <f t="shared" si="10"/>
        <v>0</v>
      </c>
      <c r="G65" s="86">
        <f t="shared" si="10"/>
        <v>0</v>
      </c>
      <c r="H65" s="86">
        <f t="shared" si="10"/>
        <v>0</v>
      </c>
      <c r="I65" s="86">
        <f t="shared" si="10"/>
        <v>0</v>
      </c>
      <c r="J65" s="86">
        <f t="shared" si="10"/>
        <v>0</v>
      </c>
      <c r="K65" s="86">
        <f t="shared" si="10"/>
        <v>0</v>
      </c>
      <c r="L65" s="86">
        <f t="shared" si="10"/>
        <v>0</v>
      </c>
      <c r="M65" s="86"/>
      <c r="N65" s="86">
        <f>N46+N64</f>
        <v>2874557492.75</v>
      </c>
      <c r="O65" s="86">
        <f t="shared" si="10"/>
        <v>3087280711</v>
      </c>
      <c r="P65" s="86">
        <f t="shared" si="10"/>
        <v>3317305046</v>
      </c>
    </row>
    <row r="66" spans="5:16" x14ac:dyDescent="0.2">
      <c r="E66" s="86">
        <f t="shared" ref="E66:P66" si="11">E54-E64</f>
        <v>0</v>
      </c>
      <c r="F66" s="86">
        <f t="shared" si="11"/>
        <v>0</v>
      </c>
      <c r="G66" s="86">
        <f t="shared" si="11"/>
        <v>0</v>
      </c>
      <c r="H66" s="86">
        <f t="shared" si="11"/>
        <v>0</v>
      </c>
      <c r="I66" s="86">
        <f t="shared" si="11"/>
        <v>0</v>
      </c>
      <c r="J66" s="86">
        <f t="shared" si="11"/>
        <v>0</v>
      </c>
      <c r="K66" s="86">
        <f t="shared" si="11"/>
        <v>0</v>
      </c>
      <c r="L66" s="86">
        <f t="shared" si="11"/>
        <v>0</v>
      </c>
      <c r="M66" s="86">
        <f>M54-M64</f>
        <v>0</v>
      </c>
      <c r="N66" s="86">
        <f>N54-N64</f>
        <v>-180439484.26000023</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8"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26" activePane="bottomRight" state="frozen"/>
      <selection pane="topRight"/>
      <selection pane="bottomLeft"/>
      <selection pane="bottomRight" activeCell="G35" sqref="G35"/>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"&amp;S71P&amp; " - "&amp;Head57</f>
        <v>LIM354 Polokwane - NOT REQUIRED - municipality does not have entities or this is the parent municipality's budget - M01 July</v>
      </c>
      <c r="B1" s="1031"/>
      <c r="C1" s="1031"/>
      <c r="D1" s="1031"/>
      <c r="E1" s="1031"/>
      <c r="F1" s="1031"/>
      <c r="G1" s="1031"/>
      <c r="H1" s="1031"/>
      <c r="I1" s="1031"/>
      <c r="J1" s="1031"/>
      <c r="K1" s="1031"/>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v>360161268</v>
      </c>
      <c r="D6" s="755">
        <v>461484000</v>
      </c>
      <c r="E6" s="743">
        <v>431818000</v>
      </c>
      <c r="F6" s="743">
        <f>'C4-FinPerf RE'!F6</f>
        <v>41329086.019999996</v>
      </c>
      <c r="G6" s="743">
        <f>'C4-FinPerf RE'!G6</f>
        <v>41329086.019999996</v>
      </c>
      <c r="H6" s="743">
        <f t="shared" ref="H6:H20" si="0">E6</f>
        <v>431818000</v>
      </c>
      <c r="I6" s="45">
        <f t="shared" ref="I6:I21" si="1">G6-H6</f>
        <v>-390488913.98000002</v>
      </c>
      <c r="J6" s="333">
        <f>IF(I6=0,"",I6/H6)</f>
        <v>-0.90429049733915678</v>
      </c>
      <c r="K6" s="745">
        <f>E6</f>
        <v>431818000</v>
      </c>
    </row>
    <row r="7" spans="1:11" ht="12.75" customHeight="1" x14ac:dyDescent="0.2">
      <c r="A7" s="40" t="str">
        <f>'C4-FinPerf RE'!A7</f>
        <v>Service charges - electricity revenue</v>
      </c>
      <c r="B7" s="170"/>
      <c r="C7" s="758">
        <v>900175540</v>
      </c>
      <c r="D7" s="755">
        <v>1054944000</v>
      </c>
      <c r="E7" s="743">
        <v>1054944000</v>
      </c>
      <c r="F7" s="743">
        <f>'C4-FinPerf RE'!F7</f>
        <v>73493930.590000004</v>
      </c>
      <c r="G7" s="743">
        <f>'C4-FinPerf RE'!G7</f>
        <v>73493930.590000004</v>
      </c>
      <c r="H7" s="743">
        <f t="shared" si="0"/>
        <v>1054944000</v>
      </c>
      <c r="I7" s="45">
        <f t="shared" si="1"/>
        <v>-981450069.40999997</v>
      </c>
      <c r="J7" s="333">
        <f t="shared" ref="J7:J22" si="2">IF(I7=0,"",I7/H7)</f>
        <v>-0.93033380862870441</v>
      </c>
      <c r="K7" s="745">
        <f t="shared" ref="K7:K20" si="3">E7</f>
        <v>1054944000</v>
      </c>
    </row>
    <row r="8" spans="1:11" ht="12.75" customHeight="1" x14ac:dyDescent="0.2">
      <c r="A8" s="87" t="str">
        <f>'C4-FinPerf RE'!A8</f>
        <v>Service charges - water revenue</v>
      </c>
      <c r="B8" s="172"/>
      <c r="C8" s="758">
        <v>106028977</v>
      </c>
      <c r="D8" s="755">
        <v>248450000</v>
      </c>
      <c r="E8" s="743">
        <v>277273000</v>
      </c>
      <c r="F8" s="743">
        <f>'C4-FinPerf RE'!F8</f>
        <v>26774384.760000002</v>
      </c>
      <c r="G8" s="743">
        <f>'C4-FinPerf RE'!G8</f>
        <v>26774384.760000002</v>
      </c>
      <c r="H8" s="743">
        <f t="shared" si="0"/>
        <v>277273000</v>
      </c>
      <c r="I8" s="45">
        <f t="shared" si="1"/>
        <v>-250498615.24000001</v>
      </c>
      <c r="J8" s="333">
        <f t="shared" si="2"/>
        <v>-0.90343674010812447</v>
      </c>
      <c r="K8" s="745">
        <f t="shared" si="3"/>
        <v>277273000</v>
      </c>
    </row>
    <row r="9" spans="1:11" ht="12.75" customHeight="1" x14ac:dyDescent="0.2">
      <c r="A9" s="87" t="str">
        <f>'C4-FinPerf RE'!A9</f>
        <v>Service charges - sanitation revenue</v>
      </c>
      <c r="B9" s="172"/>
      <c r="C9" s="758">
        <v>97777381</v>
      </c>
      <c r="D9" s="755">
        <v>102528000</v>
      </c>
      <c r="E9" s="743">
        <v>123864000</v>
      </c>
      <c r="F9" s="743">
        <f>'C4-FinPerf RE'!F9</f>
        <v>9611533.8099999987</v>
      </c>
      <c r="G9" s="743">
        <f>'C4-FinPerf RE'!G9</f>
        <v>9611533.8099999987</v>
      </c>
      <c r="H9" s="743">
        <f t="shared" si="0"/>
        <v>123864000</v>
      </c>
      <c r="I9" s="45">
        <f t="shared" si="1"/>
        <v>-114252466.19</v>
      </c>
      <c r="J9" s="333">
        <f t="shared" si="2"/>
        <v>-0.92240252365497644</v>
      </c>
      <c r="K9" s="745">
        <f t="shared" si="3"/>
        <v>123864000</v>
      </c>
    </row>
    <row r="10" spans="1:11" ht="12.75" customHeight="1" x14ac:dyDescent="0.2">
      <c r="A10" s="87" t="str">
        <f>'C4-FinPerf RE'!A10</f>
        <v>Service charges - refuse revenue</v>
      </c>
      <c r="B10" s="172"/>
      <c r="C10" s="758">
        <v>247961287</v>
      </c>
      <c r="D10" s="755">
        <v>112948000</v>
      </c>
      <c r="E10" s="743">
        <v>118636000</v>
      </c>
      <c r="F10" s="743">
        <f>'C4-FinPerf RE'!F10</f>
        <v>9605852.8399999999</v>
      </c>
      <c r="G10" s="743">
        <f>'C4-FinPerf RE'!G10</f>
        <v>9605852.8399999999</v>
      </c>
      <c r="H10" s="743">
        <f t="shared" si="0"/>
        <v>118636000</v>
      </c>
      <c r="I10" s="45">
        <f t="shared" si="1"/>
        <v>-109030147.16</v>
      </c>
      <c r="J10" s="333">
        <f t="shared" si="2"/>
        <v>-0.91903087730537103</v>
      </c>
      <c r="K10" s="745">
        <f t="shared" si="3"/>
        <v>118636000</v>
      </c>
    </row>
    <row r="11" spans="1:11" ht="12.75" customHeight="1" x14ac:dyDescent="0.2">
      <c r="A11" s="87" t="str">
        <f>'C4-FinPerf RE'!A11</f>
        <v>Service charges - other</v>
      </c>
      <c r="B11" s="172"/>
      <c r="C11" s="758"/>
      <c r="D11" s="755">
        <v>0</v>
      </c>
      <c r="E11" s="743">
        <v>0</v>
      </c>
      <c r="F11" s="743">
        <f>'C4-FinPerf RE'!F11</f>
        <v>0</v>
      </c>
      <c r="G11" s="743">
        <f>'C4-FinPerf RE'!G11</f>
        <v>0</v>
      </c>
      <c r="H11" s="743">
        <f t="shared" si="0"/>
        <v>0</v>
      </c>
      <c r="I11" s="45">
        <f t="shared" si="1"/>
        <v>0</v>
      </c>
      <c r="J11" s="333" t="str">
        <f t="shared" si="2"/>
        <v/>
      </c>
      <c r="K11" s="745">
        <f t="shared" si="3"/>
        <v>0</v>
      </c>
    </row>
    <row r="12" spans="1:11" ht="12.75" customHeight="1" x14ac:dyDescent="0.2">
      <c r="A12" s="87" t="str">
        <f>'C4-FinPerf RE'!A12</f>
        <v>Rental of facilities and equipment</v>
      </c>
      <c r="B12" s="172"/>
      <c r="C12" s="758">
        <v>15730400</v>
      </c>
      <c r="D12" s="755">
        <v>37297000</v>
      </c>
      <c r="E12" s="743">
        <v>37297000</v>
      </c>
      <c r="F12" s="743">
        <f>'C4-FinPerf RE'!F12</f>
        <v>546686.03</v>
      </c>
      <c r="G12" s="743">
        <f>'C4-FinPerf RE'!G12</f>
        <v>546686.03</v>
      </c>
      <c r="H12" s="743">
        <f t="shared" si="0"/>
        <v>37297000</v>
      </c>
      <c r="I12" s="45">
        <f t="shared" si="1"/>
        <v>-36750313.969999999</v>
      </c>
      <c r="J12" s="333">
        <f t="shared" si="2"/>
        <v>-0.9853423591709789</v>
      </c>
      <c r="K12" s="745">
        <f t="shared" si="3"/>
        <v>37297000</v>
      </c>
    </row>
    <row r="13" spans="1:11" ht="12.75" customHeight="1" x14ac:dyDescent="0.2">
      <c r="A13" s="87" t="str">
        <f>'C4-FinPerf RE'!A13</f>
        <v>Interest earned - external investments</v>
      </c>
      <c r="B13" s="172"/>
      <c r="C13" s="758">
        <v>29592699</v>
      </c>
      <c r="D13" s="755">
        <v>47281000</v>
      </c>
      <c r="E13" s="743">
        <v>27281000</v>
      </c>
      <c r="F13" s="743">
        <f>'C4-FinPerf RE'!F13</f>
        <v>1551166.67</v>
      </c>
      <c r="G13" s="743">
        <f>'C4-FinPerf RE'!G13</f>
        <v>1551166.67</v>
      </c>
      <c r="H13" s="743">
        <f t="shared" si="0"/>
        <v>27281000</v>
      </c>
      <c r="I13" s="45">
        <f t="shared" si="1"/>
        <v>-25729833.329999998</v>
      </c>
      <c r="J13" s="333">
        <f t="shared" si="2"/>
        <v>-0.94314113595542681</v>
      </c>
      <c r="K13" s="745">
        <f t="shared" si="3"/>
        <v>27281000</v>
      </c>
    </row>
    <row r="14" spans="1:11" ht="12.75" customHeight="1" x14ac:dyDescent="0.2">
      <c r="A14" s="87" t="str">
        <f>'C4-FinPerf RE'!A14</f>
        <v>Interest earned - outstanding debtors</v>
      </c>
      <c r="B14" s="172"/>
      <c r="C14" s="758">
        <v>77045047</v>
      </c>
      <c r="D14" s="755">
        <v>80000000</v>
      </c>
      <c r="E14" s="743">
        <v>80000000</v>
      </c>
      <c r="F14" s="743">
        <f>'C4-FinPerf RE'!F14</f>
        <v>8662844.0399999991</v>
      </c>
      <c r="G14" s="743">
        <f>'C4-FinPerf RE'!G14</f>
        <v>8662844.0399999991</v>
      </c>
      <c r="H14" s="743">
        <f t="shared" si="0"/>
        <v>80000000</v>
      </c>
      <c r="I14" s="45">
        <f t="shared" si="1"/>
        <v>-71337155.960000008</v>
      </c>
      <c r="J14" s="333">
        <f t="shared" si="2"/>
        <v>-0.89171444950000012</v>
      </c>
      <c r="K14" s="745">
        <f t="shared" si="3"/>
        <v>80000000</v>
      </c>
    </row>
    <row r="15" spans="1:11" ht="12.75" customHeight="1" x14ac:dyDescent="0.2">
      <c r="A15" s="87" t="str">
        <f>'C4-FinPerf RE'!A15</f>
        <v>Dividends received</v>
      </c>
      <c r="B15" s="172"/>
      <c r="C15" s="758">
        <v>0</v>
      </c>
      <c r="D15" s="755"/>
      <c r="E15" s="743">
        <v>0</v>
      </c>
      <c r="F15" s="743">
        <f>'C4-FinPerf RE'!F15</f>
        <v>0</v>
      </c>
      <c r="G15" s="743">
        <f>'C4-FinPerf RE'!G15</f>
        <v>0</v>
      </c>
      <c r="H15" s="743">
        <f t="shared" si="0"/>
        <v>0</v>
      </c>
      <c r="I15" s="45">
        <f t="shared" si="1"/>
        <v>0</v>
      </c>
      <c r="J15" s="333" t="str">
        <f t="shared" si="2"/>
        <v/>
      </c>
      <c r="K15" s="745">
        <f t="shared" si="3"/>
        <v>0</v>
      </c>
    </row>
    <row r="16" spans="1:11" ht="12.75" customHeight="1" x14ac:dyDescent="0.2">
      <c r="A16" s="87" t="str">
        <f>'C4-FinPerf RE'!A16</f>
        <v>Fines, penalties and forfeits</v>
      </c>
      <c r="B16" s="172"/>
      <c r="C16" s="758">
        <v>20985069</v>
      </c>
      <c r="D16" s="755">
        <v>16000000</v>
      </c>
      <c r="E16" s="743">
        <v>16000000</v>
      </c>
      <c r="F16" s="743">
        <f>'C4-FinPerf RE'!F16</f>
        <v>98220.61</v>
      </c>
      <c r="G16" s="743">
        <f>'C4-FinPerf RE'!G16</f>
        <v>98220.61</v>
      </c>
      <c r="H16" s="743">
        <f t="shared" si="0"/>
        <v>16000000</v>
      </c>
      <c r="I16" s="45">
        <f t="shared" si="1"/>
        <v>-15901779.390000001</v>
      </c>
      <c r="J16" s="333">
        <f t="shared" si="2"/>
        <v>-0.99386121187499998</v>
      </c>
      <c r="K16" s="745">
        <f t="shared" si="3"/>
        <v>16000000</v>
      </c>
    </row>
    <row r="17" spans="1:11" ht="12.75" customHeight="1" x14ac:dyDescent="0.2">
      <c r="A17" s="87" t="str">
        <f>'C4-FinPerf RE'!A17</f>
        <v>Licences and permits</v>
      </c>
      <c r="B17" s="172"/>
      <c r="C17" s="758">
        <v>11251033</v>
      </c>
      <c r="D17" s="755">
        <v>14890000</v>
      </c>
      <c r="E17" s="743">
        <v>14890000</v>
      </c>
      <c r="F17" s="743">
        <f>'C4-FinPerf RE'!F17</f>
        <v>1108559.28</v>
      </c>
      <c r="G17" s="743">
        <f>'C4-FinPerf RE'!G17</f>
        <v>1108559.28</v>
      </c>
      <c r="H17" s="743">
        <f t="shared" si="0"/>
        <v>14890000</v>
      </c>
      <c r="I17" s="45">
        <f t="shared" si="1"/>
        <v>-13781440.720000001</v>
      </c>
      <c r="J17" s="333">
        <f t="shared" si="2"/>
        <v>-0.92555008193418409</v>
      </c>
      <c r="K17" s="745">
        <f t="shared" si="3"/>
        <v>14890000</v>
      </c>
    </row>
    <row r="18" spans="1:11" ht="12.75" customHeight="1" x14ac:dyDescent="0.2">
      <c r="A18" s="87" t="str">
        <f>'C4-FinPerf RE'!A18</f>
        <v>Agency services</v>
      </c>
      <c r="B18" s="172"/>
      <c r="C18" s="758">
        <v>17345085</v>
      </c>
      <c r="D18" s="755">
        <v>25000000</v>
      </c>
      <c r="E18" s="743">
        <v>25000000</v>
      </c>
      <c r="F18" s="743">
        <f>'C4-FinPerf RE'!F18</f>
        <v>9134540.0899999999</v>
      </c>
      <c r="G18" s="743">
        <f>'C4-FinPerf RE'!G18</f>
        <v>9134540.0899999999</v>
      </c>
      <c r="H18" s="743">
        <f t="shared" si="0"/>
        <v>25000000</v>
      </c>
      <c r="I18" s="45">
        <f t="shared" si="1"/>
        <v>-15865459.91</v>
      </c>
      <c r="J18" s="333">
        <f t="shared" si="2"/>
        <v>-0.63461839639999995</v>
      </c>
      <c r="K18" s="745">
        <f t="shared" si="3"/>
        <v>25000000</v>
      </c>
    </row>
    <row r="19" spans="1:11" ht="12.75" customHeight="1" x14ac:dyDescent="0.2">
      <c r="A19" s="87" t="str">
        <f>'C4-FinPerf RE'!A19</f>
        <v>Transfers and subsidies</v>
      </c>
      <c r="B19" s="172"/>
      <c r="C19" s="758">
        <v>939879358</v>
      </c>
      <c r="D19" s="755">
        <v>1008780000</v>
      </c>
      <c r="E19" s="743">
        <v>978326000</v>
      </c>
      <c r="F19" s="743">
        <f>'C4-FinPerf RE'!F19</f>
        <v>385169274.88999999</v>
      </c>
      <c r="G19" s="743">
        <f>'C4-FinPerf RE'!G19</f>
        <v>385169274.88999999</v>
      </c>
      <c r="H19" s="743">
        <f t="shared" si="0"/>
        <v>978326000</v>
      </c>
      <c r="I19" s="45">
        <f t="shared" si="1"/>
        <v>-593156725.11000001</v>
      </c>
      <c r="J19" s="333">
        <f t="shared" si="2"/>
        <v>-0.60629761971980711</v>
      </c>
      <c r="K19" s="745">
        <f t="shared" si="3"/>
        <v>978326000</v>
      </c>
    </row>
    <row r="20" spans="1:11" ht="12.75" customHeight="1" x14ac:dyDescent="0.2">
      <c r="A20" s="87" t="str">
        <f>'C4-FinPerf RE'!A20</f>
        <v>Other revenue</v>
      </c>
      <c r="B20" s="172"/>
      <c r="C20" s="758">
        <v>113677457</v>
      </c>
      <c r="D20" s="755">
        <v>424952000</v>
      </c>
      <c r="E20" s="743">
        <v>399618496</v>
      </c>
      <c r="F20" s="743">
        <f>'C4-FinPerf RE'!F20</f>
        <v>1213503.55</v>
      </c>
      <c r="G20" s="743">
        <f>'C4-FinPerf RE'!G20</f>
        <v>1213503.55</v>
      </c>
      <c r="H20" s="743">
        <f t="shared" si="0"/>
        <v>399618496</v>
      </c>
      <c r="I20" s="45">
        <f t="shared" si="1"/>
        <v>-398404992.44999999</v>
      </c>
      <c r="J20" s="333">
        <f t="shared" si="2"/>
        <v>-0.9969633448848173</v>
      </c>
      <c r="K20" s="745">
        <f t="shared" si="3"/>
        <v>399618496</v>
      </c>
    </row>
    <row r="21" spans="1:11" ht="12.75" customHeight="1" x14ac:dyDescent="0.2">
      <c r="A21" s="40" t="str">
        <f>'C4-FinPerf RE'!A21</f>
        <v>Gains on disposal of PPE</v>
      </c>
      <c r="B21" s="170"/>
      <c r="C21" s="758"/>
      <c r="D21" s="755"/>
      <c r="E21" s="743">
        <v>0</v>
      </c>
      <c r="F21" s="743">
        <f>'C4-FinPerf RE'!F21</f>
        <v>0</v>
      </c>
      <c r="G21" s="743">
        <f>'C4-FinPerf RE'!G21</f>
        <v>0</v>
      </c>
      <c r="H21" s="743">
        <f t="shared" ref="H21" si="4">E21/12*8</f>
        <v>0</v>
      </c>
      <c r="I21" s="45">
        <f t="shared" si="1"/>
        <v>0</v>
      </c>
      <c r="J21" s="333" t="str">
        <f t="shared" si="2"/>
        <v/>
      </c>
      <c r="K21" s="745"/>
    </row>
    <row r="22" spans="1:11" ht="12.75" customHeight="1" x14ac:dyDescent="0.2">
      <c r="A22" s="551" t="s">
        <v>140</v>
      </c>
      <c r="B22" s="551"/>
      <c r="C22" s="244">
        <f t="shared" ref="C22:H22" si="5">SUM(C6:C21)</f>
        <v>2937610601</v>
      </c>
      <c r="D22" s="75">
        <f t="shared" si="5"/>
        <v>3634554000</v>
      </c>
      <c r="E22" s="74">
        <f t="shared" si="5"/>
        <v>3584947496</v>
      </c>
      <c r="F22" s="74">
        <f t="shared" si="5"/>
        <v>568299583.17999995</v>
      </c>
      <c r="G22" s="74">
        <f t="shared" si="5"/>
        <v>568299583.17999995</v>
      </c>
      <c r="H22" s="74">
        <f t="shared" si="5"/>
        <v>3584947496</v>
      </c>
      <c r="I22" s="74">
        <f>G22-H22</f>
        <v>-3016647912.8200002</v>
      </c>
      <c r="J22" s="334">
        <f t="shared" si="2"/>
        <v>-0.84147617676016317</v>
      </c>
      <c r="K22" s="146">
        <f>SUM(K6:K21)</f>
        <v>3584947496</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v>760451343</v>
      </c>
      <c r="D25" s="755">
        <v>817423000</v>
      </c>
      <c r="E25" s="743">
        <v>852666657</v>
      </c>
      <c r="F25" s="743">
        <f>'C4-FinPerf RE'!F25</f>
        <v>66737389.730000012</v>
      </c>
      <c r="G25" s="743">
        <f>'C4-FinPerf RE'!G25</f>
        <v>66737389.730000012</v>
      </c>
      <c r="H25" s="743">
        <f t="shared" ref="H25:H35" si="6">E25</f>
        <v>852666657</v>
      </c>
      <c r="I25" s="45">
        <f t="shared" ref="I25:I44" si="7">G25-H25</f>
        <v>-785929267.26999998</v>
      </c>
      <c r="J25" s="333">
        <f t="shared" ref="J25:J44" si="8">IF(I25=0,"",I25/H25)</f>
        <v>-0.92173097284605088</v>
      </c>
      <c r="K25" s="745">
        <f t="shared" ref="K25:K34" si="9">E25</f>
        <v>852666657</v>
      </c>
    </row>
    <row r="26" spans="1:11" ht="12.75" customHeight="1" x14ac:dyDescent="0.2">
      <c r="A26" s="40" t="str">
        <f>'C4-FinPerf RE'!A26</f>
        <v>Remuneration of councillors</v>
      </c>
      <c r="B26" s="170"/>
      <c r="C26" s="758">
        <v>36190111</v>
      </c>
      <c r="D26" s="755">
        <v>40518000</v>
      </c>
      <c r="E26" s="743">
        <v>40518000</v>
      </c>
      <c r="F26" s="743">
        <f>'C4-FinPerf RE'!F26</f>
        <v>3220210.82</v>
      </c>
      <c r="G26" s="743">
        <f>'C4-FinPerf RE'!G26</f>
        <v>3220210.82</v>
      </c>
      <c r="H26" s="743">
        <f t="shared" si="6"/>
        <v>40518000</v>
      </c>
      <c r="I26" s="45">
        <f t="shared" si="7"/>
        <v>-37297789.18</v>
      </c>
      <c r="J26" s="333">
        <f t="shared" si="8"/>
        <v>-0.92052394441976404</v>
      </c>
      <c r="K26" s="745">
        <f t="shared" si="9"/>
        <v>40518000</v>
      </c>
    </row>
    <row r="27" spans="1:11" ht="12.75" customHeight="1" x14ac:dyDescent="0.2">
      <c r="A27" s="40" t="str">
        <f>'C4-FinPerf RE'!A27</f>
        <v>Debt impairment</v>
      </c>
      <c r="B27" s="172"/>
      <c r="C27" s="758">
        <v>151266404</v>
      </c>
      <c r="D27" s="755">
        <v>235000000</v>
      </c>
      <c r="E27" s="743">
        <v>200000000</v>
      </c>
      <c r="F27" s="743">
        <f>'C4-FinPerf RE'!F27</f>
        <v>16666667</v>
      </c>
      <c r="G27" s="743">
        <f>'C4-FinPerf RE'!G27</f>
        <v>16666667</v>
      </c>
      <c r="H27" s="743">
        <f t="shared" si="6"/>
        <v>200000000</v>
      </c>
      <c r="I27" s="45">
        <f t="shared" si="7"/>
        <v>-183333333</v>
      </c>
      <c r="J27" s="333">
        <f t="shared" si="8"/>
        <v>-0.91666666500000005</v>
      </c>
      <c r="K27" s="745">
        <f t="shared" si="9"/>
        <v>200000000</v>
      </c>
    </row>
    <row r="28" spans="1:11" ht="12.75" customHeight="1" x14ac:dyDescent="0.2">
      <c r="A28" s="40" t="str">
        <f>'C4-FinPerf RE'!A28</f>
        <v>Depreciation &amp; asset impairment</v>
      </c>
      <c r="B28" s="172"/>
      <c r="C28" s="758">
        <v>885858301</v>
      </c>
      <c r="D28" s="755">
        <v>190000000</v>
      </c>
      <c r="E28" s="743">
        <v>190000000</v>
      </c>
      <c r="F28" s="743">
        <f>'C4-FinPerf RE'!F28</f>
        <v>19749999</v>
      </c>
      <c r="G28" s="743">
        <f>'C4-FinPerf RE'!G28</f>
        <v>19749999</v>
      </c>
      <c r="H28" s="743">
        <f t="shared" si="6"/>
        <v>190000000</v>
      </c>
      <c r="I28" s="45">
        <f t="shared" si="7"/>
        <v>-170250001</v>
      </c>
      <c r="J28" s="333">
        <f t="shared" si="8"/>
        <v>-0.89605263684210523</v>
      </c>
      <c r="K28" s="745">
        <f t="shared" si="9"/>
        <v>190000000</v>
      </c>
    </row>
    <row r="29" spans="1:11" ht="12.75" customHeight="1" x14ac:dyDescent="0.2">
      <c r="A29" s="40" t="str">
        <f>'C4-FinPerf RE'!A29</f>
        <v>Finance charges</v>
      </c>
      <c r="B29" s="172"/>
      <c r="C29" s="758">
        <v>63644729</v>
      </c>
      <c r="D29" s="755">
        <v>107500000</v>
      </c>
      <c r="E29" s="743">
        <v>82500000</v>
      </c>
      <c r="F29" s="743">
        <f>'C4-FinPerf RE'!F29</f>
        <v>32464062.57</v>
      </c>
      <c r="G29" s="743">
        <f>'C4-FinPerf RE'!G29</f>
        <v>32464062.57</v>
      </c>
      <c r="H29" s="743">
        <f t="shared" si="6"/>
        <v>82500000</v>
      </c>
      <c r="I29" s="45">
        <f t="shared" si="7"/>
        <v>-50035937.43</v>
      </c>
      <c r="J29" s="333">
        <f t="shared" si="8"/>
        <v>-0.60649621127272724</v>
      </c>
      <c r="K29" s="745">
        <f t="shared" si="9"/>
        <v>82500000</v>
      </c>
    </row>
    <row r="30" spans="1:11" ht="12.75" customHeight="1" x14ac:dyDescent="0.2">
      <c r="A30" s="40" t="str">
        <f>'C4-FinPerf RE'!A30</f>
        <v>Bulk purchases</v>
      </c>
      <c r="B30" s="172"/>
      <c r="C30" s="758">
        <v>802365370</v>
      </c>
      <c r="D30" s="755">
        <v>905497000</v>
      </c>
      <c r="E30" s="743">
        <v>880497000</v>
      </c>
      <c r="F30" s="743">
        <f>'C4-FinPerf RE'!F30</f>
        <v>90160964.450000003</v>
      </c>
      <c r="G30" s="743">
        <f>'C4-FinPerf RE'!G30</f>
        <v>90160964.450000003</v>
      </c>
      <c r="H30" s="743">
        <f t="shared" si="6"/>
        <v>880497000</v>
      </c>
      <c r="I30" s="45">
        <f t="shared" si="7"/>
        <v>-790336035.54999995</v>
      </c>
      <c r="J30" s="333">
        <f t="shared" si="8"/>
        <v>-0.89760219006992636</v>
      </c>
      <c r="K30" s="745">
        <f t="shared" si="9"/>
        <v>880497000</v>
      </c>
    </row>
    <row r="31" spans="1:11" ht="12.75" customHeight="1" x14ac:dyDescent="0.2">
      <c r="A31" s="40" t="str">
        <f>'C4-FinPerf RE'!A31</f>
        <v>Other materials</v>
      </c>
      <c r="B31" s="172"/>
      <c r="C31" s="758">
        <v>93472143</v>
      </c>
      <c r="D31" s="755">
        <v>37666000</v>
      </c>
      <c r="E31" s="743">
        <v>39265907</v>
      </c>
      <c r="F31" s="743">
        <f>'C4-FinPerf RE'!F31</f>
        <v>0</v>
      </c>
      <c r="G31" s="743">
        <f>'C4-FinPerf RE'!G31</f>
        <v>0</v>
      </c>
      <c r="H31" s="743">
        <f t="shared" si="6"/>
        <v>39265907</v>
      </c>
      <c r="I31" s="45">
        <f t="shared" si="7"/>
        <v>-39265907</v>
      </c>
      <c r="J31" s="333">
        <f t="shared" si="8"/>
        <v>-1</v>
      </c>
      <c r="K31" s="745">
        <f t="shared" si="9"/>
        <v>39265907</v>
      </c>
    </row>
    <row r="32" spans="1:11" ht="12.75" customHeight="1" x14ac:dyDescent="0.2">
      <c r="A32" s="40" t="str">
        <f>'C4-FinPerf RE'!A32</f>
        <v>Contracted services</v>
      </c>
      <c r="B32" s="172"/>
      <c r="C32" s="758">
        <v>749885548</v>
      </c>
      <c r="D32" s="755">
        <v>796325000</v>
      </c>
      <c r="E32" s="743">
        <v>891283000</v>
      </c>
      <c r="F32" s="743">
        <f>'C4-FinPerf RE'!F32</f>
        <v>703715.47</v>
      </c>
      <c r="G32" s="743">
        <f>'C4-FinPerf RE'!G32</f>
        <v>703715.47</v>
      </c>
      <c r="H32" s="743">
        <f t="shared" si="6"/>
        <v>891283000</v>
      </c>
      <c r="I32" s="45">
        <f t="shared" si="7"/>
        <v>-890579284.52999997</v>
      </c>
      <c r="J32" s="333">
        <f t="shared" si="8"/>
        <v>-0.99921044665947845</v>
      </c>
      <c r="K32" s="745">
        <f t="shared" si="9"/>
        <v>891283000</v>
      </c>
    </row>
    <row r="33" spans="1:11" ht="12.75" customHeight="1" x14ac:dyDescent="0.2">
      <c r="A33" s="40" t="str">
        <f>'C4-FinPerf RE'!A33</f>
        <v>Transfers and subsidies</v>
      </c>
      <c r="B33" s="172"/>
      <c r="C33" s="758">
        <v>9479750</v>
      </c>
      <c r="D33" s="755">
        <v>11500000</v>
      </c>
      <c r="E33" s="743">
        <v>11500000</v>
      </c>
      <c r="F33" s="743">
        <f>'C4-FinPerf RE'!F33</f>
        <v>1140000</v>
      </c>
      <c r="G33" s="743">
        <f>'C4-FinPerf RE'!G33</f>
        <v>1140000</v>
      </c>
      <c r="H33" s="743">
        <f t="shared" si="6"/>
        <v>11500000</v>
      </c>
      <c r="I33" s="45">
        <f t="shared" si="7"/>
        <v>-10360000</v>
      </c>
      <c r="J33" s="333">
        <f t="shared" si="8"/>
        <v>-0.90086956521739125</v>
      </c>
      <c r="K33" s="745">
        <f t="shared" si="9"/>
        <v>11500000</v>
      </c>
    </row>
    <row r="34" spans="1:11" ht="12.75" customHeight="1" x14ac:dyDescent="0.2">
      <c r="A34" s="40" t="str">
        <f>'C4-FinPerf RE'!A34</f>
        <v>Other expenditure</v>
      </c>
      <c r="B34" s="172"/>
      <c r="C34" s="758">
        <v>265059108.02000004</v>
      </c>
      <c r="D34" s="755">
        <v>207260000</v>
      </c>
      <c r="E34" s="743">
        <v>218118500</v>
      </c>
      <c r="F34" s="743">
        <f>'C4-FinPerf RE'!F34</f>
        <v>26219669.149999999</v>
      </c>
      <c r="G34" s="743">
        <f>'C4-FinPerf RE'!G34</f>
        <v>26219669.149999999</v>
      </c>
      <c r="H34" s="743">
        <f t="shared" si="6"/>
        <v>218118500</v>
      </c>
      <c r="I34" s="45">
        <f t="shared" si="7"/>
        <v>-191898830.84999999</v>
      </c>
      <c r="J34" s="333">
        <f t="shared" si="8"/>
        <v>-0.87979163092539148</v>
      </c>
      <c r="K34" s="745">
        <f t="shared" si="9"/>
        <v>218118500</v>
      </c>
    </row>
    <row r="35" spans="1:11" ht="12.75" customHeight="1" x14ac:dyDescent="0.2">
      <c r="A35" s="40" t="str">
        <f>'C4-FinPerf RE'!A35</f>
        <v>Loss on disposal of PPE</v>
      </c>
      <c r="B35" s="170"/>
      <c r="C35" s="758"/>
      <c r="D35" s="755"/>
      <c r="E35" s="743">
        <v>0</v>
      </c>
      <c r="F35" s="743">
        <f>'C4-FinPerf RE'!F35</f>
        <v>0</v>
      </c>
      <c r="G35" s="743">
        <f>'C4-FinPerf RE'!G35</f>
        <v>0</v>
      </c>
      <c r="H35" s="743">
        <f t="shared" si="6"/>
        <v>0</v>
      </c>
      <c r="I35" s="45">
        <f t="shared" si="7"/>
        <v>0</v>
      </c>
      <c r="J35" s="333" t="str">
        <f t="shared" si="8"/>
        <v/>
      </c>
      <c r="K35" s="745"/>
    </row>
    <row r="36" spans="1:11" ht="12.75" customHeight="1" x14ac:dyDescent="0.2">
      <c r="A36" s="353" t="s">
        <v>501</v>
      </c>
      <c r="B36" s="578"/>
      <c r="C36" s="244">
        <f t="shared" ref="C36:H36" si="10">SUM(C25:C35)</f>
        <v>3817672807.02</v>
      </c>
      <c r="D36" s="75">
        <f t="shared" si="10"/>
        <v>3348689000</v>
      </c>
      <c r="E36" s="74">
        <f t="shared" si="10"/>
        <v>3406349064</v>
      </c>
      <c r="F36" s="74">
        <f t="shared" si="10"/>
        <v>257062678.19</v>
      </c>
      <c r="G36" s="74">
        <f t="shared" si="10"/>
        <v>257062678.19</v>
      </c>
      <c r="H36" s="74">
        <f t="shared" si="10"/>
        <v>3406349064</v>
      </c>
      <c r="I36" s="74">
        <f t="shared" si="7"/>
        <v>-3149286385.8099999</v>
      </c>
      <c r="J36" s="334">
        <f t="shared" si="8"/>
        <v>-0.92453425255010802</v>
      </c>
      <c r="K36" s="146">
        <f>SUM(K25:K35)</f>
        <v>3406349064</v>
      </c>
    </row>
    <row r="37" spans="1:11" ht="5.0999999999999996" customHeight="1" x14ac:dyDescent="0.2">
      <c r="A37" s="43"/>
      <c r="B37" s="170"/>
      <c r="C37" s="135"/>
      <c r="D37" s="47"/>
      <c r="E37" s="45"/>
      <c r="F37" s="45"/>
      <c r="G37" s="45"/>
      <c r="H37" s="45"/>
      <c r="I37" s="45">
        <f t="shared" si="7"/>
        <v>0</v>
      </c>
      <c r="J37" s="333"/>
      <c r="K37" s="145"/>
    </row>
    <row r="38" spans="1:11" ht="12.75" customHeight="1" x14ac:dyDescent="0.2">
      <c r="A38" s="88" t="str">
        <f>'C4-FinPerf RE'!A38</f>
        <v>Surplus/(Deficit)</v>
      </c>
      <c r="B38" s="170"/>
      <c r="C38" s="135">
        <f t="shared" ref="C38:H38" si="11">C22-C36</f>
        <v>-880062206.01999998</v>
      </c>
      <c r="D38" s="47">
        <f t="shared" si="11"/>
        <v>285865000</v>
      </c>
      <c r="E38" s="45">
        <f t="shared" si="11"/>
        <v>178598432</v>
      </c>
      <c r="F38" s="45">
        <f t="shared" si="11"/>
        <v>311236904.98999995</v>
      </c>
      <c r="G38" s="45">
        <f t="shared" si="11"/>
        <v>311236904.98999995</v>
      </c>
      <c r="H38" s="45">
        <f t="shared" si="11"/>
        <v>178598432</v>
      </c>
      <c r="I38" s="45">
        <f t="shared" si="7"/>
        <v>132638472.98999995</v>
      </c>
      <c r="J38" s="333">
        <f t="shared" si="8"/>
        <v>0.74266314381752219</v>
      </c>
      <c r="K38" s="145">
        <f>K22-K36</f>
        <v>178598432</v>
      </c>
    </row>
    <row r="39" spans="1:11" ht="21.6" customHeight="1" x14ac:dyDescent="0.2">
      <c r="A39" s="112" t="str">
        <f>'C4-FinPerf RE'!A39</f>
        <v>Transfers and subsidies - capital (monetary allocations) (National / Provincial and District)</v>
      </c>
      <c r="B39" s="170"/>
      <c r="C39" s="758">
        <v>546274637</v>
      </c>
      <c r="D39" s="755">
        <v>798465000</v>
      </c>
      <c r="E39" s="743">
        <v>910343504</v>
      </c>
      <c r="F39" s="743">
        <f>'C4-FinPerf RE'!F39</f>
        <v>85297669.118499994</v>
      </c>
      <c r="G39" s="743">
        <f>'C4-FinPerf RE'!G39</f>
        <v>85297669.118499994</v>
      </c>
      <c r="H39" s="743">
        <f>E39</f>
        <v>910343504</v>
      </c>
      <c r="I39" s="45">
        <f t="shared" si="7"/>
        <v>-825045834.88150001</v>
      </c>
      <c r="J39" s="333">
        <f t="shared" si="8"/>
        <v>-0.90630166663055578</v>
      </c>
      <c r="K39" s="745">
        <f t="shared" ref="K39:K41" si="12">E39</f>
        <v>910343504</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v>0</v>
      </c>
      <c r="F40" s="743">
        <f>'C4-FinPerf RE'!F40</f>
        <v>0</v>
      </c>
      <c r="G40" s="743">
        <f>'C4-FinPerf RE'!G40</f>
        <v>0</v>
      </c>
      <c r="H40" s="743">
        <f>E40</f>
        <v>0</v>
      </c>
      <c r="I40" s="45">
        <f t="shared" si="7"/>
        <v>0</v>
      </c>
      <c r="J40" s="333" t="str">
        <f t="shared" si="8"/>
        <v/>
      </c>
      <c r="K40" s="745">
        <f t="shared" si="12"/>
        <v>0</v>
      </c>
    </row>
    <row r="41" spans="1:11" ht="12.75" customHeight="1" x14ac:dyDescent="0.2">
      <c r="A41" s="40" t="str">
        <f>'C4-FinPerf RE'!A41</f>
        <v xml:space="preserve">Transfers and subsidies - capital (in-kind - all) </v>
      </c>
      <c r="B41" s="170"/>
      <c r="C41" s="758"/>
      <c r="D41" s="755">
        <v>14400000</v>
      </c>
      <c r="E41" s="743">
        <v>1400000</v>
      </c>
      <c r="F41" s="743">
        <f>'C4-FinPerf RE'!F41</f>
        <v>0</v>
      </c>
      <c r="G41" s="743">
        <f>'C4-FinPerf RE'!G41</f>
        <v>0</v>
      </c>
      <c r="H41" s="743">
        <f>E41</f>
        <v>1400000</v>
      </c>
      <c r="I41" s="45">
        <f t="shared" si="7"/>
        <v>-1400000</v>
      </c>
      <c r="J41" s="333">
        <f t="shared" si="8"/>
        <v>-1</v>
      </c>
      <c r="K41" s="745">
        <f t="shared" si="12"/>
        <v>1400000</v>
      </c>
    </row>
    <row r="42" spans="1:11" x14ac:dyDescent="0.2">
      <c r="A42" s="579" t="str">
        <f>'C4-FinPerf RE'!A42</f>
        <v>Surplus/(Deficit) after capital transfers &amp; contributions</v>
      </c>
      <c r="B42" s="312"/>
      <c r="C42" s="580">
        <f>C38+SUM(C39:C41)</f>
        <v>-333787569.01999998</v>
      </c>
      <c r="D42" s="581">
        <f t="shared" ref="D42:K42" si="13">D38+SUM(D39:D41)</f>
        <v>1098730000</v>
      </c>
      <c r="E42" s="517">
        <f t="shared" si="13"/>
        <v>1090341936</v>
      </c>
      <c r="F42" s="517">
        <f t="shared" si="13"/>
        <v>396534574.10849994</v>
      </c>
      <c r="G42" s="517">
        <f t="shared" si="13"/>
        <v>396534574.10849994</v>
      </c>
      <c r="H42" s="517">
        <f t="shared" si="13"/>
        <v>1090341936</v>
      </c>
      <c r="I42" s="517">
        <f t="shared" si="7"/>
        <v>-693807361.8915</v>
      </c>
      <c r="J42" s="518">
        <f t="shared" si="8"/>
        <v>-0.63632089987915497</v>
      </c>
      <c r="K42" s="582">
        <f t="shared" si="13"/>
        <v>1090341936</v>
      </c>
    </row>
    <row r="43" spans="1:11" ht="12.75" customHeight="1" x14ac:dyDescent="0.2">
      <c r="A43" s="112" t="str">
        <f>'C4-FinPerf RE'!A43</f>
        <v>Taxation</v>
      </c>
      <c r="B43" s="170"/>
      <c r="C43" s="758"/>
      <c r="D43" s="755"/>
      <c r="E43" s="743"/>
      <c r="F43" s="743"/>
      <c r="G43" s="743"/>
      <c r="H43" s="743"/>
      <c r="I43" s="45">
        <f t="shared" si="7"/>
        <v>0</v>
      </c>
      <c r="J43" s="333" t="str">
        <f t="shared" si="8"/>
        <v/>
      </c>
      <c r="K43" s="745"/>
    </row>
    <row r="44" spans="1:11" ht="12.75" customHeight="1" x14ac:dyDescent="0.2">
      <c r="A44" s="54" t="str">
        <f>'C4-FinPerf RE'!A44</f>
        <v>Surplus/(Deficit) after taxation</v>
      </c>
      <c r="B44" s="237"/>
      <c r="C44" s="113">
        <f t="shared" ref="C44:H44" si="14">C42-C43</f>
        <v>-333787569.01999998</v>
      </c>
      <c r="D44" s="57">
        <f t="shared" si="14"/>
        <v>1098730000</v>
      </c>
      <c r="E44" s="56">
        <f t="shared" si="14"/>
        <v>1090341936</v>
      </c>
      <c r="F44" s="56">
        <f t="shared" si="14"/>
        <v>396534574.10849994</v>
      </c>
      <c r="G44" s="56">
        <f t="shared" si="14"/>
        <v>396534574.10849994</v>
      </c>
      <c r="H44" s="56">
        <f t="shared" si="14"/>
        <v>1090341936</v>
      </c>
      <c r="I44" s="56">
        <f t="shared" si="7"/>
        <v>-693807361.8915</v>
      </c>
      <c r="J44" s="335">
        <f t="shared" si="8"/>
        <v>-0.63632089987915497</v>
      </c>
      <c r="K44" s="236">
        <f>K42-K43</f>
        <v>1090341936</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8"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6" activePane="bottomRight" state="frozen"/>
      <selection pane="topRight"/>
      <selection pane="bottomLeft"/>
      <selection pane="bottomRight" activeCell="I34" sqref="I33:I34"/>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1" t="str">
        <f>muni&amp; " - "&amp;S71Q&amp; " - "&amp;Head57</f>
        <v>LIM354 Polokwane - NOT REQUIRED - municipality does not have entities or this is the parent municipality's budget - M01 July</v>
      </c>
      <c r="B1" s="1031"/>
      <c r="C1" s="1031"/>
      <c r="D1" s="1031"/>
      <c r="E1" s="1031"/>
      <c r="F1" s="1031"/>
      <c r="G1" s="1031"/>
      <c r="H1" s="1031"/>
      <c r="I1" s="1031"/>
      <c r="J1" s="1031"/>
      <c r="K1" s="1031"/>
    </row>
    <row r="2" spans="1:11" x14ac:dyDescent="0.2">
      <c r="A2" s="1020" t="str">
        <f>desc</f>
        <v>Description</v>
      </c>
      <c r="B2" s="1013" t="str">
        <f>head27</f>
        <v>Ref</v>
      </c>
      <c r="C2" s="159" t="str">
        <f>Head1</f>
        <v>2018/19</v>
      </c>
      <c r="D2" s="1015" t="str">
        <f>Head2</f>
        <v>Budget Year 2019/20</v>
      </c>
      <c r="E2" s="1016"/>
      <c r="F2" s="1016"/>
      <c r="G2" s="1016"/>
      <c r="H2" s="1016"/>
      <c r="I2" s="1016"/>
      <c r="J2" s="1016"/>
      <c r="K2" s="1017"/>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3" t="s">
        <v>1457</v>
      </c>
      <c r="B6" s="170"/>
      <c r="C6" s="758"/>
      <c r="D6" s="763"/>
      <c r="E6" s="743"/>
      <c r="F6" s="743"/>
      <c r="G6" s="743"/>
      <c r="H6" s="743">
        <f>D6/12*7</f>
        <v>0</v>
      </c>
      <c r="I6" s="45">
        <f t="shared" ref="I6:I41" si="0">G6-H6</f>
        <v>0</v>
      </c>
      <c r="J6" s="333" t="str">
        <f>IF(I6=0,"",I6/H6)</f>
        <v/>
      </c>
      <c r="K6" s="745"/>
    </row>
    <row r="7" spans="1:11" ht="12.75" customHeight="1" x14ac:dyDescent="0.2">
      <c r="A7" s="786" t="s">
        <v>1458</v>
      </c>
      <c r="B7" s="170"/>
      <c r="C7" s="758">
        <v>11823452</v>
      </c>
      <c r="D7" s="763">
        <v>12518480</v>
      </c>
      <c r="E7" s="743"/>
      <c r="F7" s="743">
        <v>973896</v>
      </c>
      <c r="G7" s="743">
        <v>9756960</v>
      </c>
      <c r="H7" s="743">
        <f>D7/12*11</f>
        <v>11475273.333333332</v>
      </c>
      <c r="I7" s="45">
        <f t="shared" si="0"/>
        <v>-1718313.3333333321</v>
      </c>
      <c r="J7" s="333">
        <f t="shared" ref="J7:J16" si="1">IF(I7=0,"",I7/H7)</f>
        <v>-0.14974051453240611</v>
      </c>
      <c r="K7" s="745">
        <v>12518480</v>
      </c>
    </row>
    <row r="8" spans="1:11" ht="12.75" customHeight="1" x14ac:dyDescent="0.2">
      <c r="A8" s="786" t="s">
        <v>1459</v>
      </c>
      <c r="B8" s="170"/>
      <c r="C8" s="758">
        <v>9000000</v>
      </c>
      <c r="D8" s="763">
        <v>11000000</v>
      </c>
      <c r="E8" s="743"/>
      <c r="F8" s="743">
        <v>990000</v>
      </c>
      <c r="G8" s="743">
        <v>6350000</v>
      </c>
      <c r="H8" s="743">
        <f>D8/12*11</f>
        <v>10083333.333333332</v>
      </c>
      <c r="I8" s="45">
        <f t="shared" si="0"/>
        <v>-3733333.3333333321</v>
      </c>
      <c r="J8" s="333">
        <f t="shared" si="1"/>
        <v>-0.37024793388429744</v>
      </c>
      <c r="K8" s="745">
        <v>11000000</v>
      </c>
    </row>
    <row r="9" spans="1:11" ht="12.75" customHeight="1" x14ac:dyDescent="0.2">
      <c r="A9" s="786" t="s">
        <v>1460</v>
      </c>
      <c r="B9" s="170"/>
      <c r="C9" s="758">
        <v>8822</v>
      </c>
      <c r="D9" s="763">
        <v>22400</v>
      </c>
      <c r="E9" s="743"/>
      <c r="F9" s="743">
        <v>7.48</v>
      </c>
      <c r="G9" s="743">
        <v>1143.98</v>
      </c>
      <c r="H9" s="743">
        <f>D9/12*11</f>
        <v>20533.333333333336</v>
      </c>
      <c r="I9" s="45">
        <f t="shared" si="0"/>
        <v>-19389.353333333336</v>
      </c>
      <c r="J9" s="333">
        <f t="shared" si="1"/>
        <v>-0.94428668831168838</v>
      </c>
      <c r="K9" s="745">
        <v>22400</v>
      </c>
    </row>
    <row r="10" spans="1:11" ht="12.75" customHeight="1" x14ac:dyDescent="0.2">
      <c r="A10" s="786"/>
      <c r="B10" s="170"/>
      <c r="C10" s="758"/>
      <c r="D10" s="763"/>
      <c r="E10" s="743"/>
      <c r="F10" s="743"/>
      <c r="G10" s="743"/>
      <c r="H10" s="743">
        <v>0</v>
      </c>
      <c r="I10" s="45">
        <f t="shared" si="0"/>
        <v>0</v>
      </c>
      <c r="J10" s="333" t="str">
        <f t="shared" si="1"/>
        <v/>
      </c>
      <c r="K10" s="745"/>
    </row>
    <row r="11" spans="1:11" ht="12.75" customHeight="1" x14ac:dyDescent="0.2">
      <c r="A11" s="786"/>
      <c r="B11" s="170"/>
      <c r="C11" s="758"/>
      <c r="D11" s="763"/>
      <c r="E11" s="743"/>
      <c r="F11" s="743"/>
      <c r="G11" s="743"/>
      <c r="H11" s="743">
        <v>0</v>
      </c>
      <c r="I11" s="45">
        <f t="shared" si="0"/>
        <v>0</v>
      </c>
      <c r="J11" s="333" t="str">
        <f t="shared" si="1"/>
        <v/>
      </c>
      <c r="K11" s="745"/>
    </row>
    <row r="12" spans="1:11" ht="12.75" customHeight="1" x14ac:dyDescent="0.2">
      <c r="A12" s="786"/>
      <c r="B12" s="170"/>
      <c r="C12" s="758"/>
      <c r="D12" s="763"/>
      <c r="E12" s="743"/>
      <c r="F12" s="743"/>
      <c r="G12" s="743"/>
      <c r="H12" s="743">
        <f t="shared" ref="H12:H15" si="2">D12/12*7</f>
        <v>0</v>
      </c>
      <c r="I12" s="45">
        <f t="shared" si="0"/>
        <v>0</v>
      </c>
      <c r="J12" s="333" t="str">
        <f t="shared" si="1"/>
        <v/>
      </c>
      <c r="K12" s="745"/>
    </row>
    <row r="13" spans="1:11" ht="12.75" customHeight="1" x14ac:dyDescent="0.2">
      <c r="A13" s="786"/>
      <c r="B13" s="170"/>
      <c r="C13" s="758"/>
      <c r="D13" s="763"/>
      <c r="E13" s="743"/>
      <c r="F13" s="743"/>
      <c r="G13" s="743"/>
      <c r="H13" s="743">
        <f t="shared" si="2"/>
        <v>0</v>
      </c>
      <c r="I13" s="45">
        <f t="shared" si="0"/>
        <v>0</v>
      </c>
      <c r="J13" s="333" t="str">
        <f t="shared" si="1"/>
        <v/>
      </c>
      <c r="K13" s="745"/>
    </row>
    <row r="14" spans="1:11" ht="12.75" customHeight="1" x14ac:dyDescent="0.2">
      <c r="A14" s="786"/>
      <c r="B14" s="170"/>
      <c r="C14" s="758"/>
      <c r="D14" s="763"/>
      <c r="E14" s="743"/>
      <c r="F14" s="743"/>
      <c r="G14" s="743"/>
      <c r="H14" s="743">
        <f t="shared" si="2"/>
        <v>0</v>
      </c>
      <c r="I14" s="45">
        <f t="shared" si="0"/>
        <v>0</v>
      </c>
      <c r="J14" s="333" t="str">
        <f t="shared" si="1"/>
        <v/>
      </c>
      <c r="K14" s="745"/>
    </row>
    <row r="15" spans="1:11" ht="12.75" customHeight="1" x14ac:dyDescent="0.2">
      <c r="A15" s="786"/>
      <c r="B15" s="170"/>
      <c r="C15" s="758"/>
      <c r="D15" s="763"/>
      <c r="E15" s="743"/>
      <c r="F15" s="743"/>
      <c r="G15" s="743"/>
      <c r="H15" s="743">
        <f t="shared" si="2"/>
        <v>0</v>
      </c>
      <c r="I15" s="45">
        <f t="shared" si="0"/>
        <v>0</v>
      </c>
      <c r="J15" s="333" t="str">
        <f t="shared" si="1"/>
        <v/>
      </c>
      <c r="K15" s="745"/>
    </row>
    <row r="16" spans="1:11" ht="12.75" customHeight="1" x14ac:dyDescent="0.2">
      <c r="A16" s="93" t="s">
        <v>559</v>
      </c>
      <c r="B16" s="234">
        <v>1</v>
      </c>
      <c r="C16" s="244">
        <f t="shared" ref="C16:H16" si="3">SUM(C6:C15)</f>
        <v>20832274</v>
      </c>
      <c r="D16" s="261">
        <f t="shared" si="3"/>
        <v>23540880</v>
      </c>
      <c r="E16" s="74">
        <f t="shared" si="3"/>
        <v>0</v>
      </c>
      <c r="F16" s="74">
        <f t="shared" si="3"/>
        <v>1963903.48</v>
      </c>
      <c r="G16" s="74">
        <f t="shared" si="3"/>
        <v>16108103.98</v>
      </c>
      <c r="H16" s="74">
        <f t="shared" si="3"/>
        <v>21579139.999999996</v>
      </c>
      <c r="I16" s="74">
        <f t="shared" si="0"/>
        <v>-5471036.0199999958</v>
      </c>
      <c r="J16" s="334">
        <f t="shared" si="1"/>
        <v>-0.25353355231024022</v>
      </c>
      <c r="K16" s="146">
        <f>SUM(K6:K15)</f>
        <v>23540880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3" t="str">
        <f>A6</f>
        <v>Polokwane Housing Association</v>
      </c>
      <c r="B19" s="172"/>
      <c r="C19" s="758"/>
      <c r="D19" s="763"/>
      <c r="E19" s="743"/>
      <c r="F19" s="743"/>
      <c r="G19" s="743"/>
      <c r="H19" s="743">
        <f>D19/12*7</f>
        <v>0</v>
      </c>
      <c r="I19" s="45">
        <f t="shared" si="0"/>
        <v>0</v>
      </c>
      <c r="J19" s="333" t="str">
        <f t="shared" ref="J19:J43" si="4">IF(I19=0,"",I19/H19)</f>
        <v/>
      </c>
      <c r="K19" s="745"/>
    </row>
    <row r="20" spans="1:11" ht="12.75" customHeight="1" x14ac:dyDescent="0.2">
      <c r="A20" s="786" t="s">
        <v>487</v>
      </c>
      <c r="B20" s="172"/>
      <c r="C20" s="758">
        <v>6258348</v>
      </c>
      <c r="D20" s="763">
        <v>7841948</v>
      </c>
      <c r="E20" s="743"/>
      <c r="F20" s="743">
        <v>565234.32999999996</v>
      </c>
      <c r="G20" s="743">
        <v>5503947.54</v>
      </c>
      <c r="H20" s="743">
        <f>D20/12*11</f>
        <v>7188452.333333333</v>
      </c>
      <c r="I20" s="45">
        <f t="shared" si="0"/>
        <v>-1684504.793333333</v>
      </c>
      <c r="J20" s="333">
        <f t="shared" si="4"/>
        <v>-0.23433483526379828</v>
      </c>
      <c r="K20" s="745">
        <v>7841948</v>
      </c>
    </row>
    <row r="21" spans="1:11" ht="12.75" customHeight="1" x14ac:dyDescent="0.2">
      <c r="A21" s="786" t="s">
        <v>1463</v>
      </c>
      <c r="B21" s="172"/>
      <c r="C21" s="758">
        <v>1797580</v>
      </c>
      <c r="D21" s="763">
        <v>2150223.52</v>
      </c>
      <c r="E21" s="743"/>
      <c r="F21" s="743">
        <v>47253.599999999999</v>
      </c>
      <c r="G21" s="743">
        <v>1250040.8400000001</v>
      </c>
      <c r="H21" s="743">
        <f>D21/12*11</f>
        <v>1971038.2266666666</v>
      </c>
      <c r="I21" s="45">
        <f t="shared" si="0"/>
        <v>-720997.38666666648</v>
      </c>
      <c r="J21" s="333">
        <f t="shared" si="4"/>
        <v>-0.36579573998723791</v>
      </c>
      <c r="K21" s="745">
        <v>2150223.52</v>
      </c>
    </row>
    <row r="22" spans="1:11" ht="12.75" customHeight="1" x14ac:dyDescent="0.2">
      <c r="A22" s="786" t="s">
        <v>1461</v>
      </c>
      <c r="B22" s="172"/>
      <c r="C22" s="758">
        <v>4710270</v>
      </c>
      <c r="D22" s="763">
        <v>8800000</v>
      </c>
      <c r="E22" s="743"/>
      <c r="F22" s="743">
        <v>0</v>
      </c>
      <c r="G22" s="743">
        <v>0</v>
      </c>
      <c r="H22" s="743">
        <f>D22/12*11</f>
        <v>8066666.666666667</v>
      </c>
      <c r="I22" s="45">
        <f t="shared" si="0"/>
        <v>-8066666.666666667</v>
      </c>
      <c r="J22" s="333">
        <f t="shared" si="4"/>
        <v>-1</v>
      </c>
      <c r="K22" s="745">
        <v>8800000</v>
      </c>
    </row>
    <row r="23" spans="1:11" ht="12.75" customHeight="1" x14ac:dyDescent="0.2">
      <c r="A23" s="786" t="s">
        <v>1462</v>
      </c>
      <c r="B23" s="172"/>
      <c r="C23" s="758">
        <v>3846845</v>
      </c>
      <c r="D23" s="763">
        <v>6740000</v>
      </c>
      <c r="E23" s="743"/>
      <c r="F23" s="743">
        <v>467420.95</v>
      </c>
      <c r="G23" s="743">
        <v>3138021.61</v>
      </c>
      <c r="H23" s="743">
        <f>D23/12*11</f>
        <v>6178333.333333333</v>
      </c>
      <c r="I23" s="45">
        <f t="shared" si="0"/>
        <v>-3040311.7233333332</v>
      </c>
      <c r="J23" s="333">
        <f t="shared" si="4"/>
        <v>-0.4920925368222282</v>
      </c>
      <c r="K23" s="745">
        <v>6740000</v>
      </c>
    </row>
    <row r="24" spans="1:11" ht="12.75" customHeight="1" x14ac:dyDescent="0.2">
      <c r="A24" s="786" t="str">
        <f>IF(A11="","",A11)</f>
        <v/>
      </c>
      <c r="B24" s="172"/>
      <c r="C24" s="758"/>
      <c r="D24" s="763"/>
      <c r="E24" s="743"/>
      <c r="F24" s="743"/>
      <c r="G24" s="743"/>
      <c r="H24" s="743">
        <f t="shared" ref="H24:H28" si="5">D24/12*7</f>
        <v>0</v>
      </c>
      <c r="I24" s="45">
        <f t="shared" si="0"/>
        <v>0</v>
      </c>
      <c r="J24" s="333" t="str">
        <f t="shared" si="4"/>
        <v/>
      </c>
      <c r="K24" s="745"/>
    </row>
    <row r="25" spans="1:11" ht="12.75" customHeight="1" x14ac:dyDescent="0.2">
      <c r="A25" s="786" t="str">
        <f>IF(A12="","",A12)</f>
        <v/>
      </c>
      <c r="B25" s="172"/>
      <c r="C25" s="758"/>
      <c r="D25" s="763"/>
      <c r="E25" s="743"/>
      <c r="F25" s="743"/>
      <c r="G25" s="743"/>
      <c r="H25" s="743">
        <f t="shared" si="5"/>
        <v>0</v>
      </c>
      <c r="I25" s="45">
        <f t="shared" si="0"/>
        <v>0</v>
      </c>
      <c r="J25" s="333" t="str">
        <f t="shared" si="4"/>
        <v/>
      </c>
      <c r="K25" s="745"/>
    </row>
    <row r="26" spans="1:11" ht="12.75" customHeight="1" x14ac:dyDescent="0.2">
      <c r="A26" s="786" t="str">
        <f>IF(A13="","",A13)</f>
        <v/>
      </c>
      <c r="B26" s="172"/>
      <c r="C26" s="758"/>
      <c r="D26" s="763"/>
      <c r="E26" s="743"/>
      <c r="F26" s="743"/>
      <c r="G26" s="743"/>
      <c r="H26" s="743">
        <f t="shared" si="5"/>
        <v>0</v>
      </c>
      <c r="I26" s="45">
        <f t="shared" si="0"/>
        <v>0</v>
      </c>
      <c r="J26" s="333" t="str">
        <f t="shared" si="4"/>
        <v/>
      </c>
      <c r="K26" s="745"/>
    </row>
    <row r="27" spans="1:11" ht="12.75" customHeight="1" x14ac:dyDescent="0.2">
      <c r="A27" s="786" t="str">
        <f>IF(A14="","",A14)</f>
        <v/>
      </c>
      <c r="B27" s="172"/>
      <c r="C27" s="758"/>
      <c r="D27" s="763"/>
      <c r="E27" s="743"/>
      <c r="F27" s="743"/>
      <c r="G27" s="743"/>
      <c r="H27" s="743">
        <f t="shared" si="5"/>
        <v>0</v>
      </c>
      <c r="I27" s="45">
        <f t="shared" si="0"/>
        <v>0</v>
      </c>
      <c r="J27" s="333" t="str">
        <f t="shared" si="4"/>
        <v/>
      </c>
      <c r="K27" s="745"/>
    </row>
    <row r="28" spans="1:11" ht="12.75" customHeight="1" x14ac:dyDescent="0.2">
      <c r="A28" s="786" t="str">
        <f>IF(A15="","",A15)</f>
        <v/>
      </c>
      <c r="B28" s="172"/>
      <c r="C28" s="758"/>
      <c r="D28" s="763"/>
      <c r="E28" s="743"/>
      <c r="F28" s="743"/>
      <c r="G28" s="743"/>
      <c r="H28" s="743">
        <f t="shared" si="5"/>
        <v>0</v>
      </c>
      <c r="I28" s="45">
        <f t="shared" si="0"/>
        <v>0</v>
      </c>
      <c r="J28" s="333" t="str">
        <f t="shared" si="4"/>
        <v/>
      </c>
      <c r="K28" s="745"/>
    </row>
    <row r="29" spans="1:11" ht="12.75" customHeight="1" x14ac:dyDescent="0.2">
      <c r="A29" s="93" t="s">
        <v>934</v>
      </c>
      <c r="B29" s="234">
        <v>2</v>
      </c>
      <c r="C29" s="244">
        <f t="shared" ref="C29:H29" si="6">SUM(C19:C28)</f>
        <v>16613043</v>
      </c>
      <c r="D29" s="261">
        <f t="shared" si="6"/>
        <v>25532171.52</v>
      </c>
      <c r="E29" s="74">
        <f t="shared" si="6"/>
        <v>0</v>
      </c>
      <c r="F29" s="74">
        <f t="shared" si="6"/>
        <v>1079908.8799999999</v>
      </c>
      <c r="G29" s="74">
        <f t="shared" si="6"/>
        <v>9892009.9900000002</v>
      </c>
      <c r="H29" s="74">
        <f t="shared" si="6"/>
        <v>23404490.559999999</v>
      </c>
      <c r="I29" s="74">
        <f t="shared" si="0"/>
        <v>-13512480.569999998</v>
      </c>
      <c r="J29" s="334">
        <f t="shared" si="4"/>
        <v>-0.57734563951987161</v>
      </c>
      <c r="K29" s="146">
        <f>SUM(K19:K28)</f>
        <v>25532171.52</v>
      </c>
    </row>
    <row r="30" spans="1:11" ht="5.0999999999999996" customHeight="1" x14ac:dyDescent="0.2">
      <c r="A30" s="43"/>
      <c r="B30" s="170"/>
      <c r="C30" s="135"/>
      <c r="D30" s="259"/>
      <c r="E30" s="45"/>
      <c r="F30" s="45"/>
      <c r="G30" s="45"/>
      <c r="H30" s="45"/>
      <c r="I30" s="45"/>
      <c r="J30" s="333" t="str">
        <f t="shared" si="4"/>
        <v/>
      </c>
      <c r="K30" s="145"/>
    </row>
    <row r="31" spans="1:11" ht="12.75" customHeight="1" x14ac:dyDescent="0.2">
      <c r="A31" s="88" t="str">
        <f>Head42</f>
        <v>Surplus/ (Deficit) for the yr/period</v>
      </c>
      <c r="B31" s="170"/>
      <c r="C31" s="135">
        <f>C16-C29</f>
        <v>4219231</v>
      </c>
      <c r="D31" s="259">
        <f t="shared" ref="D31:K31" si="7">D16-D29</f>
        <v>-1991291.5199999996</v>
      </c>
      <c r="E31" s="45">
        <f t="shared" si="7"/>
        <v>0</v>
      </c>
      <c r="F31" s="45">
        <f t="shared" si="7"/>
        <v>883994.60000000009</v>
      </c>
      <c r="G31" s="45">
        <f t="shared" si="7"/>
        <v>6216093.9900000002</v>
      </c>
      <c r="H31" s="45">
        <f t="shared" si="7"/>
        <v>-1825350.5600000024</v>
      </c>
      <c r="I31" s="45">
        <f>I16+I29</f>
        <v>-18983516.589999996</v>
      </c>
      <c r="J31" s="333">
        <f t="shared" si="4"/>
        <v>10.399929200449019</v>
      </c>
      <c r="K31" s="145">
        <f t="shared" si="7"/>
        <v>-1991291.5199999996</v>
      </c>
    </row>
    <row r="32" spans="1:11" ht="12.75" customHeight="1" x14ac:dyDescent="0.2">
      <c r="A32" s="36" t="s">
        <v>841</v>
      </c>
      <c r="B32" s="172"/>
      <c r="C32" s="135"/>
      <c r="D32" s="259"/>
      <c r="E32" s="45"/>
      <c r="F32" s="45"/>
      <c r="G32" s="45"/>
      <c r="H32" s="45"/>
      <c r="I32" s="45"/>
      <c r="J32" s="333"/>
      <c r="K32" s="145"/>
    </row>
    <row r="33" spans="1:11" ht="12.75" customHeight="1" x14ac:dyDescent="0.2">
      <c r="A33" s="803" t="str">
        <f>$A$6</f>
        <v>Polokwane Housing Association</v>
      </c>
      <c r="B33" s="172"/>
      <c r="C33" s="758"/>
      <c r="D33" s="763"/>
      <c r="E33" s="743"/>
      <c r="F33" s="743"/>
      <c r="G33" s="743"/>
      <c r="H33" s="743"/>
      <c r="I33" s="45">
        <f t="shared" si="0"/>
        <v>0</v>
      </c>
      <c r="J33" s="333" t="str">
        <f t="shared" si="4"/>
        <v/>
      </c>
      <c r="K33" s="745"/>
    </row>
    <row r="34" spans="1:11" ht="12.75" customHeight="1" x14ac:dyDescent="0.2">
      <c r="A34" s="786" t="s">
        <v>1358</v>
      </c>
      <c r="B34" s="172"/>
      <c r="C34" s="758"/>
      <c r="D34" s="763">
        <v>45000</v>
      </c>
      <c r="E34" s="743"/>
      <c r="F34" s="743"/>
      <c r="G34" s="743"/>
      <c r="H34" s="743"/>
      <c r="I34" s="45">
        <f t="shared" si="0"/>
        <v>0</v>
      </c>
      <c r="J34" s="333" t="str">
        <f t="shared" si="4"/>
        <v/>
      </c>
      <c r="K34" s="745">
        <v>45000</v>
      </c>
    </row>
    <row r="35" spans="1:11" ht="12.75" customHeight="1" x14ac:dyDescent="0.2">
      <c r="A35" s="786"/>
      <c r="B35" s="172"/>
      <c r="C35" s="758"/>
      <c r="D35" s="763"/>
      <c r="E35" s="743"/>
      <c r="F35" s="743"/>
      <c r="G35" s="743"/>
      <c r="H35" s="743"/>
      <c r="I35" s="45">
        <f t="shared" si="0"/>
        <v>0</v>
      </c>
      <c r="J35" s="333" t="str">
        <f t="shared" si="4"/>
        <v/>
      </c>
      <c r="K35" s="745"/>
    </row>
    <row r="36" spans="1:11" ht="12.75" customHeight="1" x14ac:dyDescent="0.2">
      <c r="A36" s="786"/>
      <c r="B36" s="172"/>
      <c r="C36" s="758"/>
      <c r="D36" s="763"/>
      <c r="E36" s="743"/>
      <c r="F36" s="743"/>
      <c r="G36" s="743"/>
      <c r="H36" s="743"/>
      <c r="I36" s="45">
        <f t="shared" si="0"/>
        <v>0</v>
      </c>
      <c r="J36" s="333" t="str">
        <f t="shared" si="4"/>
        <v/>
      </c>
      <c r="K36" s="745"/>
    </row>
    <row r="37" spans="1:11" ht="12.75" customHeight="1" x14ac:dyDescent="0.2">
      <c r="A37" s="786" t="str">
        <f>IF(A10="","",A10)</f>
        <v/>
      </c>
      <c r="B37" s="172"/>
      <c r="C37" s="758"/>
      <c r="D37" s="763"/>
      <c r="E37" s="743"/>
      <c r="F37" s="743"/>
      <c r="G37" s="743"/>
      <c r="H37" s="743"/>
      <c r="I37" s="45">
        <f t="shared" si="0"/>
        <v>0</v>
      </c>
      <c r="J37" s="333" t="str">
        <f t="shared" si="4"/>
        <v/>
      </c>
      <c r="K37" s="745"/>
    </row>
    <row r="38" spans="1:11" ht="12.75" customHeight="1" x14ac:dyDescent="0.2">
      <c r="A38" s="786" t="str">
        <f>IF(A11="","",A11)</f>
        <v/>
      </c>
      <c r="B38" s="172"/>
      <c r="C38" s="758"/>
      <c r="D38" s="763"/>
      <c r="E38" s="743"/>
      <c r="F38" s="743"/>
      <c r="G38" s="743"/>
      <c r="H38" s="743"/>
      <c r="I38" s="45">
        <f t="shared" si="0"/>
        <v>0</v>
      </c>
      <c r="J38" s="333" t="str">
        <f t="shared" si="4"/>
        <v/>
      </c>
      <c r="K38" s="745"/>
    </row>
    <row r="39" spans="1:11" ht="12.75" customHeight="1" x14ac:dyDescent="0.2">
      <c r="A39" s="786" t="str">
        <f>IF(A12="","",A12)</f>
        <v/>
      </c>
      <c r="B39" s="172"/>
      <c r="C39" s="758"/>
      <c r="D39" s="763"/>
      <c r="E39" s="743"/>
      <c r="F39" s="743"/>
      <c r="G39" s="743"/>
      <c r="H39" s="743"/>
      <c r="I39" s="45">
        <f t="shared" si="0"/>
        <v>0</v>
      </c>
      <c r="J39" s="333" t="str">
        <f t="shared" si="4"/>
        <v/>
      </c>
      <c r="K39" s="745"/>
    </row>
    <row r="40" spans="1:11" ht="12.75" customHeight="1" x14ac:dyDescent="0.2">
      <c r="A40" s="786" t="str">
        <f>IF(A13="","",A13)</f>
        <v/>
      </c>
      <c r="B40" s="172"/>
      <c r="C40" s="758"/>
      <c r="D40" s="763"/>
      <c r="E40" s="743"/>
      <c r="F40" s="743"/>
      <c r="G40" s="743"/>
      <c r="H40" s="743"/>
      <c r="I40" s="45">
        <f t="shared" si="0"/>
        <v>0</v>
      </c>
      <c r="J40" s="333" t="str">
        <f t="shared" si="4"/>
        <v/>
      </c>
      <c r="K40" s="745"/>
    </row>
    <row r="41" spans="1:11" ht="12.75" customHeight="1" x14ac:dyDescent="0.2">
      <c r="A41" s="786" t="str">
        <f>IF(A14="","",A14)</f>
        <v/>
      </c>
      <c r="B41" s="172"/>
      <c r="C41" s="758"/>
      <c r="D41" s="763"/>
      <c r="E41" s="743"/>
      <c r="F41" s="743"/>
      <c r="G41" s="743"/>
      <c r="H41" s="743"/>
      <c r="I41" s="45">
        <f t="shared" si="0"/>
        <v>0</v>
      </c>
      <c r="J41" s="333" t="str">
        <f t="shared" si="4"/>
        <v/>
      </c>
      <c r="K41" s="745"/>
    </row>
    <row r="42" spans="1:11" ht="5.0999999999999996" customHeight="1" x14ac:dyDescent="0.2">
      <c r="A42" s="786"/>
      <c r="B42" s="172"/>
      <c r="C42" s="758"/>
      <c r="D42" s="763"/>
      <c r="E42" s="743"/>
      <c r="F42" s="743"/>
      <c r="G42" s="743"/>
      <c r="H42" s="743"/>
      <c r="I42" s="45"/>
      <c r="J42" s="333" t="str">
        <f t="shared" si="4"/>
        <v/>
      </c>
      <c r="K42" s="745"/>
    </row>
    <row r="43" spans="1:11" ht="12.75" customHeight="1" x14ac:dyDescent="0.2">
      <c r="A43" s="114" t="s">
        <v>783</v>
      </c>
      <c r="B43" s="326">
        <v>3</v>
      </c>
      <c r="C43" s="113">
        <f>SUM(C32:C42)</f>
        <v>0</v>
      </c>
      <c r="D43" s="272">
        <f t="shared" ref="D43:K43" si="8">SUM(D32:D42)</f>
        <v>45000</v>
      </c>
      <c r="E43" s="56">
        <f t="shared" si="8"/>
        <v>0</v>
      </c>
      <c r="F43" s="56">
        <f t="shared" si="8"/>
        <v>0</v>
      </c>
      <c r="G43" s="56">
        <f t="shared" si="8"/>
        <v>0</v>
      </c>
      <c r="H43" s="56">
        <f>SUM(H32:H42)</f>
        <v>0</v>
      </c>
      <c r="I43" s="56">
        <f>G43-H43</f>
        <v>0</v>
      </c>
      <c r="J43" s="335" t="str">
        <f t="shared" si="4"/>
        <v/>
      </c>
      <c r="K43" s="236">
        <f t="shared" si="8"/>
        <v>45000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8"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K4" sqref="K4"/>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31" t="str">
        <f>muni&amp; " - "&amp;S71R&amp; " - "&amp;Head57</f>
        <v>LIM354 Polokwane - Supporting Table SC12 Monthly Budget Statement - capital expenditure trend - M01 July</v>
      </c>
      <c r="B1" s="1031"/>
      <c r="C1" s="1031"/>
      <c r="D1" s="1031"/>
      <c r="E1" s="1031"/>
      <c r="F1" s="1031"/>
      <c r="G1" s="1031"/>
      <c r="H1" s="1031"/>
      <c r="I1" s="1031"/>
      <c r="J1" s="1031"/>
    </row>
    <row r="2" spans="1:10" x14ac:dyDescent="0.2">
      <c r="A2" s="1020" t="s">
        <v>912</v>
      </c>
      <c r="B2" s="140" t="str">
        <f>Head1</f>
        <v>2018/19</v>
      </c>
      <c r="C2" s="1015" t="str">
        <f>Head2</f>
        <v>Budget Year 2019/20</v>
      </c>
      <c r="D2" s="1016"/>
      <c r="E2" s="1016"/>
      <c r="F2" s="1016"/>
      <c r="G2" s="1016"/>
      <c r="H2" s="1016"/>
      <c r="I2" s="1016"/>
      <c r="J2" s="1017"/>
    </row>
    <row r="3" spans="1:10" ht="30.6" x14ac:dyDescent="0.2">
      <c r="A3" s="1021"/>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0</v>
      </c>
      <c r="E6" s="743">
        <v>85297669.120000005</v>
      </c>
      <c r="F6" s="411">
        <f>IF(E6&gt;0,E6,"")</f>
        <v>85297669.120000005</v>
      </c>
      <c r="G6" s="411">
        <f>IF(D6&gt;0,D6,C6)</f>
        <v>38885000</v>
      </c>
      <c r="H6" s="45">
        <f t="shared" ref="H6:H16" si="0">IF(F6="",0,G6-F6)</f>
        <v>-46412669.120000005</v>
      </c>
      <c r="I6" s="125">
        <f t="shared" ref="I6:I16" si="1">IF(F6="","",IF(H6=0,"",H6/G6))</f>
        <v>-1.1935879933136171</v>
      </c>
      <c r="J6" s="683">
        <f t="shared" ref="J6:J16" si="2">IF(F6="","",F6/$C$18)</f>
        <v>4.5150487637564643E-2</v>
      </c>
    </row>
    <row r="7" spans="1:10" ht="12.75" customHeight="1" x14ac:dyDescent="0.2">
      <c r="A7" s="40" t="s">
        <v>935</v>
      </c>
      <c r="B7" s="758">
        <v>114658356.07565999</v>
      </c>
      <c r="C7" s="763">
        <v>52927000</v>
      </c>
      <c r="D7" s="743">
        <v>0</v>
      </c>
      <c r="E7" s="743">
        <v>0</v>
      </c>
      <c r="F7" s="411" t="str">
        <f>IF(E7&gt;0,E7+F6,"")</f>
        <v/>
      </c>
      <c r="G7" s="411">
        <f>IF(D7&gt;0,D7+D6,C7+C6)</f>
        <v>91812000</v>
      </c>
      <c r="H7" s="45">
        <f t="shared" si="0"/>
        <v>0</v>
      </c>
      <c r="I7" s="125" t="str">
        <f t="shared" si="1"/>
        <v/>
      </c>
      <c r="J7" s="683" t="str">
        <f t="shared" si="2"/>
        <v/>
      </c>
    </row>
    <row r="8" spans="1:10" ht="12.75" customHeight="1" x14ac:dyDescent="0.2">
      <c r="A8" s="40" t="s">
        <v>560</v>
      </c>
      <c r="B8" s="758">
        <v>81613647.633128002</v>
      </c>
      <c r="C8" s="763">
        <v>87521000</v>
      </c>
      <c r="D8" s="743">
        <v>0</v>
      </c>
      <c r="E8" s="743">
        <v>0</v>
      </c>
      <c r="F8" s="411" t="str">
        <f t="shared" ref="F8:F17" si="3">IF(E8&gt;0,E8+F7,"")</f>
        <v/>
      </c>
      <c r="G8" s="411">
        <f>IF(D8&gt;0,D8+G7,C8+G7)</f>
        <v>179333000</v>
      </c>
      <c r="H8" s="45">
        <f t="shared" si="0"/>
        <v>0</v>
      </c>
      <c r="I8" s="125" t="str">
        <f t="shared" si="1"/>
        <v/>
      </c>
      <c r="J8" s="683" t="str">
        <f t="shared" si="2"/>
        <v/>
      </c>
    </row>
    <row r="9" spans="1:10" ht="12.75" customHeight="1" x14ac:dyDescent="0.2">
      <c r="A9" s="40" t="s">
        <v>936</v>
      </c>
      <c r="B9" s="758">
        <v>125253452.40719202</v>
      </c>
      <c r="C9" s="763">
        <v>116093000</v>
      </c>
      <c r="D9" s="743">
        <v>0</v>
      </c>
      <c r="E9" s="743">
        <v>0</v>
      </c>
      <c r="F9" s="411" t="str">
        <f t="shared" si="3"/>
        <v/>
      </c>
      <c r="G9" s="411">
        <f t="shared" ref="G9:G17" si="4">IF(D9&gt;0,D9+G8,C9+G8)</f>
        <v>295426000</v>
      </c>
      <c r="H9" s="45">
        <f t="shared" si="0"/>
        <v>0</v>
      </c>
      <c r="I9" s="125" t="str">
        <f t="shared" si="1"/>
        <v/>
      </c>
      <c r="J9" s="683" t="str">
        <f t="shared" si="2"/>
        <v/>
      </c>
    </row>
    <row r="10" spans="1:10" ht="12.75" customHeight="1" x14ac:dyDescent="0.2">
      <c r="A10" s="40" t="s">
        <v>937</v>
      </c>
      <c r="B10" s="758">
        <v>117057421.92475198</v>
      </c>
      <c r="C10" s="763">
        <v>116300000</v>
      </c>
      <c r="D10" s="743">
        <v>0</v>
      </c>
      <c r="E10" s="743">
        <v>0</v>
      </c>
      <c r="F10" s="411" t="str">
        <f t="shared" si="3"/>
        <v/>
      </c>
      <c r="G10" s="411">
        <f t="shared" si="4"/>
        <v>411726000</v>
      </c>
      <c r="H10" s="45">
        <f t="shared" si="0"/>
        <v>0</v>
      </c>
      <c r="I10" s="125" t="str">
        <f t="shared" si="1"/>
        <v/>
      </c>
      <c r="J10" s="683" t="str">
        <f t="shared" si="2"/>
        <v/>
      </c>
    </row>
    <row r="11" spans="1:10" ht="12.75" customHeight="1" x14ac:dyDescent="0.2">
      <c r="A11" s="40" t="s">
        <v>938</v>
      </c>
      <c r="B11" s="758">
        <v>123680771.70764397</v>
      </c>
      <c r="C11" s="763">
        <v>132266000</v>
      </c>
      <c r="D11" s="743">
        <v>0</v>
      </c>
      <c r="E11" s="743">
        <v>0</v>
      </c>
      <c r="F11" s="411" t="str">
        <f t="shared" si="3"/>
        <v/>
      </c>
      <c r="G11" s="411">
        <f t="shared" si="4"/>
        <v>543992000</v>
      </c>
      <c r="H11" s="45">
        <f t="shared" si="0"/>
        <v>0</v>
      </c>
      <c r="I11" s="125" t="str">
        <f t="shared" si="1"/>
        <v/>
      </c>
      <c r="J11" s="683" t="str">
        <f t="shared" si="2"/>
        <v/>
      </c>
    </row>
    <row r="12" spans="1:10" ht="12.75" customHeight="1" x14ac:dyDescent="0.2">
      <c r="A12" s="40" t="s">
        <v>939</v>
      </c>
      <c r="B12" s="758">
        <v>56304819.371612005</v>
      </c>
      <c r="C12" s="763">
        <v>132336000</v>
      </c>
      <c r="D12" s="743">
        <v>0</v>
      </c>
      <c r="E12" s="743">
        <v>0</v>
      </c>
      <c r="F12" s="411" t="str">
        <f t="shared" si="3"/>
        <v/>
      </c>
      <c r="G12" s="411">
        <f t="shared" si="4"/>
        <v>676328000</v>
      </c>
      <c r="H12" s="45">
        <f t="shared" si="0"/>
        <v>0</v>
      </c>
      <c r="I12" s="125" t="str">
        <f t="shared" si="1"/>
        <v/>
      </c>
      <c r="J12" s="683" t="str">
        <f t="shared" si="2"/>
        <v/>
      </c>
    </row>
    <row r="13" spans="1:10" ht="12.75" customHeight="1" x14ac:dyDescent="0.2">
      <c r="A13" s="40" t="s">
        <v>940</v>
      </c>
      <c r="B13" s="758">
        <v>29352943.087880004</v>
      </c>
      <c r="C13" s="763">
        <v>132336000</v>
      </c>
      <c r="D13" s="743">
        <v>0</v>
      </c>
      <c r="E13" s="743">
        <v>0</v>
      </c>
      <c r="F13" s="411" t="str">
        <f t="shared" si="3"/>
        <v/>
      </c>
      <c r="G13" s="411">
        <f t="shared" si="4"/>
        <v>808664000</v>
      </c>
      <c r="H13" s="45">
        <f t="shared" si="0"/>
        <v>0</v>
      </c>
      <c r="I13" s="125" t="str">
        <f t="shared" si="1"/>
        <v/>
      </c>
      <c r="J13" s="683" t="str">
        <f t="shared" si="2"/>
        <v/>
      </c>
    </row>
    <row r="14" spans="1:10" ht="12.75" customHeight="1" x14ac:dyDescent="0.2">
      <c r="A14" s="40" t="s">
        <v>941</v>
      </c>
      <c r="B14" s="758">
        <v>152645868.564648</v>
      </c>
      <c r="C14" s="763">
        <v>199883000</v>
      </c>
      <c r="D14" s="743">
        <v>0</v>
      </c>
      <c r="E14" s="743">
        <v>0</v>
      </c>
      <c r="F14" s="411" t="str">
        <f t="shared" si="3"/>
        <v/>
      </c>
      <c r="G14" s="411">
        <f t="shared" si="4"/>
        <v>1008547000</v>
      </c>
      <c r="H14" s="45">
        <f t="shared" si="0"/>
        <v>0</v>
      </c>
      <c r="I14" s="125" t="str">
        <f t="shared" si="1"/>
        <v/>
      </c>
      <c r="J14" s="683" t="str">
        <f t="shared" si="2"/>
        <v/>
      </c>
    </row>
    <row r="15" spans="1:10" ht="12.75" customHeight="1" x14ac:dyDescent="0.2">
      <c r="A15" s="40" t="s">
        <v>942</v>
      </c>
      <c r="B15" s="758">
        <v>67570203.105097041</v>
      </c>
      <c r="C15" s="763">
        <v>227676000</v>
      </c>
      <c r="D15" s="743">
        <v>0</v>
      </c>
      <c r="E15" s="743">
        <v>0</v>
      </c>
      <c r="F15" s="411" t="str">
        <f t="shared" si="3"/>
        <v/>
      </c>
      <c r="G15" s="411">
        <f t="shared" si="4"/>
        <v>1236223000</v>
      </c>
      <c r="H15" s="45">
        <f t="shared" si="0"/>
        <v>0</v>
      </c>
      <c r="I15" s="125" t="str">
        <f t="shared" si="1"/>
        <v/>
      </c>
      <c r="J15" s="684" t="str">
        <f t="shared" si="2"/>
        <v/>
      </c>
    </row>
    <row r="16" spans="1:10" ht="12.75" customHeight="1" x14ac:dyDescent="0.2">
      <c r="A16" s="40" t="s">
        <v>943</v>
      </c>
      <c r="B16" s="758">
        <v>36486409.166999996</v>
      </c>
      <c r="C16" s="763">
        <v>297703000</v>
      </c>
      <c r="D16" s="743">
        <v>0</v>
      </c>
      <c r="E16" s="743">
        <v>0</v>
      </c>
      <c r="F16" s="411" t="str">
        <f t="shared" si="3"/>
        <v/>
      </c>
      <c r="G16" s="411">
        <f t="shared" si="4"/>
        <v>1533926000</v>
      </c>
      <c r="H16" s="45">
        <f t="shared" si="0"/>
        <v>0</v>
      </c>
      <c r="I16" s="125" t="str">
        <f t="shared" si="1"/>
        <v/>
      </c>
      <c r="J16" s="684" t="str">
        <f t="shared" si="2"/>
        <v/>
      </c>
    </row>
    <row r="17" spans="1:10" ht="12.75" customHeight="1" x14ac:dyDescent="0.2">
      <c r="A17" s="248" t="s">
        <v>944</v>
      </c>
      <c r="B17" s="759">
        <v>155412588.42163199</v>
      </c>
      <c r="C17" s="767">
        <v>355259999.60000002</v>
      </c>
      <c r="D17" s="743">
        <v>0</v>
      </c>
      <c r="E17" s="743">
        <v>0</v>
      </c>
      <c r="F17" s="412" t="str">
        <f t="shared" si="3"/>
        <v/>
      </c>
      <c r="G17" s="412">
        <f t="shared" si="4"/>
        <v>1889185999.5999999</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0</v>
      </c>
      <c r="E18" s="77">
        <f>SUM(E6:E17)</f>
        <v>85297669.120000005</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8"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81" t="s">
        <v>662</v>
      </c>
      <c r="B1" s="982"/>
      <c r="C1" s="982"/>
      <c r="D1" s="983"/>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M01 July</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986" t="s">
        <v>773</v>
      </c>
      <c r="B72" s="987"/>
      <c r="C72" s="987"/>
      <c r="D72" s="988"/>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984" t="s">
        <v>816</v>
      </c>
      <c r="B76" s="985"/>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8"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15" activePane="bottomRight" state="frozen"/>
      <selection pane="topRight"/>
      <selection pane="bottomLeft"/>
      <selection pane="bottomRight" activeCell="E106" sqref="E10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5" t="str">
        <f>muni&amp; " - "&amp;S71Sa&amp; " - "&amp;Head57</f>
        <v>LIM354 Polokwane - Supporting Table SC13a Monthly Budget Statement - capital expenditure on new assets by asset class - M01 July</v>
      </c>
      <c r="B1" s="1035"/>
      <c r="C1" s="1035"/>
      <c r="D1" s="1035"/>
      <c r="E1" s="1035"/>
      <c r="F1" s="1035"/>
      <c r="G1" s="1035"/>
      <c r="H1" s="1035"/>
      <c r="I1" s="1035"/>
      <c r="J1" s="1035"/>
      <c r="K1" s="1035"/>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0</v>
      </c>
      <c r="D7" s="611">
        <f t="shared" si="0"/>
        <v>853532363</v>
      </c>
      <c r="E7" s="103">
        <f t="shared" si="0"/>
        <v>199607690</v>
      </c>
      <c r="F7" s="103">
        <f t="shared" si="0"/>
        <v>64594410.357499987</v>
      </c>
      <c r="G7" s="103">
        <f t="shared" si="0"/>
        <v>454191638.65500003</v>
      </c>
      <c r="H7" s="103">
        <f t="shared" si="0"/>
        <v>199607690</v>
      </c>
      <c r="I7" s="102">
        <f t="shared" ref="I7:I37" si="1">H7-G7</f>
        <v>-254583948.65500003</v>
      </c>
      <c r="J7" s="588">
        <f t="shared" ref="J7:J37" si="2">IF(I7=0,"",I7/H7)</f>
        <v>-1.2754215464093595</v>
      </c>
      <c r="K7" s="612">
        <f>K8+K13+K17+K27+K38+K45+K53+K63+K69</f>
        <v>271233590</v>
      </c>
    </row>
    <row r="8" spans="1:11" ht="12.75" customHeight="1" x14ac:dyDescent="0.2">
      <c r="A8" s="521" t="s">
        <v>1253</v>
      </c>
      <c r="B8" s="170"/>
      <c r="C8" s="686">
        <f t="shared" ref="C8:H8" si="3">SUM(C9:C12)</f>
        <v>0</v>
      </c>
      <c r="D8" s="618">
        <f t="shared" si="3"/>
        <v>270111528</v>
      </c>
      <c r="E8" s="617">
        <f t="shared" si="3"/>
        <v>0</v>
      </c>
      <c r="F8" s="617">
        <f t="shared" si="3"/>
        <v>23502236.889499996</v>
      </c>
      <c r="G8" s="617">
        <f t="shared" si="3"/>
        <v>96155604.217999995</v>
      </c>
      <c r="H8" s="617">
        <f t="shared" si="3"/>
        <v>0</v>
      </c>
      <c r="I8" s="259">
        <f t="shared" si="1"/>
        <v>-96155604.217999995</v>
      </c>
      <c r="J8" s="584" t="e">
        <f t="shared" si="2"/>
        <v>#DIV/0!</v>
      </c>
      <c r="K8" s="619">
        <f>SUM(K9:K12)</f>
        <v>0</v>
      </c>
    </row>
    <row r="9" spans="1:11" ht="12.75" customHeight="1" x14ac:dyDescent="0.2">
      <c r="A9" s="583" t="s">
        <v>175</v>
      </c>
      <c r="B9" s="170"/>
      <c r="C9" s="758"/>
      <c r="D9" s="755">
        <v>270111528</v>
      </c>
      <c r="E9" s="743">
        <v>0</v>
      </c>
      <c r="F9" s="743">
        <v>23502236.889499996</v>
      </c>
      <c r="G9" s="970">
        <v>96155604.217999995</v>
      </c>
      <c r="H9" s="743">
        <f>E9</f>
        <v>0</v>
      </c>
      <c r="I9" s="259">
        <f t="shared" si="1"/>
        <v>-96155604.217999995</v>
      </c>
      <c r="J9" s="584" t="e">
        <f t="shared" si="2"/>
        <v>#DIV/0!</v>
      </c>
      <c r="K9" s="745">
        <f>E9</f>
        <v>0</v>
      </c>
    </row>
    <row r="10" spans="1:11" ht="12.75" customHeight="1" x14ac:dyDescent="0.2">
      <c r="A10" s="583" t="s">
        <v>1254</v>
      </c>
      <c r="B10" s="170"/>
      <c r="C10" s="758"/>
      <c r="D10" s="755">
        <v>0</v>
      </c>
      <c r="E10" s="743">
        <v>0</v>
      </c>
      <c r="F10" s="743">
        <v>0</v>
      </c>
      <c r="G10" s="970">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70">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70">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0</v>
      </c>
      <c r="D17" s="658">
        <f t="shared" si="6"/>
        <v>58247500</v>
      </c>
      <c r="E17" s="411">
        <f t="shared" si="6"/>
        <v>0</v>
      </c>
      <c r="F17" s="411">
        <f t="shared" si="6"/>
        <v>4146694.5984999998</v>
      </c>
      <c r="G17" s="411">
        <f t="shared" si="6"/>
        <v>16537897.5635</v>
      </c>
      <c r="H17" s="411">
        <f t="shared" si="6"/>
        <v>0</v>
      </c>
      <c r="I17" s="259">
        <f t="shared" si="1"/>
        <v>-16537897.5635</v>
      </c>
      <c r="J17" s="584" t="e">
        <f t="shared" si="2"/>
        <v>#DIV/0!</v>
      </c>
      <c r="K17" s="651">
        <f>SUM(K18:K26)</f>
        <v>58247500</v>
      </c>
    </row>
    <row r="18" spans="1:11" ht="12.75" customHeight="1" x14ac:dyDescent="0.2">
      <c r="A18" s="583" t="s">
        <v>1262</v>
      </c>
      <c r="B18" s="170"/>
      <c r="C18" s="758"/>
      <c r="D18" s="755">
        <v>0</v>
      </c>
      <c r="E18" s="743">
        <v>0</v>
      </c>
      <c r="F18" s="743">
        <v>4146694.5984999998</v>
      </c>
      <c r="G18" s="743">
        <v>16537897.5635</v>
      </c>
      <c r="H18" s="743">
        <f>E18</f>
        <v>0</v>
      </c>
      <c r="I18" s="259">
        <f t="shared" si="1"/>
        <v>-16537897.5635</v>
      </c>
      <c r="J18" s="584" t="e">
        <f t="shared" si="2"/>
        <v>#DIV/0!</v>
      </c>
      <c r="K18" s="745">
        <f>E18</f>
        <v>0</v>
      </c>
    </row>
    <row r="19" spans="1:11" ht="12.75" customHeight="1" x14ac:dyDescent="0.2">
      <c r="A19" s="583" t="s">
        <v>1263</v>
      </c>
      <c r="B19" s="170"/>
      <c r="C19" s="758"/>
      <c r="D19" s="755">
        <v>0</v>
      </c>
      <c r="E19" s="743">
        <v>0</v>
      </c>
      <c r="F19" s="743">
        <v>0</v>
      </c>
      <c r="G19" s="743">
        <v>0</v>
      </c>
      <c r="H19" s="743">
        <f t="shared" ref="H19:H26" si="7">E19/12*8</f>
        <v>0</v>
      </c>
      <c r="I19" s="259">
        <f t="shared" si="1"/>
        <v>0</v>
      </c>
      <c r="J19" s="584" t="str">
        <f t="shared" si="2"/>
        <v/>
      </c>
      <c r="K19" s="745">
        <f t="shared" ref="K19:K25" si="8">D19</f>
        <v>0</v>
      </c>
    </row>
    <row r="20" spans="1:11" ht="12.75" customHeight="1" x14ac:dyDescent="0.2">
      <c r="A20" s="583" t="s">
        <v>1264</v>
      </c>
      <c r="B20" s="170"/>
      <c r="C20" s="758"/>
      <c r="D20" s="755">
        <v>58247500</v>
      </c>
      <c r="E20" s="743">
        <v>0</v>
      </c>
      <c r="F20" s="743">
        <v>0</v>
      </c>
      <c r="G20" s="743">
        <v>0</v>
      </c>
      <c r="H20" s="743">
        <f t="shared" si="7"/>
        <v>0</v>
      </c>
      <c r="I20" s="259">
        <f t="shared" si="1"/>
        <v>0</v>
      </c>
      <c r="J20" s="584" t="str">
        <f t="shared" si="2"/>
        <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0</v>
      </c>
      <c r="D27" s="658">
        <f t="shared" si="9"/>
        <v>335480100</v>
      </c>
      <c r="E27" s="411">
        <f t="shared" si="9"/>
        <v>0</v>
      </c>
      <c r="F27" s="411">
        <f t="shared" si="9"/>
        <v>38201309.562999994</v>
      </c>
      <c r="G27" s="411">
        <f t="shared" si="9"/>
        <v>165006798.06649998</v>
      </c>
      <c r="H27" s="411">
        <f t="shared" si="9"/>
        <v>0</v>
      </c>
      <c r="I27" s="259">
        <f t="shared" si="1"/>
        <v>-165006798.06649998</v>
      </c>
      <c r="J27" s="584" t="e">
        <f t="shared" si="2"/>
        <v>#DIV/0!</v>
      </c>
      <c r="K27" s="651">
        <f>SUM(K28:K37)</f>
        <v>0</v>
      </c>
    </row>
    <row r="28" spans="1:11" ht="12.75" customHeight="1" x14ac:dyDescent="0.2">
      <c r="A28" s="583" t="s">
        <v>1271</v>
      </c>
      <c r="B28" s="170"/>
      <c r="C28" s="758"/>
      <c r="D28" s="755">
        <v>0</v>
      </c>
      <c r="E28" s="743">
        <v>0</v>
      </c>
      <c r="F28" s="743">
        <v>0</v>
      </c>
      <c r="G28" s="743">
        <v>0</v>
      </c>
      <c r="H28" s="743">
        <f>E28/12*8</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ref="H29:H37" si="10">E29/12*8</f>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ref="H30:H36" si="12">E30/12*10</f>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2"/>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2"/>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2"/>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2"/>
        <v>0</v>
      </c>
      <c r="I34" s="259">
        <f t="shared" si="1"/>
        <v>0</v>
      </c>
      <c r="J34" s="584" t="str">
        <f t="shared" si="2"/>
        <v/>
      </c>
      <c r="K34" s="745">
        <v>0</v>
      </c>
    </row>
    <row r="35" spans="1:11" ht="12.75" customHeight="1" x14ac:dyDescent="0.2">
      <c r="A35" s="583" t="s">
        <v>1278</v>
      </c>
      <c r="B35" s="170"/>
      <c r="C35" s="758"/>
      <c r="D35" s="755">
        <v>335480100</v>
      </c>
      <c r="E35" s="743">
        <v>0</v>
      </c>
      <c r="F35" s="743">
        <v>38201309.562999994</v>
      </c>
      <c r="G35" s="743">
        <v>165006798.06649998</v>
      </c>
      <c r="H35" s="743">
        <f>E35</f>
        <v>0</v>
      </c>
      <c r="I35" s="259">
        <f t="shared" si="1"/>
        <v>-165006798.06649998</v>
      </c>
      <c r="J35" s="584" t="e">
        <f t="shared" si="2"/>
        <v>#DIV/0!</v>
      </c>
      <c r="K35" s="745">
        <f>E35</f>
        <v>0</v>
      </c>
    </row>
    <row r="36" spans="1:11" ht="12.75" customHeight="1" x14ac:dyDescent="0.2">
      <c r="A36" s="583" t="s">
        <v>1279</v>
      </c>
      <c r="B36" s="170"/>
      <c r="C36" s="758"/>
      <c r="D36" s="755">
        <v>0</v>
      </c>
      <c r="E36" s="743">
        <v>0</v>
      </c>
      <c r="F36" s="743">
        <v>0</v>
      </c>
      <c r="G36" s="743">
        <v>0</v>
      </c>
      <c r="H36" s="743">
        <f t="shared" si="12"/>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3">SUM(C39:C44)</f>
        <v>0</v>
      </c>
      <c r="D38" s="658">
        <f t="shared" si="13"/>
        <v>176046835</v>
      </c>
      <c r="E38" s="411">
        <f t="shared" si="13"/>
        <v>186507880</v>
      </c>
      <c r="F38" s="411">
        <f t="shared" si="13"/>
        <v>0</v>
      </c>
      <c r="G38" s="411">
        <f t="shared" si="13"/>
        <v>172800026.10750002</v>
      </c>
      <c r="H38" s="411">
        <f t="shared" si="13"/>
        <v>186507880</v>
      </c>
      <c r="I38" s="259">
        <f t="shared" ref="I38:I44" si="14">H38-G38</f>
        <v>13707853.892499983</v>
      </c>
      <c r="J38" s="584">
        <f t="shared" ref="J38:J44" si="15">IF(I38=0,"",I38/H38)</f>
        <v>7.3497451649227816E-2</v>
      </c>
      <c r="K38" s="651">
        <f>SUM(K39:K44)</f>
        <v>186507880</v>
      </c>
    </row>
    <row r="39" spans="1:11" ht="12.75" customHeight="1" x14ac:dyDescent="0.2">
      <c r="A39" s="583" t="s">
        <v>1281</v>
      </c>
      <c r="B39" s="170"/>
      <c r="C39" s="758"/>
      <c r="D39" s="755">
        <v>0</v>
      </c>
      <c r="E39" s="743">
        <v>0</v>
      </c>
      <c r="F39" s="743">
        <v>0</v>
      </c>
      <c r="G39" s="743">
        <v>0</v>
      </c>
      <c r="H39" s="743">
        <f t="shared" ref="H39:H44" si="16">E39/12*10</f>
        <v>0</v>
      </c>
      <c r="I39" s="259">
        <f t="shared" si="14"/>
        <v>0</v>
      </c>
      <c r="J39" s="584" t="str">
        <f t="shared" si="15"/>
        <v/>
      </c>
      <c r="K39" s="745">
        <f>D39</f>
        <v>0</v>
      </c>
    </row>
    <row r="40" spans="1:11" ht="12.75" customHeight="1" x14ac:dyDescent="0.2">
      <c r="A40" s="583" t="s">
        <v>141</v>
      </c>
      <c r="B40" s="170"/>
      <c r="C40" s="758"/>
      <c r="D40" s="755">
        <v>0</v>
      </c>
      <c r="E40" s="743"/>
      <c r="F40" s="743">
        <v>0</v>
      </c>
      <c r="G40" s="743">
        <v>0</v>
      </c>
      <c r="H40" s="743">
        <f t="shared" si="16"/>
        <v>0</v>
      </c>
      <c r="I40" s="259">
        <f>H40-G40</f>
        <v>0</v>
      </c>
      <c r="J40" s="584" t="str">
        <f>IF(I40=0,"",I40/H40)</f>
        <v/>
      </c>
      <c r="K40" s="745"/>
    </row>
    <row r="41" spans="1:11" ht="12.75" customHeight="1" x14ac:dyDescent="0.2">
      <c r="A41" s="583" t="s">
        <v>1282</v>
      </c>
      <c r="B41" s="170"/>
      <c r="C41" s="758"/>
      <c r="D41" s="755">
        <v>176046835</v>
      </c>
      <c r="E41" s="743">
        <v>186507880</v>
      </c>
      <c r="F41" s="743">
        <v>0</v>
      </c>
      <c r="G41" s="743">
        <v>172800026.10750002</v>
      </c>
      <c r="H41" s="743">
        <f>E41</f>
        <v>186507880</v>
      </c>
      <c r="I41" s="259">
        <f>H41-G41</f>
        <v>13707853.892499983</v>
      </c>
      <c r="J41" s="584">
        <f>IF(I41=0,"",I41/H41)</f>
        <v>7.3497451649227816E-2</v>
      </c>
      <c r="K41" s="745">
        <f>E41</f>
        <v>186507880</v>
      </c>
    </row>
    <row r="42" spans="1:11" ht="12.75" customHeight="1" x14ac:dyDescent="0.2">
      <c r="A42" s="583" t="s">
        <v>1283</v>
      </c>
      <c r="B42" s="170"/>
      <c r="C42" s="758"/>
      <c r="D42" s="755">
        <v>0</v>
      </c>
      <c r="E42" s="743">
        <v>0</v>
      </c>
      <c r="F42" s="743">
        <v>0</v>
      </c>
      <c r="G42" s="743">
        <v>0</v>
      </c>
      <c r="H42" s="743">
        <f t="shared" si="16"/>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6"/>
        <v>0</v>
      </c>
      <c r="I43" s="259">
        <f t="shared" si="14"/>
        <v>0</v>
      </c>
      <c r="J43" s="584" t="str">
        <f t="shared" si="15"/>
        <v/>
      </c>
      <c r="K43" s="745">
        <f>D43</f>
        <v>0</v>
      </c>
    </row>
    <row r="44" spans="1:11" ht="12.75" customHeight="1" x14ac:dyDescent="0.2">
      <c r="A44" s="583" t="s">
        <v>1256</v>
      </c>
      <c r="B44" s="170"/>
      <c r="C44" s="758"/>
      <c r="D44" s="755">
        <v>0</v>
      </c>
      <c r="E44" s="743">
        <v>0</v>
      </c>
      <c r="F44" s="743">
        <v>0</v>
      </c>
      <c r="G44" s="743">
        <v>0</v>
      </c>
      <c r="H44" s="743">
        <f t="shared" si="16"/>
        <v>0</v>
      </c>
      <c r="I44" s="259">
        <f t="shared" si="14"/>
        <v>0</v>
      </c>
      <c r="J44" s="584" t="str">
        <f t="shared" si="15"/>
        <v/>
      </c>
      <c r="K44" s="745">
        <f>D44</f>
        <v>0</v>
      </c>
    </row>
    <row r="45" spans="1:11" ht="12.75" customHeight="1" x14ac:dyDescent="0.2">
      <c r="A45" s="520" t="s">
        <v>1285</v>
      </c>
      <c r="B45" s="170"/>
      <c r="C45" s="657">
        <f t="shared" ref="C45:H45" si="17">SUM(C46:C52)</f>
        <v>0</v>
      </c>
      <c r="D45" s="658">
        <f t="shared" si="17"/>
        <v>13378400</v>
      </c>
      <c r="E45" s="411">
        <f t="shared" si="17"/>
        <v>13099810</v>
      </c>
      <c r="F45" s="411">
        <f t="shared" si="17"/>
        <v>-1255830.6935000001</v>
      </c>
      <c r="G45" s="411">
        <f t="shared" si="17"/>
        <v>3691312.6994999996</v>
      </c>
      <c r="H45" s="411">
        <f t="shared" si="17"/>
        <v>13099810</v>
      </c>
      <c r="I45" s="259">
        <f t="shared" ref="I45:I68" si="18">H45-G45</f>
        <v>9408497.3004999999</v>
      </c>
      <c r="J45" s="584">
        <f t="shared" ref="J45:J68" si="19">IF(I45=0,"",I45/H45)</f>
        <v>0.71821631767941674</v>
      </c>
      <c r="K45" s="651">
        <f>SUM(K46:K52)</f>
        <v>26478210</v>
      </c>
    </row>
    <row r="46" spans="1:11" ht="12.75" customHeight="1" x14ac:dyDescent="0.2">
      <c r="A46" s="583" t="s">
        <v>1286</v>
      </c>
      <c r="B46" s="170"/>
      <c r="C46" s="758"/>
      <c r="D46" s="755">
        <v>0</v>
      </c>
      <c r="E46" s="743">
        <v>0</v>
      </c>
      <c r="F46" s="743">
        <v>0</v>
      </c>
      <c r="G46" s="743">
        <v>0</v>
      </c>
      <c r="H46" s="743">
        <f t="shared" ref="H46:H52" si="20">E46/12*10</f>
        <v>0</v>
      </c>
      <c r="I46" s="259">
        <f t="shared" si="18"/>
        <v>0</v>
      </c>
      <c r="J46" s="584" t="str">
        <f t="shared" si="19"/>
        <v/>
      </c>
      <c r="K46" s="745">
        <f>D46</f>
        <v>0</v>
      </c>
    </row>
    <row r="47" spans="1:11" ht="12.75" customHeight="1" x14ac:dyDescent="0.2">
      <c r="A47" s="583" t="s">
        <v>1287</v>
      </c>
      <c r="B47" s="170"/>
      <c r="C47" s="758"/>
      <c r="D47" s="755">
        <v>13378400</v>
      </c>
      <c r="E47" s="743"/>
      <c r="F47" s="743">
        <v>0</v>
      </c>
      <c r="G47" s="743">
        <v>0</v>
      </c>
      <c r="H47" s="743">
        <f t="shared" si="20"/>
        <v>0</v>
      </c>
      <c r="I47" s="259">
        <f t="shared" si="18"/>
        <v>0</v>
      </c>
      <c r="J47" s="584" t="str">
        <f t="shared" si="19"/>
        <v/>
      </c>
      <c r="K47" s="745">
        <f t="shared" ref="K47:K52" si="21">D47</f>
        <v>13378400</v>
      </c>
    </row>
    <row r="48" spans="1:11" ht="12.75" customHeight="1" x14ac:dyDescent="0.2">
      <c r="A48" s="583" t="s">
        <v>1288</v>
      </c>
      <c r="B48" s="170"/>
      <c r="C48" s="758"/>
      <c r="D48" s="755">
        <v>0</v>
      </c>
      <c r="E48" s="743">
        <v>0</v>
      </c>
      <c r="F48" s="743">
        <v>0</v>
      </c>
      <c r="G48" s="743">
        <v>0</v>
      </c>
      <c r="H48" s="743">
        <f t="shared" si="20"/>
        <v>0</v>
      </c>
      <c r="I48" s="259">
        <f>H48-G48</f>
        <v>0</v>
      </c>
      <c r="J48" s="584" t="str">
        <f>IF(I48=0,"",I48/H48)</f>
        <v/>
      </c>
      <c r="K48" s="745">
        <f t="shared" si="21"/>
        <v>0</v>
      </c>
    </row>
    <row r="49" spans="1:11" ht="12.75" customHeight="1" x14ac:dyDescent="0.2">
      <c r="A49" s="583" t="s">
        <v>1289</v>
      </c>
      <c r="B49" s="170"/>
      <c r="C49" s="758"/>
      <c r="D49" s="755">
        <v>0</v>
      </c>
      <c r="E49" s="743">
        <v>0</v>
      </c>
      <c r="F49" s="743">
        <v>0</v>
      </c>
      <c r="G49" s="743">
        <v>0</v>
      </c>
      <c r="H49" s="743">
        <f t="shared" si="20"/>
        <v>0</v>
      </c>
      <c r="I49" s="259">
        <f t="shared" si="18"/>
        <v>0</v>
      </c>
      <c r="J49" s="584" t="str">
        <f t="shared" si="19"/>
        <v/>
      </c>
      <c r="K49" s="745">
        <f t="shared" si="21"/>
        <v>0</v>
      </c>
    </row>
    <row r="50" spans="1:11" ht="12.75" customHeight="1" x14ac:dyDescent="0.2">
      <c r="A50" s="583" t="s">
        <v>1290</v>
      </c>
      <c r="B50" s="170"/>
      <c r="C50" s="758"/>
      <c r="D50" s="755">
        <v>0</v>
      </c>
      <c r="E50" s="743">
        <v>0</v>
      </c>
      <c r="F50" s="743">
        <v>0</v>
      </c>
      <c r="G50" s="743">
        <v>0</v>
      </c>
      <c r="H50" s="743">
        <f t="shared" si="20"/>
        <v>0</v>
      </c>
      <c r="I50" s="259">
        <f t="shared" si="18"/>
        <v>0</v>
      </c>
      <c r="J50" s="584" t="str">
        <f t="shared" si="19"/>
        <v/>
      </c>
      <c r="K50" s="745">
        <f t="shared" si="21"/>
        <v>0</v>
      </c>
    </row>
    <row r="51" spans="1:11" ht="12.75" customHeight="1" x14ac:dyDescent="0.2">
      <c r="A51" s="583" t="s">
        <v>1291</v>
      </c>
      <c r="B51" s="170"/>
      <c r="C51" s="758"/>
      <c r="D51" s="755">
        <v>0</v>
      </c>
      <c r="E51" s="743">
        <v>13099810</v>
      </c>
      <c r="F51" s="743">
        <v>-1255830.6935000001</v>
      </c>
      <c r="G51" s="743">
        <v>3691312.6994999996</v>
      </c>
      <c r="H51" s="743">
        <f>E51</f>
        <v>13099810</v>
      </c>
      <c r="I51" s="259">
        <f t="shared" si="18"/>
        <v>9408497.3004999999</v>
      </c>
      <c r="J51" s="584">
        <f t="shared" si="19"/>
        <v>0.71821631767941674</v>
      </c>
      <c r="K51" s="745">
        <f>E51</f>
        <v>13099810</v>
      </c>
    </row>
    <row r="52" spans="1:11" ht="12.75" customHeight="1" x14ac:dyDescent="0.2">
      <c r="A52" s="583" t="s">
        <v>1256</v>
      </c>
      <c r="B52" s="170"/>
      <c r="C52" s="758"/>
      <c r="D52" s="755">
        <v>0</v>
      </c>
      <c r="E52" s="743">
        <v>0</v>
      </c>
      <c r="F52" s="743">
        <v>0</v>
      </c>
      <c r="G52" s="743">
        <v>0</v>
      </c>
      <c r="H52" s="743">
        <f t="shared" si="20"/>
        <v>0</v>
      </c>
      <c r="I52" s="259">
        <f t="shared" si="18"/>
        <v>0</v>
      </c>
      <c r="J52" s="584" t="str">
        <f t="shared" si="19"/>
        <v/>
      </c>
      <c r="K52" s="745">
        <f t="shared" si="21"/>
        <v>0</v>
      </c>
    </row>
    <row r="53" spans="1:11" ht="12.75" customHeight="1" x14ac:dyDescent="0.2">
      <c r="A53" s="521" t="s">
        <v>1292</v>
      </c>
      <c r="B53" s="170"/>
      <c r="C53" s="657">
        <f t="shared" ref="C53:H53" si="22">SUM(C54:C62)</f>
        <v>0</v>
      </c>
      <c r="D53" s="658">
        <f t="shared" si="22"/>
        <v>0</v>
      </c>
      <c r="E53" s="411">
        <f t="shared" si="22"/>
        <v>0</v>
      </c>
      <c r="F53" s="411">
        <f t="shared" si="22"/>
        <v>0</v>
      </c>
      <c r="G53" s="411">
        <f t="shared" si="22"/>
        <v>0</v>
      </c>
      <c r="H53" s="411">
        <f t="shared" si="22"/>
        <v>0</v>
      </c>
      <c r="I53" s="259">
        <f t="shared" si="18"/>
        <v>0</v>
      </c>
      <c r="J53" s="584" t="str">
        <f t="shared" si="19"/>
        <v/>
      </c>
      <c r="K53" s="651">
        <f>SUM(K54:K62)</f>
        <v>0</v>
      </c>
    </row>
    <row r="54" spans="1:11" ht="12.75" customHeight="1" x14ac:dyDescent="0.2">
      <c r="A54" s="583" t="s">
        <v>1293</v>
      </c>
      <c r="B54" s="170"/>
      <c r="C54" s="758">
        <v>0</v>
      </c>
      <c r="D54" s="755">
        <v>0</v>
      </c>
      <c r="E54" s="743">
        <v>0</v>
      </c>
      <c r="F54" s="743">
        <v>0</v>
      </c>
      <c r="G54" s="743">
        <v>0</v>
      </c>
      <c r="H54" s="743">
        <v>0</v>
      </c>
      <c r="I54" s="259">
        <f t="shared" si="18"/>
        <v>0</v>
      </c>
      <c r="J54" s="584" t="str">
        <f t="shared" si="19"/>
        <v/>
      </c>
      <c r="K54" s="745">
        <v>0</v>
      </c>
    </row>
    <row r="55" spans="1:11" ht="12.75" customHeight="1" x14ac:dyDescent="0.2">
      <c r="A55" s="583" t="s">
        <v>1294</v>
      </c>
      <c r="B55" s="170"/>
      <c r="C55" s="758">
        <v>0</v>
      </c>
      <c r="D55" s="755">
        <v>0</v>
      </c>
      <c r="E55" s="743">
        <v>0</v>
      </c>
      <c r="F55" s="743">
        <v>0</v>
      </c>
      <c r="G55" s="743">
        <v>0</v>
      </c>
      <c r="H55" s="743">
        <v>0</v>
      </c>
      <c r="I55" s="259">
        <f t="shared" si="18"/>
        <v>0</v>
      </c>
      <c r="J55" s="584" t="str">
        <f t="shared" si="19"/>
        <v/>
      </c>
      <c r="K55" s="745">
        <v>0</v>
      </c>
    </row>
    <row r="56" spans="1:11" ht="12.75" customHeight="1" x14ac:dyDescent="0.2">
      <c r="A56" s="583" t="s">
        <v>1295</v>
      </c>
      <c r="B56" s="170"/>
      <c r="C56" s="758">
        <v>0</v>
      </c>
      <c r="D56" s="755">
        <v>0</v>
      </c>
      <c r="E56" s="743">
        <v>0</v>
      </c>
      <c r="F56" s="743">
        <v>0</v>
      </c>
      <c r="G56" s="743">
        <v>0</v>
      </c>
      <c r="H56" s="743">
        <v>0</v>
      </c>
      <c r="I56" s="259">
        <f t="shared" si="18"/>
        <v>0</v>
      </c>
      <c r="J56" s="584" t="str">
        <f t="shared" si="19"/>
        <v/>
      </c>
      <c r="K56" s="745">
        <v>0</v>
      </c>
    </row>
    <row r="57" spans="1:11" ht="12.75" customHeight="1" x14ac:dyDescent="0.2">
      <c r="A57" s="583" t="s">
        <v>1258</v>
      </c>
      <c r="B57" s="170"/>
      <c r="C57" s="758">
        <v>0</v>
      </c>
      <c r="D57" s="755">
        <v>0</v>
      </c>
      <c r="E57" s="743">
        <v>0</v>
      </c>
      <c r="F57" s="743">
        <v>0</v>
      </c>
      <c r="G57" s="743">
        <v>0</v>
      </c>
      <c r="H57" s="743">
        <v>0</v>
      </c>
      <c r="I57" s="259">
        <f t="shared" si="18"/>
        <v>0</v>
      </c>
      <c r="J57" s="584" t="str">
        <f t="shared" si="19"/>
        <v/>
      </c>
      <c r="K57" s="745">
        <v>0</v>
      </c>
    </row>
    <row r="58" spans="1:11" ht="12.75" customHeight="1" x14ac:dyDescent="0.2">
      <c r="A58" s="583" t="s">
        <v>1259</v>
      </c>
      <c r="B58" s="170"/>
      <c r="C58" s="758">
        <v>0</v>
      </c>
      <c r="D58" s="755">
        <v>0</v>
      </c>
      <c r="E58" s="743">
        <v>0</v>
      </c>
      <c r="F58" s="743">
        <v>0</v>
      </c>
      <c r="G58" s="743">
        <v>0</v>
      </c>
      <c r="H58" s="743">
        <v>0</v>
      </c>
      <c r="I58" s="259">
        <f t="shared" si="18"/>
        <v>0</v>
      </c>
      <c r="J58" s="584" t="str">
        <f t="shared" si="19"/>
        <v/>
      </c>
      <c r="K58" s="745">
        <v>0</v>
      </c>
    </row>
    <row r="59" spans="1:11" ht="12.75" customHeight="1" x14ac:dyDescent="0.2">
      <c r="A59" s="583" t="s">
        <v>1260</v>
      </c>
      <c r="B59" s="170"/>
      <c r="C59" s="758">
        <v>0</v>
      </c>
      <c r="D59" s="755">
        <v>0</v>
      </c>
      <c r="E59" s="743">
        <v>0</v>
      </c>
      <c r="F59" s="743">
        <v>0</v>
      </c>
      <c r="G59" s="743">
        <v>0</v>
      </c>
      <c r="H59" s="743">
        <v>0</v>
      </c>
      <c r="I59" s="259">
        <f t="shared" si="18"/>
        <v>0</v>
      </c>
      <c r="J59" s="584" t="str">
        <f t="shared" si="19"/>
        <v/>
      </c>
      <c r="K59" s="745">
        <v>0</v>
      </c>
    </row>
    <row r="60" spans="1:11" ht="12.75" customHeight="1" x14ac:dyDescent="0.2">
      <c r="A60" s="583" t="s">
        <v>1266</v>
      </c>
      <c r="B60" s="170"/>
      <c r="C60" s="758">
        <v>0</v>
      </c>
      <c r="D60" s="755">
        <v>0</v>
      </c>
      <c r="E60" s="743">
        <v>0</v>
      </c>
      <c r="F60" s="743">
        <v>0</v>
      </c>
      <c r="G60" s="743">
        <v>0</v>
      </c>
      <c r="H60" s="743">
        <v>0</v>
      </c>
      <c r="I60" s="259">
        <f t="shared" si="18"/>
        <v>0</v>
      </c>
      <c r="J60" s="584" t="str">
        <f t="shared" si="19"/>
        <v/>
      </c>
      <c r="K60" s="745">
        <v>0</v>
      </c>
    </row>
    <row r="61" spans="1:11" ht="12.75" customHeight="1" x14ac:dyDescent="0.2">
      <c r="A61" s="583" t="s">
        <v>1269</v>
      </c>
      <c r="B61" s="170"/>
      <c r="C61" s="758">
        <v>0</v>
      </c>
      <c r="D61" s="755">
        <v>0</v>
      </c>
      <c r="E61" s="743">
        <v>0</v>
      </c>
      <c r="F61" s="743">
        <v>0</v>
      </c>
      <c r="G61" s="743">
        <v>0</v>
      </c>
      <c r="H61" s="743">
        <v>0</v>
      </c>
      <c r="I61" s="259">
        <f t="shared" si="18"/>
        <v>0</v>
      </c>
      <c r="J61" s="584" t="str">
        <f t="shared" si="19"/>
        <v/>
      </c>
      <c r="K61" s="745">
        <v>0</v>
      </c>
    </row>
    <row r="62" spans="1:11" ht="12.75" customHeight="1" x14ac:dyDescent="0.2">
      <c r="A62" s="583" t="s">
        <v>1256</v>
      </c>
      <c r="B62" s="170"/>
      <c r="C62" s="758">
        <v>0</v>
      </c>
      <c r="D62" s="755">
        <v>0</v>
      </c>
      <c r="E62" s="743">
        <v>0</v>
      </c>
      <c r="F62" s="743">
        <v>0</v>
      </c>
      <c r="G62" s="743">
        <v>0</v>
      </c>
      <c r="H62" s="743">
        <v>0</v>
      </c>
      <c r="I62" s="259">
        <f t="shared" si="18"/>
        <v>0</v>
      </c>
      <c r="J62" s="584" t="str">
        <f t="shared" si="19"/>
        <v/>
      </c>
      <c r="K62" s="745">
        <v>0</v>
      </c>
    </row>
    <row r="63" spans="1:11" ht="12.75" customHeight="1" x14ac:dyDescent="0.2">
      <c r="A63" s="520" t="s">
        <v>1296</v>
      </c>
      <c r="B63" s="170"/>
      <c r="C63" s="657">
        <f t="shared" ref="C63:H63" si="23">SUM(C64:C68)</f>
        <v>0</v>
      </c>
      <c r="D63" s="658">
        <f t="shared" si="23"/>
        <v>0</v>
      </c>
      <c r="E63" s="411">
        <f t="shared" si="23"/>
        <v>0</v>
      </c>
      <c r="F63" s="411">
        <f t="shared" si="23"/>
        <v>0</v>
      </c>
      <c r="G63" s="411">
        <f t="shared" si="23"/>
        <v>0</v>
      </c>
      <c r="H63" s="411">
        <f t="shared" si="23"/>
        <v>0</v>
      </c>
      <c r="I63" s="259">
        <f t="shared" si="18"/>
        <v>0</v>
      </c>
      <c r="J63" s="584" t="str">
        <f t="shared" si="19"/>
        <v/>
      </c>
      <c r="K63" s="651">
        <f>SUM(K64:K68)</f>
        <v>0</v>
      </c>
    </row>
    <row r="64" spans="1:11" ht="12.75" customHeight="1" x14ac:dyDescent="0.2">
      <c r="A64" s="583" t="s">
        <v>1297</v>
      </c>
      <c r="B64" s="170"/>
      <c r="C64" s="758">
        <v>0</v>
      </c>
      <c r="D64" s="755">
        <v>0</v>
      </c>
      <c r="E64" s="743">
        <v>0</v>
      </c>
      <c r="F64" s="743">
        <v>0</v>
      </c>
      <c r="G64" s="743">
        <v>0</v>
      </c>
      <c r="H64" s="743">
        <v>0</v>
      </c>
      <c r="I64" s="259">
        <f t="shared" si="18"/>
        <v>0</v>
      </c>
      <c r="J64" s="584" t="str">
        <f t="shared" si="19"/>
        <v/>
      </c>
      <c r="K64" s="745">
        <v>0</v>
      </c>
    </row>
    <row r="65" spans="1:11" ht="12.75" customHeight="1" x14ac:dyDescent="0.2">
      <c r="A65" s="583" t="s">
        <v>1298</v>
      </c>
      <c r="B65" s="170"/>
      <c r="C65" s="758">
        <v>0</v>
      </c>
      <c r="D65" s="755">
        <v>0</v>
      </c>
      <c r="E65" s="743">
        <v>0</v>
      </c>
      <c r="F65" s="743">
        <v>0</v>
      </c>
      <c r="G65" s="743">
        <v>0</v>
      </c>
      <c r="H65" s="743">
        <v>0</v>
      </c>
      <c r="I65" s="259">
        <f t="shared" si="18"/>
        <v>0</v>
      </c>
      <c r="J65" s="584" t="str">
        <f t="shared" si="19"/>
        <v/>
      </c>
      <c r="K65" s="745">
        <v>0</v>
      </c>
    </row>
    <row r="66" spans="1:11" ht="12.75" customHeight="1" x14ac:dyDescent="0.2">
      <c r="A66" s="583" t="s">
        <v>1299</v>
      </c>
      <c r="B66" s="170"/>
      <c r="C66" s="758">
        <v>0</v>
      </c>
      <c r="D66" s="755">
        <v>0</v>
      </c>
      <c r="E66" s="743">
        <v>0</v>
      </c>
      <c r="F66" s="743">
        <v>0</v>
      </c>
      <c r="G66" s="743">
        <v>0</v>
      </c>
      <c r="H66" s="743">
        <v>0</v>
      </c>
      <c r="I66" s="259">
        <f t="shared" si="18"/>
        <v>0</v>
      </c>
      <c r="J66" s="584" t="str">
        <f t="shared" si="19"/>
        <v/>
      </c>
      <c r="K66" s="745">
        <v>0</v>
      </c>
    </row>
    <row r="67" spans="1:11" ht="12.75" customHeight="1" x14ac:dyDescent="0.2">
      <c r="A67" s="583" t="s">
        <v>1300</v>
      </c>
      <c r="B67" s="170"/>
      <c r="C67" s="758">
        <v>0</v>
      </c>
      <c r="D67" s="755">
        <v>0</v>
      </c>
      <c r="E67" s="743">
        <v>0</v>
      </c>
      <c r="F67" s="743">
        <v>0</v>
      </c>
      <c r="G67" s="743">
        <v>0</v>
      </c>
      <c r="H67" s="743">
        <v>0</v>
      </c>
      <c r="I67" s="259">
        <f t="shared" si="18"/>
        <v>0</v>
      </c>
      <c r="J67" s="584" t="str">
        <f t="shared" si="19"/>
        <v/>
      </c>
      <c r="K67" s="745">
        <v>0</v>
      </c>
    </row>
    <row r="68" spans="1:11" ht="12.75" customHeight="1" x14ac:dyDescent="0.2">
      <c r="A68" s="583" t="s">
        <v>1256</v>
      </c>
      <c r="B68" s="170"/>
      <c r="C68" s="758">
        <v>0</v>
      </c>
      <c r="D68" s="755">
        <v>0</v>
      </c>
      <c r="E68" s="743">
        <v>0</v>
      </c>
      <c r="F68" s="743">
        <v>0</v>
      </c>
      <c r="G68" s="743">
        <v>0</v>
      </c>
      <c r="H68" s="743">
        <v>0</v>
      </c>
      <c r="I68" s="259">
        <f t="shared" si="18"/>
        <v>0</v>
      </c>
      <c r="J68" s="584" t="str">
        <f t="shared" si="19"/>
        <v/>
      </c>
      <c r="K68" s="745">
        <v>0</v>
      </c>
    </row>
    <row r="69" spans="1:11" ht="12.75" customHeight="1" x14ac:dyDescent="0.2">
      <c r="A69" s="521" t="s">
        <v>1301</v>
      </c>
      <c r="B69" s="170"/>
      <c r="C69" s="657">
        <f t="shared" ref="C69:H69" si="24">SUM(C70:C73)</f>
        <v>0</v>
      </c>
      <c r="D69" s="658">
        <f t="shared" si="24"/>
        <v>268000.00000000006</v>
      </c>
      <c r="E69" s="411">
        <f t="shared" si="24"/>
        <v>0</v>
      </c>
      <c r="F69" s="411">
        <f t="shared" si="24"/>
        <v>0</v>
      </c>
      <c r="G69" s="411">
        <f t="shared" si="24"/>
        <v>0</v>
      </c>
      <c r="H69" s="411">
        <f t="shared" si="24"/>
        <v>0</v>
      </c>
      <c r="I69" s="259">
        <f>H69-G69</f>
        <v>0</v>
      </c>
      <c r="J69" s="584" t="str">
        <f t="shared" ref="J69:J75" si="25">IF(I69=0,"",I69/H69)</f>
        <v/>
      </c>
      <c r="K69" s="651">
        <f>SUM(K70:K73)</f>
        <v>0</v>
      </c>
    </row>
    <row r="70" spans="1:11" ht="12.75" customHeight="1" x14ac:dyDescent="0.2">
      <c r="A70" s="583" t="s">
        <v>1302</v>
      </c>
      <c r="B70" s="170"/>
      <c r="C70" s="758">
        <v>0</v>
      </c>
      <c r="D70" s="755">
        <v>0</v>
      </c>
      <c r="E70" s="743">
        <v>0</v>
      </c>
      <c r="F70" s="743">
        <v>0</v>
      </c>
      <c r="G70" s="743">
        <v>0</v>
      </c>
      <c r="H70" s="743">
        <v>0</v>
      </c>
      <c r="I70" s="259">
        <f>H70-G70</f>
        <v>0</v>
      </c>
      <c r="J70" s="584" t="str">
        <f t="shared" si="25"/>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5"/>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5"/>
        <v/>
      </c>
      <c r="K72" s="745">
        <v>0</v>
      </c>
    </row>
    <row r="73" spans="1:11" ht="12.75" customHeight="1" x14ac:dyDescent="0.2">
      <c r="A73" s="583" t="s">
        <v>1256</v>
      </c>
      <c r="B73" s="170"/>
      <c r="C73" s="758">
        <v>0</v>
      </c>
      <c r="D73" s="755">
        <v>268000.00000000006</v>
      </c>
      <c r="E73" s="743">
        <v>0</v>
      </c>
      <c r="F73" s="743">
        <v>0</v>
      </c>
      <c r="G73" s="743">
        <v>0</v>
      </c>
      <c r="H73" s="743">
        <v>0</v>
      </c>
      <c r="I73" s="259">
        <f>H73-G73</f>
        <v>0</v>
      </c>
      <c r="J73" s="584" t="str">
        <f t="shared" si="25"/>
        <v/>
      </c>
      <c r="K73" s="745">
        <v>0</v>
      </c>
    </row>
    <row r="74" spans="1:11" ht="5.25" customHeight="1" x14ac:dyDescent="0.2">
      <c r="A74" s="583"/>
      <c r="B74" s="170"/>
      <c r="C74" s="135"/>
      <c r="D74" s="47"/>
      <c r="E74" s="45"/>
      <c r="F74" s="45"/>
      <c r="G74" s="45"/>
      <c r="H74" s="45"/>
      <c r="I74" s="259"/>
      <c r="J74" s="584" t="str">
        <f t="shared" si="25"/>
        <v/>
      </c>
      <c r="K74" s="145"/>
    </row>
    <row r="75" spans="1:11" ht="12.75" customHeight="1" x14ac:dyDescent="0.2">
      <c r="A75" s="36" t="s">
        <v>1325</v>
      </c>
      <c r="B75" s="170"/>
      <c r="C75" s="585">
        <f t="shared" ref="C75:H75" si="26">+C76+C99</f>
        <v>0</v>
      </c>
      <c r="D75" s="586">
        <f t="shared" si="26"/>
        <v>293020450</v>
      </c>
      <c r="E75" s="587">
        <f t="shared" si="26"/>
        <v>69268194</v>
      </c>
      <c r="F75" s="587">
        <f t="shared" si="26"/>
        <v>12652878.562592</v>
      </c>
      <c r="G75" s="587">
        <f t="shared" si="26"/>
        <v>35403173.455760002</v>
      </c>
      <c r="H75" s="587">
        <f t="shared" si="26"/>
        <v>69268194</v>
      </c>
      <c r="I75" s="587">
        <f>H75-G75</f>
        <v>33865020.544239998</v>
      </c>
      <c r="J75" s="588">
        <f t="shared" si="25"/>
        <v>0.48889711985619255</v>
      </c>
      <c r="K75" s="589">
        <f>+K76+K99</f>
        <v>286002894</v>
      </c>
    </row>
    <row r="76" spans="1:11" ht="12.75" customHeight="1" x14ac:dyDescent="0.2">
      <c r="A76" s="521" t="s">
        <v>1305</v>
      </c>
      <c r="B76" s="170"/>
      <c r="C76" s="657">
        <f t="shared" ref="C76:H76" si="27">SUM(C77:C98)</f>
        <v>0</v>
      </c>
      <c r="D76" s="658">
        <f t="shared" si="27"/>
        <v>238480950</v>
      </c>
      <c r="E76" s="411">
        <f t="shared" si="27"/>
        <v>58268992</v>
      </c>
      <c r="F76" s="411">
        <f t="shared" si="27"/>
        <v>8661462.5530919991</v>
      </c>
      <c r="G76" s="411">
        <f t="shared" si="27"/>
        <v>30728323.808260001</v>
      </c>
      <c r="H76" s="411">
        <f t="shared" si="27"/>
        <v>58268992</v>
      </c>
      <c r="I76" s="259">
        <f t="shared" ref="I76:I87" si="28">H76-G76</f>
        <v>27540668.191739999</v>
      </c>
      <c r="J76" s="584">
        <f t="shared" ref="J76:J87" si="29">IF(I76=0,"",I76/H76)</f>
        <v>0.47264706744437929</v>
      </c>
      <c r="K76" s="651">
        <f>SUM(K77:K98)</f>
        <v>275003692</v>
      </c>
    </row>
    <row r="77" spans="1:11" ht="12.75" customHeight="1" x14ac:dyDescent="0.2">
      <c r="A77" s="583" t="s">
        <v>1306</v>
      </c>
      <c r="B77" s="170"/>
      <c r="C77" s="758">
        <v>0</v>
      </c>
      <c r="D77" s="763">
        <v>4500000</v>
      </c>
      <c r="E77" s="743"/>
      <c r="F77" s="743">
        <v>0</v>
      </c>
      <c r="G77" s="743">
        <v>0</v>
      </c>
      <c r="H77" s="743">
        <f t="shared" ref="H77:H98" si="30">E77/12*10</f>
        <v>0</v>
      </c>
      <c r="I77" s="45">
        <f t="shared" si="28"/>
        <v>0</v>
      </c>
      <c r="J77" s="125" t="str">
        <f t="shared" si="29"/>
        <v/>
      </c>
      <c r="K77" s="745">
        <f>D77</f>
        <v>4500000</v>
      </c>
    </row>
    <row r="78" spans="1:11" ht="12.75" customHeight="1" x14ac:dyDescent="0.2">
      <c r="A78" s="583" t="s">
        <v>1307</v>
      </c>
      <c r="B78" s="170"/>
      <c r="C78" s="758"/>
      <c r="D78" s="763">
        <v>1000000</v>
      </c>
      <c r="E78" s="743">
        <v>0</v>
      </c>
      <c r="F78" s="743">
        <v>0</v>
      </c>
      <c r="G78" s="743">
        <v>0</v>
      </c>
      <c r="H78" s="743">
        <f t="shared" si="30"/>
        <v>0</v>
      </c>
      <c r="I78" s="45">
        <f t="shared" si="28"/>
        <v>0</v>
      </c>
      <c r="J78" s="125" t="str">
        <f t="shared" si="29"/>
        <v/>
      </c>
      <c r="K78" s="745">
        <f t="shared" ref="K78:K98" si="31">D78</f>
        <v>1000000</v>
      </c>
    </row>
    <row r="79" spans="1:11" ht="12.75" customHeight="1" x14ac:dyDescent="0.2">
      <c r="A79" s="583" t="s">
        <v>1308</v>
      </c>
      <c r="B79" s="170"/>
      <c r="C79" s="758"/>
      <c r="D79" s="763">
        <v>0</v>
      </c>
      <c r="E79" s="743">
        <v>0</v>
      </c>
      <c r="F79" s="743">
        <v>0</v>
      </c>
      <c r="G79" s="743">
        <v>0</v>
      </c>
      <c r="H79" s="743">
        <f t="shared" si="30"/>
        <v>0</v>
      </c>
      <c r="I79" s="45">
        <f t="shared" si="28"/>
        <v>0</v>
      </c>
      <c r="J79" s="125" t="str">
        <f t="shared" si="29"/>
        <v/>
      </c>
      <c r="K79" s="745">
        <f t="shared" si="31"/>
        <v>0</v>
      </c>
    </row>
    <row r="80" spans="1:11" ht="12.75" customHeight="1" x14ac:dyDescent="0.2">
      <c r="A80" s="583" t="s">
        <v>1309</v>
      </c>
      <c r="B80" s="170"/>
      <c r="C80" s="758"/>
      <c r="D80" s="763">
        <v>0</v>
      </c>
      <c r="E80" s="743">
        <v>0</v>
      </c>
      <c r="F80" s="743">
        <v>0</v>
      </c>
      <c r="G80" s="743">
        <v>0</v>
      </c>
      <c r="H80" s="743">
        <f t="shared" si="30"/>
        <v>0</v>
      </c>
      <c r="I80" s="45">
        <f t="shared" si="28"/>
        <v>0</v>
      </c>
      <c r="J80" s="125" t="str">
        <f t="shared" si="29"/>
        <v/>
      </c>
      <c r="K80" s="745">
        <f t="shared" si="31"/>
        <v>0</v>
      </c>
    </row>
    <row r="81" spans="1:11" ht="12.75" customHeight="1" x14ac:dyDescent="0.2">
      <c r="A81" s="583" t="s">
        <v>1310</v>
      </c>
      <c r="B81" s="170"/>
      <c r="C81" s="758"/>
      <c r="D81" s="763">
        <v>0</v>
      </c>
      <c r="E81" s="743">
        <v>0</v>
      </c>
      <c r="F81" s="743">
        <v>0</v>
      </c>
      <c r="G81" s="743">
        <v>0</v>
      </c>
      <c r="H81" s="743">
        <f t="shared" si="30"/>
        <v>0</v>
      </c>
      <c r="I81" s="45">
        <f t="shared" si="28"/>
        <v>0</v>
      </c>
      <c r="J81" s="125" t="str">
        <f t="shared" si="29"/>
        <v/>
      </c>
      <c r="K81" s="745">
        <f t="shared" si="31"/>
        <v>0</v>
      </c>
    </row>
    <row r="82" spans="1:11" ht="12.75" customHeight="1" x14ac:dyDescent="0.2">
      <c r="A82" s="583" t="s">
        <v>1311</v>
      </c>
      <c r="B82" s="170"/>
      <c r="C82" s="758"/>
      <c r="D82" s="763">
        <v>3500000</v>
      </c>
      <c r="E82" s="743">
        <v>55268992</v>
      </c>
      <c r="F82" s="743">
        <v>8661462.5530919991</v>
      </c>
      <c r="G82" s="743">
        <v>30728323.808260001</v>
      </c>
      <c r="H82" s="743">
        <f>E82</f>
        <v>55268992</v>
      </c>
      <c r="I82" s="45">
        <f t="shared" si="28"/>
        <v>24540668.191739999</v>
      </c>
      <c r="J82" s="125">
        <f t="shared" si="29"/>
        <v>0.4440223587168009</v>
      </c>
      <c r="K82" s="745">
        <f t="shared" ref="K82:K87" si="32">E82</f>
        <v>55268992</v>
      </c>
    </row>
    <row r="83" spans="1:11" ht="12.75" customHeight="1" x14ac:dyDescent="0.2">
      <c r="A83" s="583" t="s">
        <v>1312</v>
      </c>
      <c r="B83" s="170"/>
      <c r="C83" s="758"/>
      <c r="D83" s="763">
        <v>0</v>
      </c>
      <c r="E83" s="743">
        <v>0</v>
      </c>
      <c r="F83" s="743">
        <v>0</v>
      </c>
      <c r="G83" s="743">
        <v>0</v>
      </c>
      <c r="H83" s="743">
        <f>E83</f>
        <v>0</v>
      </c>
      <c r="I83" s="45">
        <f t="shared" si="28"/>
        <v>0</v>
      </c>
      <c r="J83" s="125" t="str">
        <f t="shared" si="29"/>
        <v/>
      </c>
      <c r="K83" s="745">
        <f t="shared" si="32"/>
        <v>0</v>
      </c>
    </row>
    <row r="84" spans="1:11" ht="12.75" customHeight="1" x14ac:dyDescent="0.2">
      <c r="A84" s="583" t="s">
        <v>1313</v>
      </c>
      <c r="B84" s="170"/>
      <c r="C84" s="758"/>
      <c r="D84" s="763">
        <v>0</v>
      </c>
      <c r="E84" s="743">
        <v>0</v>
      </c>
      <c r="F84" s="743">
        <v>0</v>
      </c>
      <c r="G84" s="743">
        <v>0</v>
      </c>
      <c r="H84" s="743">
        <f>E84</f>
        <v>0</v>
      </c>
      <c r="I84" s="45">
        <f t="shared" si="28"/>
        <v>0</v>
      </c>
      <c r="J84" s="125" t="str">
        <f t="shared" si="29"/>
        <v/>
      </c>
      <c r="K84" s="745">
        <f t="shared" si="32"/>
        <v>0</v>
      </c>
    </row>
    <row r="85" spans="1:11" ht="12.75" customHeight="1" x14ac:dyDescent="0.2">
      <c r="A85" s="583" t="s">
        <v>1189</v>
      </c>
      <c r="B85" s="170"/>
      <c r="C85" s="758"/>
      <c r="D85" s="763">
        <v>0</v>
      </c>
      <c r="E85" s="743">
        <v>0</v>
      </c>
      <c r="F85" s="743">
        <v>0</v>
      </c>
      <c r="G85" s="743">
        <v>0</v>
      </c>
      <c r="H85" s="743">
        <f>E85</f>
        <v>0</v>
      </c>
      <c r="I85" s="45">
        <f t="shared" si="28"/>
        <v>0</v>
      </c>
      <c r="J85" s="125" t="str">
        <f t="shared" si="29"/>
        <v/>
      </c>
      <c r="K85" s="745">
        <f t="shared" si="32"/>
        <v>0</v>
      </c>
    </row>
    <row r="86" spans="1:11" ht="12.75" customHeight="1" x14ac:dyDescent="0.2">
      <c r="A86" s="583" t="s">
        <v>572</v>
      </c>
      <c r="B86" s="170"/>
      <c r="C86" s="758"/>
      <c r="D86" s="763">
        <v>0</v>
      </c>
      <c r="E86" s="743">
        <v>3000000</v>
      </c>
      <c r="F86" s="743">
        <v>0</v>
      </c>
      <c r="G86" s="743">
        <v>0</v>
      </c>
      <c r="H86" s="743">
        <f>E86</f>
        <v>3000000</v>
      </c>
      <c r="I86" s="45">
        <f t="shared" si="28"/>
        <v>3000000</v>
      </c>
      <c r="J86" s="125">
        <f t="shared" si="29"/>
        <v>1</v>
      </c>
      <c r="K86" s="745">
        <f t="shared" si="32"/>
        <v>3000000</v>
      </c>
    </row>
    <row r="87" spans="1:11" ht="12.75" customHeight="1" x14ac:dyDescent="0.2">
      <c r="A87" s="583" t="s">
        <v>1314</v>
      </c>
      <c r="B87" s="170"/>
      <c r="C87" s="758"/>
      <c r="D87" s="763">
        <v>0</v>
      </c>
      <c r="E87" s="743">
        <v>0</v>
      </c>
      <c r="F87" s="743">
        <v>0</v>
      </c>
      <c r="G87" s="743">
        <v>0</v>
      </c>
      <c r="H87" s="743">
        <f t="shared" si="30"/>
        <v>0</v>
      </c>
      <c r="I87" s="45">
        <f t="shared" si="28"/>
        <v>0</v>
      </c>
      <c r="J87" s="125" t="str">
        <f t="shared" si="29"/>
        <v/>
      </c>
      <c r="K87" s="745">
        <f t="shared" si="32"/>
        <v>0</v>
      </c>
    </row>
    <row r="88" spans="1:11" ht="12.75" customHeight="1" x14ac:dyDescent="0.2">
      <c r="A88" s="583" t="s">
        <v>173</v>
      </c>
      <c r="B88" s="170"/>
      <c r="C88" s="758"/>
      <c r="D88" s="763">
        <v>11950750</v>
      </c>
      <c r="E88" s="743">
        <v>0</v>
      </c>
      <c r="F88" s="743">
        <v>0</v>
      </c>
      <c r="G88" s="743">
        <v>0</v>
      </c>
      <c r="H88" s="743">
        <f t="shared" si="30"/>
        <v>0</v>
      </c>
      <c r="I88" s="45">
        <f t="shared" ref="I88:I133" si="33">H88-G88</f>
        <v>0</v>
      </c>
      <c r="J88" s="125" t="str">
        <f t="shared" ref="J88:J119" si="34">IF(I88=0,"",I88/H88)</f>
        <v/>
      </c>
      <c r="K88" s="745">
        <v>0</v>
      </c>
    </row>
    <row r="89" spans="1:11" ht="12.75" customHeight="1" x14ac:dyDescent="0.2">
      <c r="A89" s="583" t="s">
        <v>1315</v>
      </c>
      <c r="B89" s="170"/>
      <c r="C89" s="758"/>
      <c r="D89" s="763">
        <v>6295500</v>
      </c>
      <c r="E89" s="743">
        <v>0</v>
      </c>
      <c r="F89" s="743">
        <v>0</v>
      </c>
      <c r="G89" s="743">
        <v>0</v>
      </c>
      <c r="H89" s="743">
        <f t="shared" si="30"/>
        <v>0</v>
      </c>
      <c r="I89" s="45">
        <f t="shared" si="33"/>
        <v>0</v>
      </c>
      <c r="J89" s="125" t="str">
        <f t="shared" si="34"/>
        <v/>
      </c>
      <c r="K89" s="745">
        <v>0</v>
      </c>
    </row>
    <row r="90" spans="1:11" ht="12.75" customHeight="1" x14ac:dyDescent="0.2">
      <c r="A90" s="583" t="s">
        <v>1316</v>
      </c>
      <c r="B90" s="170"/>
      <c r="C90" s="758"/>
      <c r="D90" s="763">
        <v>0</v>
      </c>
      <c r="E90" s="743">
        <v>0</v>
      </c>
      <c r="F90" s="743">
        <v>0</v>
      </c>
      <c r="G90" s="743">
        <v>0</v>
      </c>
      <c r="H90" s="743">
        <f t="shared" si="30"/>
        <v>0</v>
      </c>
      <c r="I90" s="45">
        <f t="shared" si="33"/>
        <v>0</v>
      </c>
      <c r="J90" s="125" t="str">
        <f t="shared" si="34"/>
        <v/>
      </c>
      <c r="K90" s="745">
        <f t="shared" si="31"/>
        <v>0</v>
      </c>
    </row>
    <row r="91" spans="1:11" ht="12.75" customHeight="1" x14ac:dyDescent="0.2">
      <c r="A91" s="583" t="s">
        <v>1317</v>
      </c>
      <c r="B91" s="170"/>
      <c r="C91" s="758"/>
      <c r="D91" s="763">
        <v>0</v>
      </c>
      <c r="E91" s="743">
        <v>0</v>
      </c>
      <c r="F91" s="743">
        <v>0</v>
      </c>
      <c r="G91" s="743">
        <v>0</v>
      </c>
      <c r="H91" s="743">
        <f t="shared" si="30"/>
        <v>0</v>
      </c>
      <c r="I91" s="45">
        <f t="shared" si="33"/>
        <v>0</v>
      </c>
      <c r="J91" s="125" t="str">
        <f t="shared" si="34"/>
        <v/>
      </c>
      <c r="K91" s="745">
        <f t="shared" si="31"/>
        <v>0</v>
      </c>
    </row>
    <row r="92" spans="1:11" ht="12.75" customHeight="1" x14ac:dyDescent="0.2">
      <c r="A92" s="583" t="s">
        <v>1318</v>
      </c>
      <c r="B92" s="170"/>
      <c r="C92" s="758"/>
      <c r="D92" s="763">
        <v>1170000</v>
      </c>
      <c r="E92" s="743">
        <v>0</v>
      </c>
      <c r="F92" s="743">
        <v>0</v>
      </c>
      <c r="G92" s="743">
        <v>0</v>
      </c>
      <c r="H92" s="743">
        <f t="shared" si="30"/>
        <v>0</v>
      </c>
      <c r="I92" s="45">
        <f t="shared" si="33"/>
        <v>0</v>
      </c>
      <c r="J92" s="125" t="str">
        <f t="shared" si="34"/>
        <v/>
      </c>
      <c r="K92" s="745">
        <f t="shared" si="31"/>
        <v>1170000</v>
      </c>
    </row>
    <row r="93" spans="1:11" ht="12.75" customHeight="1" x14ac:dyDescent="0.2">
      <c r="A93" s="583" t="s">
        <v>451</v>
      </c>
      <c r="B93" s="170"/>
      <c r="C93" s="758"/>
      <c r="D93" s="763">
        <v>0</v>
      </c>
      <c r="E93" s="743">
        <v>0</v>
      </c>
      <c r="F93" s="743">
        <v>0</v>
      </c>
      <c r="G93" s="743">
        <v>0</v>
      </c>
      <c r="H93" s="743">
        <f t="shared" si="30"/>
        <v>0</v>
      </c>
      <c r="I93" s="45">
        <f t="shared" si="33"/>
        <v>0</v>
      </c>
      <c r="J93" s="125" t="str">
        <f t="shared" si="34"/>
        <v/>
      </c>
      <c r="K93" s="745">
        <f t="shared" si="31"/>
        <v>0</v>
      </c>
    </row>
    <row r="94" spans="1:11" ht="12.75" customHeight="1" x14ac:dyDescent="0.2">
      <c r="A94" s="583" t="s">
        <v>1319</v>
      </c>
      <c r="B94" s="170"/>
      <c r="C94" s="758"/>
      <c r="D94" s="763">
        <v>0</v>
      </c>
      <c r="E94" s="743">
        <v>0</v>
      </c>
      <c r="F94" s="743">
        <v>0</v>
      </c>
      <c r="G94" s="743">
        <v>0</v>
      </c>
      <c r="H94" s="743">
        <f t="shared" si="30"/>
        <v>0</v>
      </c>
      <c r="I94" s="45">
        <f t="shared" si="33"/>
        <v>0</v>
      </c>
      <c r="J94" s="125" t="str">
        <f t="shared" si="34"/>
        <v/>
      </c>
      <c r="K94" s="745">
        <f t="shared" si="31"/>
        <v>0</v>
      </c>
    </row>
    <row r="95" spans="1:11" ht="12.75" customHeight="1" x14ac:dyDescent="0.2">
      <c r="A95" s="583" t="s">
        <v>450</v>
      </c>
      <c r="B95" s="170"/>
      <c r="C95" s="758"/>
      <c r="D95" s="763">
        <v>0</v>
      </c>
      <c r="E95" s="743">
        <v>0</v>
      </c>
      <c r="F95" s="743">
        <v>0</v>
      </c>
      <c r="G95" s="743">
        <v>0</v>
      </c>
      <c r="H95" s="743">
        <f t="shared" si="30"/>
        <v>0</v>
      </c>
      <c r="I95" s="45">
        <f t="shared" si="33"/>
        <v>0</v>
      </c>
      <c r="J95" s="125" t="str">
        <f t="shared" si="34"/>
        <v/>
      </c>
      <c r="K95" s="745">
        <f t="shared" si="31"/>
        <v>0</v>
      </c>
    </row>
    <row r="96" spans="1:11" ht="12.75" customHeight="1" x14ac:dyDescent="0.2">
      <c r="A96" s="583" t="s">
        <v>1320</v>
      </c>
      <c r="B96" s="170"/>
      <c r="C96" s="758"/>
      <c r="D96" s="763">
        <v>0</v>
      </c>
      <c r="E96" s="743">
        <v>0</v>
      </c>
      <c r="F96" s="743">
        <v>0</v>
      </c>
      <c r="G96" s="743">
        <v>0</v>
      </c>
      <c r="H96" s="743">
        <f t="shared" si="30"/>
        <v>0</v>
      </c>
      <c r="I96" s="45">
        <f t="shared" si="33"/>
        <v>0</v>
      </c>
      <c r="J96" s="125" t="str">
        <f t="shared" si="34"/>
        <v/>
      </c>
      <c r="K96" s="745">
        <f t="shared" si="31"/>
        <v>0</v>
      </c>
    </row>
    <row r="97" spans="1:11" ht="12.75" customHeight="1" x14ac:dyDescent="0.2">
      <c r="A97" s="583" t="s">
        <v>1321</v>
      </c>
      <c r="B97" s="170"/>
      <c r="C97" s="758"/>
      <c r="D97" s="763">
        <v>203894300</v>
      </c>
      <c r="E97" s="743">
        <v>0</v>
      </c>
      <c r="F97" s="743">
        <v>0</v>
      </c>
      <c r="G97" s="743">
        <v>0</v>
      </c>
      <c r="H97" s="743">
        <f t="shared" si="30"/>
        <v>0</v>
      </c>
      <c r="I97" s="45">
        <f t="shared" si="33"/>
        <v>0</v>
      </c>
      <c r="J97" s="125" t="str">
        <f t="shared" si="34"/>
        <v/>
      </c>
      <c r="K97" s="745">
        <f t="shared" si="31"/>
        <v>203894300</v>
      </c>
    </row>
    <row r="98" spans="1:11" ht="12.75" customHeight="1" x14ac:dyDescent="0.2">
      <c r="A98" s="583" t="s">
        <v>1256</v>
      </c>
      <c r="B98" s="170"/>
      <c r="C98" s="758"/>
      <c r="D98" s="763">
        <v>6170400</v>
      </c>
      <c r="E98" s="743">
        <v>0</v>
      </c>
      <c r="F98" s="743">
        <v>0</v>
      </c>
      <c r="G98" s="743">
        <v>0</v>
      </c>
      <c r="H98" s="743">
        <f t="shared" si="30"/>
        <v>0</v>
      </c>
      <c r="I98" s="45">
        <f t="shared" si="33"/>
        <v>0</v>
      </c>
      <c r="J98" s="125" t="str">
        <f t="shared" si="34"/>
        <v/>
      </c>
      <c r="K98" s="745">
        <f t="shared" si="31"/>
        <v>6170400</v>
      </c>
    </row>
    <row r="99" spans="1:11" ht="12.75" customHeight="1" x14ac:dyDescent="0.2">
      <c r="A99" s="521" t="s">
        <v>1322</v>
      </c>
      <c r="B99" s="170"/>
      <c r="C99" s="657">
        <f t="shared" ref="C99:H99" si="35">SUM(C100:C102)</f>
        <v>0</v>
      </c>
      <c r="D99" s="658">
        <f t="shared" si="35"/>
        <v>54539500</v>
      </c>
      <c r="E99" s="411">
        <f t="shared" si="35"/>
        <v>10999202</v>
      </c>
      <c r="F99" s="411">
        <f t="shared" si="35"/>
        <v>3991416.0094999997</v>
      </c>
      <c r="G99" s="411">
        <f t="shared" si="35"/>
        <v>4674849.647499999</v>
      </c>
      <c r="H99" s="411">
        <f t="shared" si="35"/>
        <v>10999202</v>
      </c>
      <c r="I99" s="259">
        <f t="shared" si="33"/>
        <v>6324352.352500001</v>
      </c>
      <c r="J99" s="584">
        <f t="shared" si="34"/>
        <v>0.5749828353456915</v>
      </c>
      <c r="K99" s="651">
        <f>SUM(K100:K102)</f>
        <v>10999202</v>
      </c>
    </row>
    <row r="100" spans="1:11" ht="12.75" customHeight="1" x14ac:dyDescent="0.2">
      <c r="A100" s="583" t="s">
        <v>1323</v>
      </c>
      <c r="B100" s="170"/>
      <c r="C100" s="758"/>
      <c r="D100" s="763"/>
      <c r="E100" s="743">
        <v>0</v>
      </c>
      <c r="F100" s="743">
        <v>0</v>
      </c>
      <c r="G100" s="743">
        <v>0</v>
      </c>
      <c r="H100" s="743">
        <f t="shared" ref="H100:H102" si="36">E100/12*10</f>
        <v>0</v>
      </c>
      <c r="I100" s="45">
        <f t="shared" si="33"/>
        <v>0</v>
      </c>
      <c r="J100" s="125" t="str">
        <f t="shared" si="34"/>
        <v/>
      </c>
      <c r="K100" s="745">
        <f>D100</f>
        <v>0</v>
      </c>
    </row>
    <row r="101" spans="1:11" ht="12.75" customHeight="1" x14ac:dyDescent="0.2">
      <c r="A101" s="583" t="s">
        <v>1324</v>
      </c>
      <c r="B101" s="170"/>
      <c r="C101" s="758"/>
      <c r="D101" s="763">
        <v>54539500</v>
      </c>
      <c r="E101" s="743">
        <v>10999202</v>
      </c>
      <c r="F101" s="743">
        <v>3991416.0094999997</v>
      </c>
      <c r="G101" s="743">
        <v>4674849.647499999</v>
      </c>
      <c r="H101" s="743">
        <f>E101</f>
        <v>10999202</v>
      </c>
      <c r="I101" s="45">
        <f t="shared" si="33"/>
        <v>6324352.352500001</v>
      </c>
      <c r="J101" s="125">
        <f t="shared" si="34"/>
        <v>0.5749828353456915</v>
      </c>
      <c r="K101" s="745">
        <f>E101</f>
        <v>10999202</v>
      </c>
    </row>
    <row r="102" spans="1:11" ht="12.75" customHeight="1" x14ac:dyDescent="0.2">
      <c r="A102" s="583" t="s">
        <v>1256</v>
      </c>
      <c r="B102" s="170"/>
      <c r="C102" s="758"/>
      <c r="D102" s="763"/>
      <c r="E102" s="743">
        <v>0</v>
      </c>
      <c r="F102" s="743">
        <v>0</v>
      </c>
      <c r="G102" s="743">
        <v>0</v>
      </c>
      <c r="H102" s="743">
        <f t="shared" si="36"/>
        <v>0</v>
      </c>
      <c r="I102" s="45">
        <f t="shared" si="33"/>
        <v>0</v>
      </c>
      <c r="J102" s="125" t="str">
        <f t="shared" si="34"/>
        <v/>
      </c>
      <c r="K102" s="745">
        <f>D102</f>
        <v>0</v>
      </c>
    </row>
    <row r="103" spans="1:11" ht="12.75" customHeight="1" x14ac:dyDescent="0.2">
      <c r="A103" s="553" t="s">
        <v>690</v>
      </c>
      <c r="B103" s="170"/>
      <c r="C103" s="250">
        <f t="shared" ref="C103:H103" si="37">SUM(C104:C108)</f>
        <v>0</v>
      </c>
      <c r="D103" s="265">
        <f t="shared" si="37"/>
        <v>12168500</v>
      </c>
      <c r="E103" s="100">
        <f t="shared" si="37"/>
        <v>0</v>
      </c>
      <c r="F103" s="100">
        <f t="shared" si="37"/>
        <v>0</v>
      </c>
      <c r="G103" s="100">
        <f t="shared" si="37"/>
        <v>69754.377000000008</v>
      </c>
      <c r="H103" s="100">
        <f t="shared" si="37"/>
        <v>0</v>
      </c>
      <c r="I103" s="100">
        <f t="shared" si="33"/>
        <v>-69754.377000000008</v>
      </c>
      <c r="J103" s="327" t="e">
        <f t="shared" si="34"/>
        <v>#DIV/0!</v>
      </c>
      <c r="K103" s="196">
        <f>SUM(K104:K108)</f>
        <v>0</v>
      </c>
    </row>
    <row r="104" spans="1:11" ht="12.75" customHeight="1" x14ac:dyDescent="0.2">
      <c r="A104" s="521" t="s">
        <v>1326</v>
      </c>
      <c r="B104" s="170"/>
      <c r="C104" s="796">
        <v>0</v>
      </c>
      <c r="D104" s="763">
        <v>0</v>
      </c>
      <c r="E104" s="743">
        <v>0</v>
      </c>
      <c r="F104" s="743">
        <v>0</v>
      </c>
      <c r="G104" s="743">
        <v>0</v>
      </c>
      <c r="H104" s="743">
        <f t="shared" ref="H104:H107" si="38">E104/12*8</f>
        <v>0</v>
      </c>
      <c r="I104" s="45">
        <f t="shared" si="33"/>
        <v>0</v>
      </c>
      <c r="J104" s="125" t="str">
        <f t="shared" si="34"/>
        <v/>
      </c>
      <c r="K104" s="745">
        <v>0</v>
      </c>
    </row>
    <row r="105" spans="1:11" ht="12.75" customHeight="1" x14ac:dyDescent="0.2">
      <c r="A105" s="520" t="s">
        <v>1327</v>
      </c>
      <c r="B105" s="170"/>
      <c r="C105" s="796">
        <v>0</v>
      </c>
      <c r="D105" s="763">
        <v>0</v>
      </c>
      <c r="E105" s="743">
        <v>0</v>
      </c>
      <c r="F105" s="743">
        <v>0</v>
      </c>
      <c r="G105" s="743">
        <v>0</v>
      </c>
      <c r="H105" s="743">
        <f t="shared" si="38"/>
        <v>0</v>
      </c>
      <c r="I105" s="45">
        <f t="shared" si="33"/>
        <v>0</v>
      </c>
      <c r="J105" s="125" t="str">
        <f t="shared" si="34"/>
        <v/>
      </c>
      <c r="K105" s="745">
        <v>0</v>
      </c>
    </row>
    <row r="106" spans="1:11" ht="12.75" customHeight="1" x14ac:dyDescent="0.2">
      <c r="A106" s="521" t="s">
        <v>1328</v>
      </c>
      <c r="B106" s="170"/>
      <c r="C106" s="796">
        <v>0</v>
      </c>
      <c r="D106" s="763">
        <v>12168500</v>
      </c>
      <c r="E106" s="743"/>
      <c r="F106" s="743">
        <v>0</v>
      </c>
      <c r="G106" s="743">
        <v>0</v>
      </c>
      <c r="H106" s="743">
        <f t="shared" si="38"/>
        <v>0</v>
      </c>
      <c r="I106" s="45">
        <f t="shared" si="33"/>
        <v>0</v>
      </c>
      <c r="J106" s="125" t="str">
        <f t="shared" si="34"/>
        <v/>
      </c>
      <c r="K106" s="745"/>
    </row>
    <row r="107" spans="1:11" ht="12.75" customHeight="1" x14ac:dyDescent="0.2">
      <c r="A107" s="521" t="s">
        <v>1329</v>
      </c>
      <c r="B107" s="170"/>
      <c r="C107" s="796">
        <v>0</v>
      </c>
      <c r="D107" s="763">
        <v>0</v>
      </c>
      <c r="E107" s="743">
        <v>0</v>
      </c>
      <c r="F107" s="743">
        <v>0</v>
      </c>
      <c r="G107" s="743">
        <v>0</v>
      </c>
      <c r="H107" s="743">
        <f t="shared" si="38"/>
        <v>0</v>
      </c>
      <c r="I107" s="45">
        <f t="shared" si="33"/>
        <v>0</v>
      </c>
      <c r="J107" s="125" t="str">
        <f t="shared" si="34"/>
        <v/>
      </c>
      <c r="K107" s="745">
        <v>0</v>
      </c>
    </row>
    <row r="108" spans="1:11" ht="12.75" customHeight="1" x14ac:dyDescent="0.2">
      <c r="A108" s="520" t="s">
        <v>1330</v>
      </c>
      <c r="B108" s="170"/>
      <c r="C108" s="796">
        <v>0</v>
      </c>
      <c r="D108" s="763">
        <v>0</v>
      </c>
      <c r="E108" s="743">
        <v>0</v>
      </c>
      <c r="F108" s="743">
        <v>0</v>
      </c>
      <c r="G108" s="743">
        <v>69754.377000000008</v>
      </c>
      <c r="H108" s="743">
        <f>E108</f>
        <v>0</v>
      </c>
      <c r="I108" s="45">
        <f t="shared" si="33"/>
        <v>-69754.377000000008</v>
      </c>
      <c r="J108" s="125" t="e">
        <f t="shared" si="34"/>
        <v>#DIV/0!</v>
      </c>
      <c r="K108" s="745">
        <f>E108</f>
        <v>0</v>
      </c>
    </row>
    <row r="109" spans="1:11" ht="5.0999999999999996" customHeight="1" x14ac:dyDescent="0.2">
      <c r="A109" s="950"/>
      <c r="B109" s="170"/>
      <c r="C109" s="135"/>
      <c r="D109" s="259"/>
      <c r="E109" s="45"/>
      <c r="F109" s="45"/>
      <c r="G109" s="45"/>
      <c r="H109" s="45"/>
      <c r="I109" s="45">
        <f t="shared" si="33"/>
        <v>0</v>
      </c>
      <c r="J109" s="125" t="str">
        <f t="shared" si="34"/>
        <v/>
      </c>
      <c r="K109" s="145"/>
    </row>
    <row r="110" spans="1:11" ht="12.75" customHeight="1" x14ac:dyDescent="0.2">
      <c r="A110" s="951" t="s">
        <v>691</v>
      </c>
      <c r="B110" s="39"/>
      <c r="C110" s="585">
        <f t="shared" ref="C110:H110" si="39">+C111+C114</f>
        <v>0</v>
      </c>
      <c r="D110" s="586">
        <f t="shared" si="39"/>
        <v>0</v>
      </c>
      <c r="E110" s="587">
        <f t="shared" si="39"/>
        <v>0</v>
      </c>
      <c r="F110" s="587">
        <f t="shared" si="39"/>
        <v>0</v>
      </c>
      <c r="G110" s="587">
        <f t="shared" si="39"/>
        <v>0</v>
      </c>
      <c r="H110" s="587">
        <f t="shared" si="39"/>
        <v>0</v>
      </c>
      <c r="I110" s="100">
        <f t="shared" si="33"/>
        <v>0</v>
      </c>
      <c r="J110" s="327" t="str">
        <f t="shared" si="34"/>
        <v/>
      </c>
      <c r="K110" s="589">
        <f>+K111+K114</f>
        <v>0</v>
      </c>
    </row>
    <row r="111" spans="1:11" ht="12.75" customHeight="1" x14ac:dyDescent="0.2">
      <c r="A111" s="521" t="s">
        <v>1331</v>
      </c>
      <c r="B111" s="170"/>
      <c r="C111" s="657">
        <f t="shared" ref="C111:H111" si="40">SUM(C112:C113)</f>
        <v>0</v>
      </c>
      <c r="D111" s="658">
        <f t="shared" si="40"/>
        <v>0</v>
      </c>
      <c r="E111" s="411">
        <f t="shared" si="40"/>
        <v>0</v>
      </c>
      <c r="F111" s="411">
        <f t="shared" si="40"/>
        <v>0</v>
      </c>
      <c r="G111" s="411">
        <f t="shared" si="40"/>
        <v>0</v>
      </c>
      <c r="H111" s="411">
        <f t="shared" si="40"/>
        <v>0</v>
      </c>
      <c r="I111" s="259">
        <f t="shared" si="33"/>
        <v>0</v>
      </c>
      <c r="J111" s="584" t="str">
        <f t="shared" si="34"/>
        <v/>
      </c>
      <c r="K111" s="651">
        <f>SUM(K112:K113)</f>
        <v>0</v>
      </c>
    </row>
    <row r="112" spans="1:11" ht="12.75" customHeight="1" x14ac:dyDescent="0.2">
      <c r="A112" s="583" t="s">
        <v>1332</v>
      </c>
      <c r="B112" s="170"/>
      <c r="C112" s="758">
        <v>0</v>
      </c>
      <c r="D112" s="763">
        <v>0</v>
      </c>
      <c r="E112" s="743">
        <v>0</v>
      </c>
      <c r="F112" s="743">
        <v>0</v>
      </c>
      <c r="G112" s="743">
        <v>0</v>
      </c>
      <c r="H112" s="743">
        <v>0</v>
      </c>
      <c r="I112" s="45">
        <f t="shared" si="33"/>
        <v>0</v>
      </c>
      <c r="J112" s="125" t="str">
        <f t="shared" si="34"/>
        <v/>
      </c>
      <c r="K112" s="745"/>
    </row>
    <row r="113" spans="1:11" ht="12.75" customHeight="1" x14ac:dyDescent="0.2">
      <c r="A113" s="583" t="s">
        <v>1333</v>
      </c>
      <c r="B113" s="170"/>
      <c r="C113" s="758">
        <v>0</v>
      </c>
      <c r="D113" s="763">
        <v>0</v>
      </c>
      <c r="E113" s="743">
        <v>0</v>
      </c>
      <c r="F113" s="743">
        <v>0</v>
      </c>
      <c r="G113" s="743">
        <v>0</v>
      </c>
      <c r="H113" s="743">
        <v>0</v>
      </c>
      <c r="I113" s="45">
        <f t="shared" si="33"/>
        <v>0</v>
      </c>
      <c r="J113" s="125" t="str">
        <f t="shared" si="34"/>
        <v/>
      </c>
      <c r="K113" s="745">
        <f>D113</f>
        <v>0</v>
      </c>
    </row>
    <row r="114" spans="1:11" ht="12.75" customHeight="1" x14ac:dyDescent="0.2">
      <c r="A114" s="521" t="s">
        <v>1334</v>
      </c>
      <c r="B114" s="170"/>
      <c r="C114" s="657">
        <f t="shared" ref="C114:H114" si="41">SUM(C115:C116)</f>
        <v>0</v>
      </c>
      <c r="D114" s="658">
        <f t="shared" si="41"/>
        <v>0</v>
      </c>
      <c r="E114" s="411">
        <f t="shared" si="41"/>
        <v>0</v>
      </c>
      <c r="F114" s="411">
        <f t="shared" si="41"/>
        <v>0</v>
      </c>
      <c r="G114" s="411">
        <f t="shared" si="41"/>
        <v>0</v>
      </c>
      <c r="H114" s="411">
        <f t="shared" si="41"/>
        <v>0</v>
      </c>
      <c r="I114" s="259">
        <f t="shared" si="33"/>
        <v>0</v>
      </c>
      <c r="J114" s="584" t="str">
        <f t="shared" si="34"/>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3"/>
        <v>0</v>
      </c>
      <c r="J115" s="125" t="str">
        <f t="shared" si="34"/>
        <v/>
      </c>
      <c r="K115" s="745"/>
    </row>
    <row r="116" spans="1:11" ht="12.75" customHeight="1" x14ac:dyDescent="0.2">
      <c r="A116" s="583" t="s">
        <v>1333</v>
      </c>
      <c r="B116" s="170"/>
      <c r="C116" s="758">
        <v>0</v>
      </c>
      <c r="D116" s="763"/>
      <c r="E116" s="743"/>
      <c r="F116" s="743"/>
      <c r="G116" s="743"/>
      <c r="H116" s="743">
        <f>D116/12*7</f>
        <v>0</v>
      </c>
      <c r="I116" s="45">
        <f t="shared" si="33"/>
        <v>0</v>
      </c>
      <c r="J116" s="125" t="str">
        <f t="shared" si="34"/>
        <v/>
      </c>
      <c r="K116" s="745"/>
    </row>
    <row r="117" spans="1:11" ht="12.75" customHeight="1" x14ac:dyDescent="0.2">
      <c r="A117" s="951" t="s">
        <v>692</v>
      </c>
      <c r="B117" s="170"/>
      <c r="C117" s="585">
        <f t="shared" ref="C117:H117" si="42">+C118+C130</f>
        <v>0</v>
      </c>
      <c r="D117" s="586">
        <f t="shared" si="42"/>
        <v>16992000</v>
      </c>
      <c r="E117" s="587">
        <f t="shared" si="42"/>
        <v>3700000</v>
      </c>
      <c r="F117" s="587">
        <f t="shared" si="42"/>
        <v>0</v>
      </c>
      <c r="G117" s="587">
        <f t="shared" si="42"/>
        <v>0</v>
      </c>
      <c r="H117" s="587">
        <f t="shared" si="42"/>
        <v>3700000</v>
      </c>
      <c r="I117" s="587">
        <f t="shared" si="33"/>
        <v>3700000</v>
      </c>
      <c r="J117" s="588">
        <f t="shared" si="34"/>
        <v>1</v>
      </c>
      <c r="K117" s="589">
        <f>+K118+K130</f>
        <v>3700000</v>
      </c>
    </row>
    <row r="118" spans="1:11" ht="12.75" customHeight="1" x14ac:dyDescent="0.2">
      <c r="A118" s="521" t="s">
        <v>1335</v>
      </c>
      <c r="B118" s="170"/>
      <c r="C118" s="657">
        <f t="shared" ref="C118:H118" si="43">SUM(C119:C129)</f>
        <v>0</v>
      </c>
      <c r="D118" s="658">
        <f t="shared" si="43"/>
        <v>12992000</v>
      </c>
      <c r="E118" s="411">
        <f t="shared" si="43"/>
        <v>3700000</v>
      </c>
      <c r="F118" s="411">
        <f t="shared" si="43"/>
        <v>0</v>
      </c>
      <c r="G118" s="411">
        <f t="shared" si="43"/>
        <v>0</v>
      </c>
      <c r="H118" s="411">
        <f t="shared" si="43"/>
        <v>3700000</v>
      </c>
      <c r="I118" s="259">
        <f t="shared" si="33"/>
        <v>3700000</v>
      </c>
      <c r="J118" s="584">
        <f t="shared" si="34"/>
        <v>1</v>
      </c>
      <c r="K118" s="651">
        <f>SUM(K119:K129)</f>
        <v>3700000</v>
      </c>
    </row>
    <row r="119" spans="1:11" ht="12.75" customHeight="1" x14ac:dyDescent="0.2">
      <c r="A119" s="583" t="s">
        <v>1336</v>
      </c>
      <c r="B119" s="170"/>
      <c r="C119" s="758">
        <v>0</v>
      </c>
      <c r="D119" s="763">
        <v>12992000</v>
      </c>
      <c r="E119" s="743">
        <v>3700000</v>
      </c>
      <c r="F119" s="743">
        <v>0</v>
      </c>
      <c r="G119" s="743">
        <f t="shared" ref="G119:G124" si="44">+F119</f>
        <v>0</v>
      </c>
      <c r="H119" s="743">
        <f>E119</f>
        <v>3700000</v>
      </c>
      <c r="I119" s="45">
        <f t="shared" si="33"/>
        <v>3700000</v>
      </c>
      <c r="J119" s="125">
        <f t="shared" si="34"/>
        <v>1</v>
      </c>
      <c r="K119" s="745">
        <f>E119</f>
        <v>3700000</v>
      </c>
    </row>
    <row r="120" spans="1:11" ht="12.75" customHeight="1" x14ac:dyDescent="0.2">
      <c r="A120" s="583" t="s">
        <v>1337</v>
      </c>
      <c r="B120" s="170"/>
      <c r="C120" s="758">
        <v>0</v>
      </c>
      <c r="D120" s="763">
        <v>0</v>
      </c>
      <c r="E120" s="743">
        <v>0</v>
      </c>
      <c r="F120" s="743">
        <v>0</v>
      </c>
      <c r="G120" s="743">
        <f t="shared" si="44"/>
        <v>0</v>
      </c>
      <c r="H120" s="743">
        <f t="shared" ref="H120:H129" si="45">E120/12*8</f>
        <v>0</v>
      </c>
      <c r="I120" s="45">
        <f t="shared" si="33"/>
        <v>0</v>
      </c>
      <c r="J120" s="125" t="str">
        <f t="shared" ref="J120:J146" si="46">IF(I120=0,"",I120/H120)</f>
        <v/>
      </c>
      <c r="K120" s="745">
        <v>0</v>
      </c>
    </row>
    <row r="121" spans="1:11" ht="12.75" customHeight="1" x14ac:dyDescent="0.2">
      <c r="A121" s="583" t="s">
        <v>1338</v>
      </c>
      <c r="B121" s="170"/>
      <c r="C121" s="758">
        <v>0</v>
      </c>
      <c r="D121" s="763">
        <v>0</v>
      </c>
      <c r="E121" s="743">
        <v>0</v>
      </c>
      <c r="F121" s="743">
        <v>0</v>
      </c>
      <c r="G121" s="743">
        <f t="shared" si="44"/>
        <v>0</v>
      </c>
      <c r="H121" s="743">
        <f t="shared" si="45"/>
        <v>0</v>
      </c>
      <c r="I121" s="45">
        <f t="shared" si="33"/>
        <v>0</v>
      </c>
      <c r="J121" s="125" t="str">
        <f t="shared" si="46"/>
        <v/>
      </c>
      <c r="K121" s="745">
        <v>0</v>
      </c>
    </row>
    <row r="122" spans="1:11" ht="12.75" customHeight="1" x14ac:dyDescent="0.2">
      <c r="A122" s="583" t="s">
        <v>1339</v>
      </c>
      <c r="B122" s="170"/>
      <c r="C122" s="758">
        <v>0</v>
      </c>
      <c r="D122" s="763">
        <v>0</v>
      </c>
      <c r="E122" s="743">
        <v>0</v>
      </c>
      <c r="F122" s="743">
        <v>0</v>
      </c>
      <c r="G122" s="743">
        <f t="shared" si="44"/>
        <v>0</v>
      </c>
      <c r="H122" s="743">
        <f t="shared" si="45"/>
        <v>0</v>
      </c>
      <c r="I122" s="45">
        <f t="shared" si="33"/>
        <v>0</v>
      </c>
      <c r="J122" s="125" t="str">
        <f t="shared" si="46"/>
        <v/>
      </c>
      <c r="K122" s="745">
        <v>0</v>
      </c>
    </row>
    <row r="123" spans="1:11" ht="12.75" customHeight="1" x14ac:dyDescent="0.2">
      <c r="A123" s="583" t="s">
        <v>1340</v>
      </c>
      <c r="B123" s="170"/>
      <c r="C123" s="758">
        <v>0</v>
      </c>
      <c r="D123" s="763">
        <v>0</v>
      </c>
      <c r="E123" s="743">
        <v>0</v>
      </c>
      <c r="F123" s="743">
        <v>0</v>
      </c>
      <c r="G123" s="743">
        <f t="shared" si="44"/>
        <v>0</v>
      </c>
      <c r="H123" s="743">
        <f t="shared" si="45"/>
        <v>0</v>
      </c>
      <c r="I123" s="45">
        <f t="shared" si="33"/>
        <v>0</v>
      </c>
      <c r="J123" s="125" t="str">
        <f t="shared" si="46"/>
        <v/>
      </c>
      <c r="K123" s="745">
        <v>0</v>
      </c>
    </row>
    <row r="124" spans="1:11" ht="12.75" customHeight="1" x14ac:dyDescent="0.2">
      <c r="A124" s="583" t="s">
        <v>1341</v>
      </c>
      <c r="B124" s="170"/>
      <c r="C124" s="758">
        <v>0</v>
      </c>
      <c r="D124" s="763">
        <v>0</v>
      </c>
      <c r="E124" s="743">
        <v>0</v>
      </c>
      <c r="F124" s="743">
        <v>0</v>
      </c>
      <c r="G124" s="743">
        <f t="shared" si="44"/>
        <v>0</v>
      </c>
      <c r="H124" s="743">
        <f t="shared" si="45"/>
        <v>0</v>
      </c>
      <c r="I124" s="45">
        <f t="shared" si="33"/>
        <v>0</v>
      </c>
      <c r="J124" s="125" t="str">
        <f t="shared" si="46"/>
        <v/>
      </c>
      <c r="K124" s="745">
        <v>0</v>
      </c>
    </row>
    <row r="125" spans="1:11" ht="12.75" customHeight="1" x14ac:dyDescent="0.2">
      <c r="A125" s="583" t="s">
        <v>1342</v>
      </c>
      <c r="B125" s="170"/>
      <c r="C125" s="758">
        <v>0</v>
      </c>
      <c r="D125" s="763"/>
      <c r="E125" s="743">
        <v>0</v>
      </c>
      <c r="F125" s="743"/>
      <c r="G125" s="743"/>
      <c r="H125" s="743">
        <f t="shared" si="45"/>
        <v>0</v>
      </c>
      <c r="I125" s="45">
        <f t="shared" si="33"/>
        <v>0</v>
      </c>
      <c r="J125" s="125" t="str">
        <f t="shared" si="46"/>
        <v/>
      </c>
      <c r="K125" s="745">
        <v>0</v>
      </c>
    </row>
    <row r="126" spans="1:11" ht="12.75" customHeight="1" x14ac:dyDescent="0.2">
      <c r="A126" s="583" t="s">
        <v>1343</v>
      </c>
      <c r="B126" s="170"/>
      <c r="C126" s="758">
        <v>0</v>
      </c>
      <c r="D126" s="763">
        <v>0</v>
      </c>
      <c r="E126" s="743">
        <v>0</v>
      </c>
      <c r="F126" s="743">
        <v>0</v>
      </c>
      <c r="G126" s="743">
        <v>0</v>
      </c>
      <c r="H126" s="743">
        <f t="shared" si="45"/>
        <v>0</v>
      </c>
      <c r="I126" s="45">
        <f t="shared" si="33"/>
        <v>0</v>
      </c>
      <c r="J126" s="125" t="str">
        <f t="shared" si="46"/>
        <v/>
      </c>
      <c r="K126" s="745">
        <v>0</v>
      </c>
    </row>
    <row r="127" spans="1:11" ht="12.75" customHeight="1" x14ac:dyDescent="0.2">
      <c r="A127" s="583" t="s">
        <v>1344</v>
      </c>
      <c r="B127" s="170"/>
      <c r="C127" s="758">
        <v>0</v>
      </c>
      <c r="D127" s="763">
        <v>0</v>
      </c>
      <c r="E127" s="743">
        <v>0</v>
      </c>
      <c r="F127" s="743">
        <v>0</v>
      </c>
      <c r="G127" s="743">
        <v>0</v>
      </c>
      <c r="H127" s="743">
        <f t="shared" si="45"/>
        <v>0</v>
      </c>
      <c r="I127" s="45">
        <f t="shared" si="33"/>
        <v>0</v>
      </c>
      <c r="J127" s="125" t="str">
        <f t="shared" si="46"/>
        <v/>
      </c>
      <c r="K127" s="745">
        <v>0</v>
      </c>
    </row>
    <row r="128" spans="1:11" ht="12.75" customHeight="1" x14ac:dyDescent="0.2">
      <c r="A128" s="583" t="s">
        <v>1345</v>
      </c>
      <c r="B128" s="170"/>
      <c r="C128" s="758">
        <v>0</v>
      </c>
      <c r="D128" s="763">
        <v>0</v>
      </c>
      <c r="E128" s="743">
        <v>0</v>
      </c>
      <c r="F128" s="743">
        <v>0</v>
      </c>
      <c r="G128" s="743">
        <v>0</v>
      </c>
      <c r="H128" s="743">
        <f t="shared" si="45"/>
        <v>0</v>
      </c>
      <c r="I128" s="45">
        <f t="shared" si="33"/>
        <v>0</v>
      </c>
      <c r="J128" s="125" t="str">
        <f t="shared" si="46"/>
        <v/>
      </c>
      <c r="K128" s="745">
        <v>0</v>
      </c>
    </row>
    <row r="129" spans="1:11" ht="12.75" customHeight="1" x14ac:dyDescent="0.2">
      <c r="A129" s="583" t="s">
        <v>1256</v>
      </c>
      <c r="B129" s="170"/>
      <c r="C129" s="758">
        <v>0</v>
      </c>
      <c r="D129" s="763">
        <v>0</v>
      </c>
      <c r="E129" s="743">
        <v>0</v>
      </c>
      <c r="F129" s="743">
        <v>0</v>
      </c>
      <c r="G129" s="743">
        <v>0</v>
      </c>
      <c r="H129" s="743">
        <f t="shared" si="45"/>
        <v>0</v>
      </c>
      <c r="I129" s="45">
        <f t="shared" si="33"/>
        <v>0</v>
      </c>
      <c r="J129" s="125" t="str">
        <f t="shared" si="46"/>
        <v/>
      </c>
      <c r="K129" s="745">
        <f>D129</f>
        <v>0</v>
      </c>
    </row>
    <row r="130" spans="1:11" ht="12.75" customHeight="1" x14ac:dyDescent="0.2">
      <c r="A130" s="521" t="s">
        <v>733</v>
      </c>
      <c r="B130" s="170"/>
      <c r="C130" s="657">
        <f t="shared" ref="C130:H130" si="47">SUM(C131:C133)</f>
        <v>0</v>
      </c>
      <c r="D130" s="658">
        <f t="shared" si="47"/>
        <v>4000000</v>
      </c>
      <c r="E130" s="411">
        <f t="shared" si="47"/>
        <v>0</v>
      </c>
      <c r="F130" s="411">
        <f t="shared" si="47"/>
        <v>0</v>
      </c>
      <c r="G130" s="411">
        <f t="shared" si="47"/>
        <v>0</v>
      </c>
      <c r="H130" s="411">
        <f t="shared" si="47"/>
        <v>0</v>
      </c>
      <c r="I130" s="259">
        <f t="shared" si="33"/>
        <v>0</v>
      </c>
      <c r="J130" s="584" t="str">
        <f t="shared" si="46"/>
        <v/>
      </c>
      <c r="K130" s="651">
        <f>SUM(K131:K133)</f>
        <v>0</v>
      </c>
    </row>
    <row r="131" spans="1:11" ht="12.75" customHeight="1" x14ac:dyDescent="0.2">
      <c r="A131" s="583" t="s">
        <v>1346</v>
      </c>
      <c r="B131" s="170"/>
      <c r="C131" s="758">
        <v>0</v>
      </c>
      <c r="D131" s="763">
        <v>0</v>
      </c>
      <c r="E131" s="743">
        <v>0</v>
      </c>
      <c r="F131" s="743">
        <v>0</v>
      </c>
      <c r="G131" s="743">
        <v>0</v>
      </c>
      <c r="H131" s="743">
        <v>0</v>
      </c>
      <c r="I131" s="45">
        <f t="shared" si="33"/>
        <v>0</v>
      </c>
      <c r="J131" s="125" t="str">
        <f t="shared" si="46"/>
        <v/>
      </c>
      <c r="K131" s="745">
        <v>0</v>
      </c>
    </row>
    <row r="132" spans="1:11" ht="12.75" customHeight="1" x14ac:dyDescent="0.2">
      <c r="A132" s="583" t="s">
        <v>1347</v>
      </c>
      <c r="B132" s="170"/>
      <c r="C132" s="758">
        <v>0</v>
      </c>
      <c r="D132" s="763">
        <v>0</v>
      </c>
      <c r="E132" s="743">
        <v>0</v>
      </c>
      <c r="F132" s="743">
        <v>0</v>
      </c>
      <c r="G132" s="743">
        <v>0</v>
      </c>
      <c r="H132" s="743">
        <v>0</v>
      </c>
      <c r="I132" s="45">
        <f t="shared" si="33"/>
        <v>0</v>
      </c>
      <c r="J132" s="125" t="str">
        <f t="shared" si="46"/>
        <v/>
      </c>
      <c r="K132" s="745">
        <v>0</v>
      </c>
    </row>
    <row r="133" spans="1:11" ht="12.75" customHeight="1" x14ac:dyDescent="0.2">
      <c r="A133" s="583" t="s">
        <v>1256</v>
      </c>
      <c r="B133" s="170"/>
      <c r="C133" s="758">
        <v>0</v>
      </c>
      <c r="D133" s="763">
        <v>4000000</v>
      </c>
      <c r="E133" s="743">
        <v>0</v>
      </c>
      <c r="F133" s="743">
        <v>0</v>
      </c>
      <c r="G133" s="743">
        <v>0</v>
      </c>
      <c r="H133" s="743">
        <v>0</v>
      </c>
      <c r="I133" s="45">
        <f t="shared" si="33"/>
        <v>0</v>
      </c>
      <c r="J133" s="125" t="str">
        <f t="shared" si="46"/>
        <v/>
      </c>
      <c r="K133" s="745">
        <v>0</v>
      </c>
    </row>
    <row r="134" spans="1:11" ht="5.0999999999999996" customHeight="1" x14ac:dyDescent="0.2">
      <c r="A134" s="40"/>
      <c r="B134" s="170"/>
      <c r="C134" s="135"/>
      <c r="D134" s="259"/>
      <c r="E134" s="45"/>
      <c r="F134" s="45"/>
      <c r="G134" s="45"/>
      <c r="H134" s="45"/>
      <c r="I134" s="45"/>
      <c r="J134" s="125" t="str">
        <f t="shared" si="46"/>
        <v/>
      </c>
      <c r="K134" s="145"/>
    </row>
    <row r="135" spans="1:11" ht="12.75" customHeight="1" x14ac:dyDescent="0.2">
      <c r="A135" s="553" t="s">
        <v>1348</v>
      </c>
      <c r="B135" s="170"/>
      <c r="C135" s="585">
        <f t="shared" ref="C135:H135" si="48">SUM(C136:C136)</f>
        <v>0</v>
      </c>
      <c r="D135" s="586">
        <f t="shared" si="48"/>
        <v>0</v>
      </c>
      <c r="E135" s="587">
        <f t="shared" si="48"/>
        <v>0</v>
      </c>
      <c r="F135" s="587">
        <f t="shared" si="48"/>
        <v>0</v>
      </c>
      <c r="G135" s="587">
        <f t="shared" si="48"/>
        <v>0</v>
      </c>
      <c r="H135" s="587">
        <f t="shared" si="48"/>
        <v>0</v>
      </c>
      <c r="I135" s="587">
        <f>H135-G135</f>
        <v>0</v>
      </c>
      <c r="J135" s="327" t="str">
        <f t="shared" si="46"/>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6"/>
        <v/>
      </c>
      <c r="K136" s="745">
        <v>0</v>
      </c>
    </row>
    <row r="137" spans="1:11" ht="5.0999999999999996" customHeight="1" x14ac:dyDescent="0.2">
      <c r="A137" s="552"/>
      <c r="B137" s="170"/>
      <c r="C137" s="135"/>
      <c r="D137" s="259"/>
      <c r="E137" s="45"/>
      <c r="F137" s="45"/>
      <c r="G137" s="45"/>
      <c r="H137" s="45"/>
      <c r="I137" s="45"/>
      <c r="J137" s="125" t="str">
        <f t="shared" si="46"/>
        <v/>
      </c>
      <c r="K137" s="145"/>
    </row>
    <row r="138" spans="1:11" s="101" customFormat="1" ht="12.75" customHeight="1" x14ac:dyDescent="0.2">
      <c r="A138" s="553" t="s">
        <v>1349</v>
      </c>
      <c r="B138" s="172"/>
      <c r="C138" s="952">
        <f t="shared" ref="C138:H138" si="49">SUM(C139:C140)</f>
        <v>0</v>
      </c>
      <c r="D138" s="953">
        <f t="shared" si="49"/>
        <v>1000000</v>
      </c>
      <c r="E138" s="954">
        <f t="shared" si="49"/>
        <v>0</v>
      </c>
      <c r="F138" s="954">
        <f t="shared" si="49"/>
        <v>0</v>
      </c>
      <c r="G138" s="954">
        <f t="shared" si="49"/>
        <v>0</v>
      </c>
      <c r="H138" s="954">
        <f t="shared" si="49"/>
        <v>0</v>
      </c>
      <c r="I138" s="954">
        <f t="shared" ref="I138:I146" si="50">H138-G138</f>
        <v>0</v>
      </c>
      <c r="J138" s="327" t="str">
        <f t="shared" si="46"/>
        <v/>
      </c>
      <c r="K138" s="955">
        <f>SUM(K139:K140)</f>
        <v>0</v>
      </c>
    </row>
    <row r="139" spans="1:11" ht="12.75" customHeight="1" x14ac:dyDescent="0.2">
      <c r="A139" s="520" t="s">
        <v>1350</v>
      </c>
      <c r="B139" s="170"/>
      <c r="C139" s="758"/>
      <c r="D139" s="763"/>
      <c r="E139" s="743"/>
      <c r="F139" s="743"/>
      <c r="G139" s="743"/>
      <c r="H139" s="743"/>
      <c r="I139" s="45">
        <f t="shared" si="50"/>
        <v>0</v>
      </c>
      <c r="J139" s="125" t="str">
        <f t="shared" si="46"/>
        <v/>
      </c>
      <c r="K139" s="745"/>
    </row>
    <row r="140" spans="1:11" ht="12.75" customHeight="1" x14ac:dyDescent="0.2">
      <c r="A140" s="520" t="s">
        <v>1351</v>
      </c>
      <c r="B140" s="170"/>
      <c r="C140" s="657">
        <f t="shared" ref="C140:H140" si="51">SUM(C141:C146)</f>
        <v>0</v>
      </c>
      <c r="D140" s="658">
        <f t="shared" si="51"/>
        <v>1000000</v>
      </c>
      <c r="E140" s="411">
        <f t="shared" si="51"/>
        <v>0</v>
      </c>
      <c r="F140" s="411">
        <f t="shared" si="51"/>
        <v>0</v>
      </c>
      <c r="G140" s="411">
        <f t="shared" si="51"/>
        <v>0</v>
      </c>
      <c r="H140" s="411">
        <f t="shared" si="51"/>
        <v>0</v>
      </c>
      <c r="I140" s="259">
        <f t="shared" si="50"/>
        <v>0</v>
      </c>
      <c r="J140" s="584" t="str">
        <f t="shared" si="46"/>
        <v/>
      </c>
      <c r="K140" s="651">
        <f>SUM(K141:K146)</f>
        <v>0</v>
      </c>
    </row>
    <row r="141" spans="1:11" ht="12.75" customHeight="1" x14ac:dyDescent="0.2">
      <c r="A141" s="583" t="s">
        <v>1352</v>
      </c>
      <c r="B141" s="170"/>
      <c r="C141" s="758">
        <v>0</v>
      </c>
      <c r="D141" s="763">
        <v>0</v>
      </c>
      <c r="E141" s="743">
        <v>0</v>
      </c>
      <c r="F141" s="743">
        <v>0</v>
      </c>
      <c r="G141" s="743">
        <v>0</v>
      </c>
      <c r="H141" s="743">
        <f t="shared" ref="H141:H145" si="52">D141/12*7</f>
        <v>0</v>
      </c>
      <c r="I141" s="45">
        <f t="shared" si="50"/>
        <v>0</v>
      </c>
      <c r="J141" s="125" t="str">
        <f t="shared" si="46"/>
        <v/>
      </c>
      <c r="K141" s="745">
        <v>0</v>
      </c>
    </row>
    <row r="142" spans="1:11" ht="12.75" customHeight="1" x14ac:dyDescent="0.2">
      <c r="A142" s="583" t="s">
        <v>1353</v>
      </c>
      <c r="B142" s="170"/>
      <c r="C142" s="758">
        <v>0</v>
      </c>
      <c r="D142" s="763">
        <v>0</v>
      </c>
      <c r="E142" s="743">
        <v>0</v>
      </c>
      <c r="F142" s="743">
        <v>0</v>
      </c>
      <c r="G142" s="743">
        <v>0</v>
      </c>
      <c r="H142" s="743">
        <f t="shared" si="52"/>
        <v>0</v>
      </c>
      <c r="I142" s="45">
        <f t="shared" si="50"/>
        <v>0</v>
      </c>
      <c r="J142" s="125" t="str">
        <f t="shared" si="46"/>
        <v/>
      </c>
      <c r="K142" s="745">
        <v>0</v>
      </c>
    </row>
    <row r="143" spans="1:11" ht="12.75" customHeight="1" x14ac:dyDescent="0.2">
      <c r="A143" s="583" t="s">
        <v>1354</v>
      </c>
      <c r="B143" s="170"/>
      <c r="C143" s="758">
        <v>0</v>
      </c>
      <c r="D143" s="763">
        <v>0</v>
      </c>
      <c r="E143" s="743">
        <v>0</v>
      </c>
      <c r="F143" s="743">
        <v>0</v>
      </c>
      <c r="G143" s="743">
        <v>0</v>
      </c>
      <c r="H143" s="743">
        <f t="shared" si="52"/>
        <v>0</v>
      </c>
      <c r="I143" s="45">
        <f t="shared" si="50"/>
        <v>0</v>
      </c>
      <c r="J143" s="125" t="str">
        <f t="shared" si="46"/>
        <v/>
      </c>
      <c r="K143" s="745">
        <v>0</v>
      </c>
    </row>
    <row r="144" spans="1:11" ht="12.75" customHeight="1" x14ac:dyDescent="0.2">
      <c r="A144" s="583" t="s">
        <v>1355</v>
      </c>
      <c r="B144" s="170"/>
      <c r="C144" s="758">
        <v>0</v>
      </c>
      <c r="D144" s="763">
        <v>0</v>
      </c>
      <c r="E144" s="743">
        <v>0</v>
      </c>
      <c r="F144" s="743">
        <v>0</v>
      </c>
      <c r="G144" s="743">
        <v>0</v>
      </c>
      <c r="H144" s="743">
        <f t="shared" si="52"/>
        <v>0</v>
      </c>
      <c r="I144" s="45">
        <f t="shared" si="50"/>
        <v>0</v>
      </c>
      <c r="J144" s="125" t="str">
        <f t="shared" si="46"/>
        <v/>
      </c>
      <c r="K144" s="745">
        <v>0</v>
      </c>
    </row>
    <row r="145" spans="1:12" ht="12.75" customHeight="1" x14ac:dyDescent="0.2">
      <c r="A145" s="583" t="s">
        <v>1356</v>
      </c>
      <c r="B145" s="170"/>
      <c r="C145" s="758">
        <v>0</v>
      </c>
      <c r="D145" s="763">
        <v>0</v>
      </c>
      <c r="E145" s="743">
        <v>0</v>
      </c>
      <c r="F145" s="743">
        <v>0</v>
      </c>
      <c r="G145" s="743">
        <v>0</v>
      </c>
      <c r="H145" s="743">
        <f t="shared" si="52"/>
        <v>0</v>
      </c>
      <c r="I145" s="45">
        <f t="shared" si="50"/>
        <v>0</v>
      </c>
      <c r="J145" s="125" t="str">
        <f t="shared" si="46"/>
        <v/>
      </c>
      <c r="K145" s="745">
        <v>0</v>
      </c>
    </row>
    <row r="146" spans="1:12" ht="12.75" customHeight="1" x14ac:dyDescent="0.2">
      <c r="A146" s="583" t="s">
        <v>1357</v>
      </c>
      <c r="B146" s="170"/>
      <c r="C146" s="758"/>
      <c r="D146" s="763">
        <v>1000000</v>
      </c>
      <c r="E146" s="743"/>
      <c r="F146" s="743"/>
      <c r="G146" s="743"/>
      <c r="H146" s="743">
        <f>E146/12*10</f>
        <v>0</v>
      </c>
      <c r="I146" s="45">
        <f t="shared" si="50"/>
        <v>0</v>
      </c>
      <c r="J146" s="125" t="str">
        <f t="shared" si="46"/>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3">SUM(C149:C149)</f>
        <v>0</v>
      </c>
      <c r="D148" s="586">
        <f t="shared" si="53"/>
        <v>3300000</v>
      </c>
      <c r="E148" s="587">
        <f t="shared" si="53"/>
        <v>2351806</v>
      </c>
      <c r="F148" s="587">
        <f t="shared" si="53"/>
        <v>1488009.5755</v>
      </c>
      <c r="G148" s="587">
        <f t="shared" si="53"/>
        <v>2290181.2080000001</v>
      </c>
      <c r="H148" s="587">
        <f t="shared" si="53"/>
        <v>2351806</v>
      </c>
      <c r="I148" s="587">
        <f>H148-G148</f>
        <v>61624.791999999899</v>
      </c>
      <c r="J148" s="327">
        <f>IF(I148=0,"",I148/H148)</f>
        <v>2.6203178323382072E-2</v>
      </c>
      <c r="K148" s="589">
        <f>SUM(K149)</f>
        <v>2351806</v>
      </c>
    </row>
    <row r="149" spans="1:12" ht="12.75" customHeight="1" x14ac:dyDescent="0.2">
      <c r="A149" s="521" t="s">
        <v>1358</v>
      </c>
      <c r="B149" s="170"/>
      <c r="C149" s="758">
        <v>0</v>
      </c>
      <c r="D149" s="763">
        <v>3300000</v>
      </c>
      <c r="E149" s="743">
        <v>2351806</v>
      </c>
      <c r="F149" s="965">
        <v>1488009.5755</v>
      </c>
      <c r="G149" s="743">
        <v>2290181.2080000001</v>
      </c>
      <c r="H149" s="743">
        <f>E149</f>
        <v>2351806</v>
      </c>
      <c r="I149" s="45">
        <f>H149-G149</f>
        <v>61624.791999999899</v>
      </c>
      <c r="J149" s="125">
        <f>IF(I149=0,"",I149/H149)</f>
        <v>2.6203178323382072E-2</v>
      </c>
      <c r="K149" s="745">
        <f>E149</f>
        <v>2351806</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4">SUM(C152:C152)</f>
        <v>0</v>
      </c>
      <c r="D151" s="586">
        <f t="shared" si="54"/>
        <v>1660000</v>
      </c>
      <c r="E151" s="587">
        <f t="shared" si="54"/>
        <v>1000000</v>
      </c>
      <c r="F151" s="587">
        <f t="shared" si="54"/>
        <v>0</v>
      </c>
      <c r="G151" s="587">
        <f t="shared" si="54"/>
        <v>0</v>
      </c>
      <c r="H151" s="587">
        <f t="shared" si="54"/>
        <v>1000000</v>
      </c>
      <c r="I151" s="587">
        <f>H151-G151</f>
        <v>1000000</v>
      </c>
      <c r="J151" s="327">
        <f>IF(I151=0,"",I151/H151)</f>
        <v>1</v>
      </c>
      <c r="K151" s="589">
        <f>SUM(K152)</f>
        <v>1000000</v>
      </c>
    </row>
    <row r="152" spans="1:12" ht="12.75" customHeight="1" x14ac:dyDescent="0.2">
      <c r="A152" s="521" t="s">
        <v>1359</v>
      </c>
      <c r="B152" s="170"/>
      <c r="C152" s="758">
        <v>0</v>
      </c>
      <c r="D152" s="763">
        <v>1660000</v>
      </c>
      <c r="E152" s="743">
        <v>1000000</v>
      </c>
      <c r="F152" s="743"/>
      <c r="G152" s="743"/>
      <c r="H152" s="743">
        <f>E152</f>
        <v>1000000</v>
      </c>
      <c r="I152" s="45">
        <f>H152-G152</f>
        <v>1000000</v>
      </c>
      <c r="J152" s="125">
        <f>IF(I152=0,"",I152/H152)</f>
        <v>1</v>
      </c>
      <c r="K152" s="745">
        <f>E152</f>
        <v>1000000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5">SUM(C155:C155)</f>
        <v>0</v>
      </c>
      <c r="D154" s="586">
        <f t="shared" si="55"/>
        <v>10867000</v>
      </c>
      <c r="E154" s="587">
        <f t="shared" si="55"/>
        <v>10267000</v>
      </c>
      <c r="F154" s="587">
        <f t="shared" si="55"/>
        <v>2700465.4855359998</v>
      </c>
      <c r="G154" s="587">
        <f t="shared" si="55"/>
        <v>16329746.394471999</v>
      </c>
      <c r="H154" s="587">
        <f t="shared" si="55"/>
        <v>10267000</v>
      </c>
      <c r="I154" s="587">
        <f>H154-G154</f>
        <v>-6062746.3944719993</v>
      </c>
      <c r="J154" s="327">
        <f>IF(I154=0,"",I154/H154)</f>
        <v>-0.59050807387474424</v>
      </c>
      <c r="K154" s="589">
        <f>SUM(K155)</f>
        <v>10267000</v>
      </c>
    </row>
    <row r="155" spans="1:12" ht="12.75" customHeight="1" x14ac:dyDescent="0.2">
      <c r="A155" s="521" t="s">
        <v>1360</v>
      </c>
      <c r="B155" s="170"/>
      <c r="C155" s="758"/>
      <c r="D155" s="763">
        <v>10867000</v>
      </c>
      <c r="E155" s="743">
        <v>10267000</v>
      </c>
      <c r="F155" s="743">
        <v>2700465.4855359998</v>
      </c>
      <c r="G155" s="743">
        <v>16329746.394471999</v>
      </c>
      <c r="H155" s="743">
        <f>E155</f>
        <v>10267000</v>
      </c>
      <c r="I155" s="45">
        <f>H155-G155</f>
        <v>-6062746.3944719993</v>
      </c>
      <c r="J155" s="125">
        <f>IF(I155=0,"",I155/H155)</f>
        <v>-0.59050807387474424</v>
      </c>
      <c r="K155" s="745">
        <f>E155</f>
        <v>10267000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6">SUM(C158:C158)</f>
        <v>0</v>
      </c>
      <c r="D157" s="586">
        <f t="shared" si="56"/>
        <v>528200000</v>
      </c>
      <c r="E157" s="587">
        <f t="shared" si="56"/>
        <v>244825048.56999999</v>
      </c>
      <c r="F157" s="587">
        <f t="shared" si="56"/>
        <v>38802557.076420002</v>
      </c>
      <c r="G157" s="587">
        <f t="shared" si="56"/>
        <v>164663215.96381301</v>
      </c>
      <c r="H157" s="587">
        <f t="shared" si="56"/>
        <v>244825048.56999999</v>
      </c>
      <c r="I157" s="587">
        <f>H157-G157</f>
        <v>80161832.606186986</v>
      </c>
      <c r="J157" s="327">
        <f>IF(I157=0,"",I157/H157)</f>
        <v>0.32742496355828249</v>
      </c>
      <c r="K157" s="589">
        <f>SUM(K158)</f>
        <v>244825048.56999999</v>
      </c>
    </row>
    <row r="158" spans="1:12" ht="12.75" customHeight="1" x14ac:dyDescent="0.2">
      <c r="A158" s="521" t="s">
        <v>1361</v>
      </c>
      <c r="B158" s="170"/>
      <c r="C158" s="758">
        <v>0</v>
      </c>
      <c r="D158" s="763">
        <v>528200000</v>
      </c>
      <c r="E158" s="743">
        <v>244825048.56999999</v>
      </c>
      <c r="F158" s="743">
        <v>38802557.076420002</v>
      </c>
      <c r="G158" s="743">
        <v>164663215.96381301</v>
      </c>
      <c r="H158" s="743">
        <f>E158</f>
        <v>244825048.56999999</v>
      </c>
      <c r="I158" s="45">
        <f>H158-G158</f>
        <v>80161832.606186986</v>
      </c>
      <c r="J158" s="125">
        <f>IF(I158=0,"",I158/H158)</f>
        <v>0.32742496355828249</v>
      </c>
      <c r="K158" s="745">
        <f>E158</f>
        <v>244825048.56999999</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7">SUM(C161:C161)</f>
        <v>0</v>
      </c>
      <c r="D160" s="586">
        <f t="shared" si="57"/>
        <v>0</v>
      </c>
      <c r="E160" s="587">
        <f t="shared" si="57"/>
        <v>0</v>
      </c>
      <c r="F160" s="587">
        <f t="shared" si="57"/>
        <v>0</v>
      </c>
      <c r="G160" s="587">
        <f t="shared" si="57"/>
        <v>0</v>
      </c>
      <c r="H160" s="587">
        <f t="shared" si="5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8">SUM(C164:C164)</f>
        <v>0</v>
      </c>
      <c r="D163" s="586">
        <f t="shared" si="58"/>
        <v>0</v>
      </c>
      <c r="E163" s="587">
        <f t="shared" si="58"/>
        <v>0</v>
      </c>
      <c r="F163" s="587">
        <f t="shared" si="58"/>
        <v>0</v>
      </c>
      <c r="G163" s="587">
        <f t="shared" si="58"/>
        <v>0</v>
      </c>
      <c r="H163" s="587">
        <f t="shared" si="5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9">C7+C75+C103+C110+C117+C135+C138+C148+C151+C154+C157+C160+C163</f>
        <v>0</v>
      </c>
      <c r="D166" s="272">
        <f t="shared" si="59"/>
        <v>1720740313</v>
      </c>
      <c r="E166" s="56">
        <f t="shared" si="59"/>
        <v>531019738.56999999</v>
      </c>
      <c r="F166" s="56">
        <f t="shared" si="59"/>
        <v>120238321.05754799</v>
      </c>
      <c r="G166" s="56">
        <f t="shared" si="59"/>
        <v>672947710.05404496</v>
      </c>
      <c r="H166" s="56">
        <f t="shared" si="59"/>
        <v>531019738.56999999</v>
      </c>
      <c r="I166" s="56">
        <f>H166-G166</f>
        <v>-141927971.48404497</v>
      </c>
      <c r="J166" s="293">
        <f>IF(I166=0,"",I166/H166)</f>
        <v>-0.26727438016945909</v>
      </c>
      <c r="K166" s="236">
        <f>K7+K75+K103+K110+K117+K135+K138+K148+K151+K154+K157+K160+K163</f>
        <v>819380338.56999993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-854073681.47323358</v>
      </c>
      <c r="D171" s="136">
        <f>D166+SC13b!D166+SC13e!D166-'C5-Capex'!D40</f>
        <v>300776329</v>
      </c>
      <c r="E171" s="136">
        <f>E166+SC13b!E166+SC13e!E166-'C5-Capex'!E40</f>
        <v>1077365083.5699999</v>
      </c>
      <c r="F171" s="136">
        <f>F166+SC13b!F166+SC13e!F166-'C5-Capex'!F40</f>
        <v>70114919.303131998</v>
      </c>
      <c r="G171" s="136">
        <f>G166+SC13b!G166+SC13e!G166-'C5-Capex'!G40</f>
        <v>974798706.34004486</v>
      </c>
      <c r="H171" s="136">
        <f>H166+SC13b!H166+SC13e!H166-'C5-Capex'!H40</f>
        <v>919932908.23666668</v>
      </c>
      <c r="I171" s="136"/>
      <c r="J171" s="136"/>
      <c r="K171" s="136">
        <f>K166+SC13b!K166+SC13e!K166-'C5-Capex'!K40</f>
        <v>-523460420.43000007</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8"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41" activePane="bottomRight" state="frozen"/>
      <selection activeCell="F166" sqref="F166"/>
      <selection pane="topRight" activeCell="F166" sqref="F166"/>
      <selection pane="bottomLeft" activeCell="F166" sqref="F166"/>
      <selection pane="bottomRight" activeCell="D9" sqref="D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5" t="str">
        <f>muni&amp; " - "&amp;S71Sb&amp; " - "&amp;Head57</f>
        <v>LIM354 Polokwane - Supporting Table SC13b Monthly Budget Statement - capital expenditure on renewal of existing assets by asset class - M01 July</v>
      </c>
      <c r="B1" s="1035"/>
      <c r="C1" s="1035"/>
      <c r="D1" s="1035"/>
      <c r="E1" s="1035"/>
      <c r="F1" s="1035"/>
      <c r="G1" s="1035"/>
      <c r="H1" s="1035"/>
      <c r="I1" s="1035"/>
      <c r="J1" s="1035"/>
      <c r="K1" s="1035"/>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153042620</v>
      </c>
      <c r="E7" s="103">
        <f t="shared" si="0"/>
        <v>275184624</v>
      </c>
      <c r="F7" s="103">
        <f t="shared" si="0"/>
        <v>1622668.6705</v>
      </c>
      <c r="G7" s="103">
        <f t="shared" si="0"/>
        <v>233337315.315</v>
      </c>
      <c r="H7" s="103">
        <f t="shared" si="0"/>
        <v>275184624</v>
      </c>
      <c r="I7" s="102">
        <f t="shared" ref="I7:I133" si="1">H7-G7</f>
        <v>41847308.685000002</v>
      </c>
      <c r="J7" s="588">
        <f t="shared" ref="J7:J136" si="2">IF(I7=0,"",I7/H7)</f>
        <v>0.15206993790830406</v>
      </c>
      <c r="K7" s="612">
        <f>K8+K13+K17+K27+K38+K45+K53+K63+K69</f>
        <v>275184624</v>
      </c>
    </row>
    <row r="8" spans="1:11" ht="12.75" customHeight="1" x14ac:dyDescent="0.2">
      <c r="A8" s="521" t="s">
        <v>1253</v>
      </c>
      <c r="B8" s="170"/>
      <c r="C8" s="686">
        <f t="shared" ref="C8:H8" si="3">SUM(C9:C12)</f>
        <v>91641579</v>
      </c>
      <c r="D8" s="618">
        <f t="shared" si="3"/>
        <v>4500000</v>
      </c>
      <c r="E8" s="617">
        <f t="shared" si="3"/>
        <v>4500000</v>
      </c>
      <c r="F8" s="617">
        <f t="shared" si="3"/>
        <v>294388</v>
      </c>
      <c r="G8" s="617">
        <f t="shared" si="3"/>
        <v>682738</v>
      </c>
      <c r="H8" s="617">
        <f t="shared" si="3"/>
        <v>4500000</v>
      </c>
      <c r="I8" s="259">
        <f t="shared" si="1"/>
        <v>3817262</v>
      </c>
      <c r="J8" s="584">
        <f t="shared" si="2"/>
        <v>0.84828044444444439</v>
      </c>
      <c r="K8" s="619">
        <f>SUM(K9:K12)</f>
        <v>4500000</v>
      </c>
    </row>
    <row r="9" spans="1:11" ht="12.75" customHeight="1" x14ac:dyDescent="0.2">
      <c r="A9" s="583" t="s">
        <v>175</v>
      </c>
      <c r="B9" s="170"/>
      <c r="C9" s="758"/>
      <c r="D9" s="755">
        <v>4500000</v>
      </c>
      <c r="E9" s="743">
        <v>4500000</v>
      </c>
      <c r="F9" s="743">
        <v>294388</v>
      </c>
      <c r="G9" s="743">
        <v>682738</v>
      </c>
      <c r="H9" s="743">
        <f>E9</f>
        <v>4500000</v>
      </c>
      <c r="I9" s="259">
        <f t="shared" si="1"/>
        <v>3817262</v>
      </c>
      <c r="J9" s="584">
        <f t="shared" si="2"/>
        <v>0.84828044444444439</v>
      </c>
      <c r="K9" s="745">
        <f>E9</f>
        <v>4500000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f>D10</f>
        <v>0</v>
      </c>
    </row>
    <row r="11" spans="1:11" ht="12.75" customHeight="1" x14ac:dyDescent="0.2">
      <c r="A11" s="583" t="s">
        <v>1255</v>
      </c>
      <c r="B11" s="170"/>
      <c r="C11" s="758"/>
      <c r="D11" s="755"/>
      <c r="E11" s="743">
        <v>0</v>
      </c>
      <c r="F11" s="743">
        <v>0</v>
      </c>
      <c r="G11" s="743">
        <v>0</v>
      </c>
      <c r="H11" s="743">
        <f>D11/12*7</f>
        <v>0</v>
      </c>
      <c r="I11" s="259">
        <f t="shared" si="1"/>
        <v>0</v>
      </c>
      <c r="J11" s="584" t="str">
        <f t="shared" si="2"/>
        <v/>
      </c>
      <c r="K11" s="745">
        <f>D11</f>
        <v>0</v>
      </c>
    </row>
    <row r="12" spans="1:11" ht="12.75" customHeight="1" x14ac:dyDescent="0.2">
      <c r="A12" s="583" t="s">
        <v>1256</v>
      </c>
      <c r="B12" s="170"/>
      <c r="C12" s="758"/>
      <c r="D12" s="755"/>
      <c r="E12" s="743">
        <v>0</v>
      </c>
      <c r="F12" s="743">
        <v>0</v>
      </c>
      <c r="G12" s="743">
        <v>0</v>
      </c>
      <c r="H12" s="743">
        <f>D12/12*7</f>
        <v>0</v>
      </c>
      <c r="I12" s="259">
        <f t="shared" si="1"/>
        <v>0</v>
      </c>
      <c r="J12" s="584" t="str">
        <f t="shared" si="2"/>
        <v/>
      </c>
      <c r="K12" s="745">
        <f>D12</f>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11407500</v>
      </c>
      <c r="E17" s="411">
        <f t="shared" si="5"/>
        <v>10725000</v>
      </c>
      <c r="F17" s="411">
        <f t="shared" si="5"/>
        <v>0</v>
      </c>
      <c r="G17" s="411">
        <f t="shared" si="5"/>
        <v>1681695.1400000001</v>
      </c>
      <c r="H17" s="411">
        <f t="shared" si="5"/>
        <v>10725000</v>
      </c>
      <c r="I17" s="259">
        <f t="shared" si="1"/>
        <v>9043304.8599999994</v>
      </c>
      <c r="J17" s="584">
        <f t="shared" si="2"/>
        <v>0.84319858834498829</v>
      </c>
      <c r="K17" s="651">
        <f>SUM(K18:K26)</f>
        <v>10725000</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f t="shared" ref="K19:K26" si="7">D19</f>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f t="shared" si="7"/>
        <v>0</v>
      </c>
    </row>
    <row r="21" spans="1:11" ht="12.75" customHeight="1" x14ac:dyDescent="0.2">
      <c r="A21" s="583" t="s">
        <v>1265</v>
      </c>
      <c r="B21" s="170"/>
      <c r="C21" s="758">
        <v>3076978</v>
      </c>
      <c r="D21" s="755">
        <v>11407500</v>
      </c>
      <c r="E21" s="743">
        <v>10725000</v>
      </c>
      <c r="F21" s="743">
        <v>0</v>
      </c>
      <c r="G21" s="743">
        <v>1681695.1400000001</v>
      </c>
      <c r="H21" s="743">
        <f>E21</f>
        <v>10725000</v>
      </c>
      <c r="I21" s="259">
        <f t="shared" si="1"/>
        <v>9043304.8599999994</v>
      </c>
      <c r="J21" s="584">
        <f t="shared" si="2"/>
        <v>0.84319858834498829</v>
      </c>
      <c r="K21" s="745">
        <f>E21</f>
        <v>10725000</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f t="shared" si="7"/>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f t="shared" si="7"/>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f t="shared" si="7"/>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f t="shared" si="7"/>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si="7"/>
        <v>0</v>
      </c>
    </row>
    <row r="27" spans="1:11" ht="12.75" customHeight="1" x14ac:dyDescent="0.2">
      <c r="A27" s="520" t="s">
        <v>1270</v>
      </c>
      <c r="B27" s="170"/>
      <c r="C27" s="657">
        <f t="shared" ref="C27:H27" si="8">SUM(C28:C37)</f>
        <v>124226345</v>
      </c>
      <c r="D27" s="658">
        <f t="shared" si="8"/>
        <v>87335120</v>
      </c>
      <c r="E27" s="411">
        <f t="shared" si="8"/>
        <v>210159624</v>
      </c>
      <c r="F27" s="411">
        <f t="shared" si="8"/>
        <v>0</v>
      </c>
      <c r="G27" s="411">
        <f t="shared" si="8"/>
        <v>184926892.088</v>
      </c>
      <c r="H27" s="411">
        <f t="shared" si="8"/>
        <v>210159624</v>
      </c>
      <c r="I27" s="259">
        <f t="shared" si="1"/>
        <v>25232731.912</v>
      </c>
      <c r="J27" s="584">
        <f t="shared" si="2"/>
        <v>0.1200646034273453</v>
      </c>
      <c r="K27" s="651">
        <f>SUM(K28:K37)</f>
        <v>210159624</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87335120</v>
      </c>
      <c r="E34" s="743">
        <v>210159624</v>
      </c>
      <c r="F34" s="743">
        <v>0</v>
      </c>
      <c r="G34" s="743">
        <v>184926892.088</v>
      </c>
      <c r="H34" s="743">
        <f>E34</f>
        <v>210159624</v>
      </c>
      <c r="I34" s="259">
        <f t="shared" si="1"/>
        <v>25232731.912</v>
      </c>
      <c r="J34" s="584">
        <f t="shared" si="2"/>
        <v>0.1200646034273453</v>
      </c>
      <c r="K34" s="745">
        <f>E34</f>
        <v>210159624</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45800000</v>
      </c>
      <c r="E38" s="411">
        <f t="shared" si="9"/>
        <v>45800000</v>
      </c>
      <c r="F38" s="411">
        <f t="shared" si="9"/>
        <v>1328280.6705</v>
      </c>
      <c r="G38" s="411">
        <f t="shared" si="9"/>
        <v>45264063.652499996</v>
      </c>
      <c r="H38" s="411">
        <f t="shared" si="9"/>
        <v>45800000</v>
      </c>
      <c r="I38" s="259">
        <f t="shared" si="1"/>
        <v>535936.34750000387</v>
      </c>
      <c r="J38" s="584">
        <f t="shared" si="2"/>
        <v>1.1701666975982617E-2</v>
      </c>
      <c r="K38" s="651">
        <f>SUM(K39:K44)</f>
        <v>45800000</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45800000</v>
      </c>
      <c r="E41" s="743">
        <v>45800000</v>
      </c>
      <c r="F41" s="743">
        <v>1328280.6705</v>
      </c>
      <c r="G41" s="743">
        <v>45264063.652499996</v>
      </c>
      <c r="H41" s="743">
        <f>E41</f>
        <v>45800000</v>
      </c>
      <c r="I41" s="259">
        <f t="shared" si="1"/>
        <v>535936.34750000387</v>
      </c>
      <c r="J41" s="584">
        <f t="shared" si="2"/>
        <v>1.1701666975982617E-2</v>
      </c>
      <c r="K41" s="745">
        <f>E41</f>
        <v>45800000</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4000000</v>
      </c>
      <c r="E69" s="411">
        <f t="shared" si="15"/>
        <v>4000000</v>
      </c>
      <c r="F69" s="411">
        <f t="shared" si="15"/>
        <v>0</v>
      </c>
      <c r="G69" s="411">
        <f t="shared" si="15"/>
        <v>781926.43449999997</v>
      </c>
      <c r="H69" s="411">
        <f t="shared" si="15"/>
        <v>4000000</v>
      </c>
      <c r="I69" s="259">
        <f t="shared" si="1"/>
        <v>3218073.5655</v>
      </c>
      <c r="J69" s="584">
        <f t="shared" si="2"/>
        <v>0.80451839137500003</v>
      </c>
      <c r="K69" s="651">
        <f>SUM(K70:K73)</f>
        <v>4000000</v>
      </c>
    </row>
    <row r="70" spans="1:11" ht="12.75" customHeight="1" x14ac:dyDescent="0.2">
      <c r="A70" s="583" t="s">
        <v>1302</v>
      </c>
      <c r="B70" s="170"/>
      <c r="C70" s="758">
        <v>0</v>
      </c>
      <c r="D70" s="755"/>
      <c r="E70" s="743"/>
      <c r="F70" s="743">
        <v>0</v>
      </c>
      <c r="G70" s="743"/>
      <c r="H70" s="973"/>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4000000</v>
      </c>
      <c r="E73" s="743">
        <v>4000000</v>
      </c>
      <c r="F73" s="743">
        <v>0</v>
      </c>
      <c r="G73" s="743">
        <v>781926.43449999997</v>
      </c>
      <c r="H73" s="743">
        <f>E73</f>
        <v>4000000</v>
      </c>
      <c r="I73" s="259">
        <f t="shared" si="1"/>
        <v>3218073.5655</v>
      </c>
      <c r="J73" s="584">
        <f t="shared" si="2"/>
        <v>0.80451839137500003</v>
      </c>
      <c r="K73" s="745">
        <f>E73</f>
        <v>4000000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16525000</v>
      </c>
      <c r="E75" s="587">
        <f t="shared" si="16"/>
        <v>6359996</v>
      </c>
      <c r="F75" s="587">
        <f t="shared" si="16"/>
        <v>340110.57949999999</v>
      </c>
      <c r="G75" s="587">
        <f t="shared" si="16"/>
        <v>3692436.2150000003</v>
      </c>
      <c r="H75" s="587">
        <f t="shared" si="16"/>
        <v>6359996</v>
      </c>
      <c r="I75" s="587">
        <f t="shared" si="1"/>
        <v>2667559.7849999997</v>
      </c>
      <c r="J75" s="588">
        <f t="shared" si="2"/>
        <v>0.41942790294207727</v>
      </c>
      <c r="K75" s="589">
        <f>+K76+K99</f>
        <v>6359996</v>
      </c>
    </row>
    <row r="76" spans="1:11" ht="12.75" customHeight="1" x14ac:dyDescent="0.2">
      <c r="A76" s="521" t="s">
        <v>1305</v>
      </c>
      <c r="B76" s="170"/>
      <c r="C76" s="657">
        <f t="shared" ref="C76:H76" si="17">SUM(C77:C98)</f>
        <v>0</v>
      </c>
      <c r="D76" s="658">
        <f t="shared" si="17"/>
        <v>14950000</v>
      </c>
      <c r="E76" s="411">
        <f t="shared" si="17"/>
        <v>4784996</v>
      </c>
      <c r="F76" s="411">
        <f t="shared" si="17"/>
        <v>340110.57949999999</v>
      </c>
      <c r="G76" s="411">
        <f t="shared" si="17"/>
        <v>3137281.5580000002</v>
      </c>
      <c r="H76" s="411">
        <f t="shared" si="17"/>
        <v>4784996</v>
      </c>
      <c r="I76" s="259">
        <f t="shared" si="1"/>
        <v>1647714.4419999998</v>
      </c>
      <c r="J76" s="584">
        <f t="shared" si="2"/>
        <v>0.34435022349025995</v>
      </c>
      <c r="K76" s="651">
        <f>SUM(K77:K98)</f>
        <v>4784996</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8" si="18">D78/12*7</f>
        <v>0</v>
      </c>
      <c r="I78" s="45">
        <f t="shared" si="1"/>
        <v>0</v>
      </c>
      <c r="J78" s="125" t="str">
        <f t="shared" si="2"/>
        <v/>
      </c>
      <c r="K78" s="745">
        <v>0</v>
      </c>
    </row>
    <row r="79" spans="1:11" ht="12.75" customHeight="1" x14ac:dyDescent="0.2">
      <c r="A79" s="583" t="s">
        <v>1308</v>
      </c>
      <c r="B79" s="170"/>
      <c r="C79" s="758">
        <v>0</v>
      </c>
      <c r="D79" s="763">
        <v>14950000</v>
      </c>
      <c r="E79" s="743">
        <v>4784996</v>
      </c>
      <c r="F79" s="743">
        <v>340110.57949999999</v>
      </c>
      <c r="G79" s="743">
        <v>3137281.5580000002</v>
      </c>
      <c r="H79" s="743">
        <f>E79</f>
        <v>4784996</v>
      </c>
      <c r="I79" s="45">
        <f t="shared" si="1"/>
        <v>1647714.4419999998</v>
      </c>
      <c r="J79" s="125">
        <f t="shared" si="2"/>
        <v>0.34435022349025995</v>
      </c>
      <c r="K79" s="745">
        <v>4784996</v>
      </c>
    </row>
    <row r="80" spans="1:11" ht="12.75" customHeight="1" x14ac:dyDescent="0.2">
      <c r="A80" s="583" t="s">
        <v>1309</v>
      </c>
      <c r="B80" s="170"/>
      <c r="C80" s="758">
        <v>0</v>
      </c>
      <c r="D80" s="763">
        <v>0</v>
      </c>
      <c r="E80" s="743">
        <v>0</v>
      </c>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3"/>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0</v>
      </c>
      <c r="E98" s="743">
        <v>0</v>
      </c>
      <c r="F98" s="743">
        <v>0</v>
      </c>
      <c r="G98" s="743">
        <v>0</v>
      </c>
      <c r="H98" s="743">
        <f t="shared" si="18"/>
        <v>0</v>
      </c>
      <c r="I98" s="45">
        <f t="shared" si="1"/>
        <v>0</v>
      </c>
      <c r="J98" s="125" t="str">
        <f t="shared" si="2"/>
        <v/>
      </c>
      <c r="K98" s="745">
        <v>0</v>
      </c>
    </row>
    <row r="99" spans="1:11" ht="12.75" customHeight="1" x14ac:dyDescent="0.2">
      <c r="A99" s="521" t="s">
        <v>1322</v>
      </c>
      <c r="B99" s="170"/>
      <c r="C99" s="657">
        <f t="shared" ref="C99:H99" si="19">SUM(C100:C102)</f>
        <v>0</v>
      </c>
      <c r="D99" s="658">
        <f t="shared" si="19"/>
        <v>1575000</v>
      </c>
      <c r="E99" s="411">
        <f t="shared" si="19"/>
        <v>1575000</v>
      </c>
      <c r="F99" s="411">
        <f t="shared" si="19"/>
        <v>0</v>
      </c>
      <c r="G99" s="411">
        <f t="shared" si="19"/>
        <v>555154.65700000001</v>
      </c>
      <c r="H99" s="411">
        <f t="shared" si="19"/>
        <v>1575000</v>
      </c>
      <c r="I99" s="259">
        <f t="shared" si="1"/>
        <v>1019845.343</v>
      </c>
      <c r="J99" s="584">
        <f t="shared" si="2"/>
        <v>0.64752085269841264</v>
      </c>
      <c r="K99" s="651">
        <f>SUM(K100:K102)</f>
        <v>1575000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v>0</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1575000</v>
      </c>
      <c r="E102" s="743">
        <v>1575000</v>
      </c>
      <c r="F102" s="743"/>
      <c r="G102" s="743">
        <v>555154.65700000001</v>
      </c>
      <c r="H102" s="743">
        <f>E102</f>
        <v>1575000</v>
      </c>
      <c r="I102" s="45">
        <f t="shared" si="1"/>
        <v>1019845.343</v>
      </c>
      <c r="J102" s="125">
        <f t="shared" si="2"/>
        <v>0.64752085269841264</v>
      </c>
      <c r="K102" s="745">
        <f>D102</f>
        <v>1575000</v>
      </c>
    </row>
    <row r="103" spans="1:11" ht="12.75" customHeight="1" x14ac:dyDescent="0.2">
      <c r="A103" s="553" t="s">
        <v>690</v>
      </c>
      <c r="B103" s="170"/>
      <c r="C103" s="250">
        <f t="shared" ref="C103:H103" si="20">SUM(C104:C108)</f>
        <v>0</v>
      </c>
      <c r="D103" s="265">
        <f t="shared" si="20"/>
        <v>0</v>
      </c>
      <c r="E103" s="100">
        <f t="shared" si="20"/>
        <v>0</v>
      </c>
      <c r="F103" s="100">
        <f t="shared" si="20"/>
        <v>0</v>
      </c>
      <c r="G103" s="100">
        <f t="shared" si="20"/>
        <v>0</v>
      </c>
      <c r="H103" s="100">
        <f t="shared" si="20"/>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4">+C118+C130</f>
        <v>0</v>
      </c>
      <c r="D117" s="586">
        <f t="shared" si="24"/>
        <v>84215000</v>
      </c>
      <c r="E117" s="587">
        <f t="shared" si="24"/>
        <v>77973000</v>
      </c>
      <c r="F117" s="587">
        <f t="shared" si="24"/>
        <v>9227731.6425839998</v>
      </c>
      <c r="G117" s="587">
        <f t="shared" si="24"/>
        <v>33844736.556499995</v>
      </c>
      <c r="H117" s="587">
        <f t="shared" si="24"/>
        <v>77973000</v>
      </c>
      <c r="I117" s="587">
        <f t="shared" si="1"/>
        <v>44128263.443500005</v>
      </c>
      <c r="J117" s="588">
        <f t="shared" si="2"/>
        <v>0.56594287052569481</v>
      </c>
      <c r="K117" s="589">
        <f>+K118+K130</f>
        <v>77973000</v>
      </c>
    </row>
    <row r="118" spans="1:11" ht="12.75" customHeight="1" x14ac:dyDescent="0.2">
      <c r="A118" s="521" t="s">
        <v>1335</v>
      </c>
      <c r="B118" s="170"/>
      <c r="C118" s="657">
        <f t="shared" ref="C118:H118" si="25">SUM(C119:C129)</f>
        <v>0</v>
      </c>
      <c r="D118" s="658">
        <f t="shared" si="25"/>
        <v>84215000</v>
      </c>
      <c r="E118" s="411">
        <f t="shared" si="25"/>
        <v>77973000</v>
      </c>
      <c r="F118" s="411">
        <f t="shared" si="25"/>
        <v>9227731.6425839998</v>
      </c>
      <c r="G118" s="411">
        <f t="shared" si="25"/>
        <v>33844736.556499995</v>
      </c>
      <c r="H118" s="411">
        <f t="shared" si="25"/>
        <v>77973000</v>
      </c>
      <c r="I118" s="259">
        <f t="shared" si="1"/>
        <v>44128263.443500005</v>
      </c>
      <c r="J118" s="584">
        <f t="shared" si="2"/>
        <v>0.56594287052569481</v>
      </c>
      <c r="K118" s="651">
        <f>SUM(K119:K129)</f>
        <v>77973000</v>
      </c>
    </row>
    <row r="119" spans="1:11" ht="12.75" customHeight="1" x14ac:dyDescent="0.2">
      <c r="A119" s="583" t="s">
        <v>1336</v>
      </c>
      <c r="B119" s="170"/>
      <c r="C119" s="758">
        <v>0</v>
      </c>
      <c r="D119" s="763">
        <v>84215000</v>
      </c>
      <c r="E119" s="743">
        <v>77973000</v>
      </c>
      <c r="F119" s="743">
        <v>9227731.6425839998</v>
      </c>
      <c r="G119" s="743">
        <v>33844736.556499995</v>
      </c>
      <c r="H119" s="743">
        <f>E119</f>
        <v>77973000</v>
      </c>
      <c r="I119" s="45">
        <f t="shared" si="1"/>
        <v>44128263.443500005</v>
      </c>
      <c r="J119" s="125">
        <f t="shared" si="2"/>
        <v>0.56594287052569481</v>
      </c>
      <c r="K119" s="745">
        <f>E119</f>
        <v>77973000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52">
        <f t="shared" ref="C138:H138" si="30">SUM(C139:C140)</f>
        <v>0</v>
      </c>
      <c r="D138" s="953">
        <f t="shared" si="30"/>
        <v>0</v>
      </c>
      <c r="E138" s="954">
        <f t="shared" si="30"/>
        <v>0</v>
      </c>
      <c r="F138" s="954">
        <f t="shared" si="30"/>
        <v>0</v>
      </c>
      <c r="G138" s="954">
        <f t="shared" si="30"/>
        <v>0</v>
      </c>
      <c r="H138" s="954">
        <f t="shared" si="30"/>
        <v>0</v>
      </c>
      <c r="I138" s="954">
        <f t="shared" ref="I138:I146" si="31">H138-G138</f>
        <v>0</v>
      </c>
      <c r="J138" s="327" t="str">
        <f t="shared" si="29"/>
        <v/>
      </c>
      <c r="K138" s="955">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253782620</v>
      </c>
      <c r="E166" s="56">
        <f t="shared" si="39"/>
        <v>359517620</v>
      </c>
      <c r="F166" s="56">
        <f t="shared" si="39"/>
        <v>11190510.892584</v>
      </c>
      <c r="G166" s="56">
        <f t="shared" si="39"/>
        <v>270874488.08649999</v>
      </c>
      <c r="H166" s="56">
        <f t="shared" si="39"/>
        <v>359517620</v>
      </c>
      <c r="I166" s="56">
        <f>H166-G166</f>
        <v>88643131.913500011</v>
      </c>
      <c r="J166" s="293">
        <f>IF(I166=0,"",I166/H166)</f>
        <v>0.24656130042666619</v>
      </c>
      <c r="K166" s="236">
        <f>K7+K75+K103+K110+K117+K135+K138+K148+K151+K154+K157+K160+K163</f>
        <v>359517620</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-854073681.47323358</v>
      </c>
      <c r="D171" s="136">
        <f>D166+SC13a!D166+SC13e!D166-'C5-Capex'!D40</f>
        <v>300776329</v>
      </c>
      <c r="E171" s="136">
        <f>E166+SC13a!E166+SC13e!E166-'C5-Capex'!E40</f>
        <v>1077365083.5699999</v>
      </c>
      <c r="F171" s="136">
        <f>F166+SC13a!F166+SC13e!F166-'C5-Capex'!F40</f>
        <v>70114919.303131998</v>
      </c>
      <c r="G171" s="136">
        <f>G166+SC13a!G166+SC13e!G166-'C5-Capex'!G40</f>
        <v>974798706.34004486</v>
      </c>
      <c r="H171" s="136">
        <f>H166+SC13a!H166+SC13e!H166-'C5-Capex'!H40</f>
        <v>919932908.23666668</v>
      </c>
      <c r="I171" s="136"/>
      <c r="J171" s="136"/>
      <c r="K171" s="136">
        <f>K166+SC13a!K166+SC13e!K166-'C5-Capex'!K40</f>
        <v>-523460420.43000007</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8"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80" activePane="bottomRight" state="frozen"/>
      <selection activeCell="F166" sqref="F166"/>
      <selection pane="topRight" activeCell="F166" sqref="F166"/>
      <selection pane="bottomLeft" activeCell="F166" sqref="F166"/>
      <selection pane="bottomRight" activeCell="H143" sqref="H143"/>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5" t="str">
        <f>muni&amp; " - "&amp;S71Sc&amp; " - "&amp;Head57</f>
        <v>LIM354 Polokwane - Supporting Table SC13c Monthly Budget Statement - expenditure on repairs and maintenance by asset class - M01 July</v>
      </c>
      <c r="B1" s="1035"/>
      <c r="C1" s="1035"/>
      <c r="D1" s="1035"/>
      <c r="E1" s="1035"/>
      <c r="F1" s="1035"/>
      <c r="G1" s="1035"/>
      <c r="H1" s="1035"/>
      <c r="I1" s="1035"/>
      <c r="J1" s="1035"/>
      <c r="K1" s="1035"/>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146208735</v>
      </c>
      <c r="E7" s="103">
        <f t="shared" si="0"/>
        <v>152682814</v>
      </c>
      <c r="F7" s="103">
        <f t="shared" si="0"/>
        <v>0</v>
      </c>
      <c r="G7" s="103">
        <f t="shared" si="0"/>
        <v>118362717.09000002</v>
      </c>
      <c r="H7" s="103">
        <f t="shared" si="0"/>
        <v>152682814</v>
      </c>
      <c r="I7" s="102">
        <f t="shared" ref="I7:I166" si="1">H7-G7</f>
        <v>34320096.909999982</v>
      </c>
      <c r="J7" s="588">
        <f t="shared" ref="J7:J166" si="2">IF(I7=0,"",I7/H7)</f>
        <v>0.22478035353736656</v>
      </c>
      <c r="K7" s="612">
        <f>K8+K13+K17+K27+K38+K45+K53+K63+K69</f>
        <v>152682814</v>
      </c>
    </row>
    <row r="8" spans="1:11" ht="12.75" customHeight="1" x14ac:dyDescent="0.2">
      <c r="A8" s="521" t="s">
        <v>1253</v>
      </c>
      <c r="B8" s="170"/>
      <c r="C8" s="686">
        <f t="shared" ref="C8:H8" si="3">SUM(C9:C12)</f>
        <v>70175315</v>
      </c>
      <c r="D8" s="618">
        <f t="shared" si="3"/>
        <v>59928121</v>
      </c>
      <c r="E8" s="617">
        <f t="shared" si="3"/>
        <v>69902200</v>
      </c>
      <c r="F8" s="617">
        <f t="shared" si="3"/>
        <v>0</v>
      </c>
      <c r="G8" s="617">
        <f t="shared" si="3"/>
        <v>35884658.150000006</v>
      </c>
      <c r="H8" s="617">
        <f t="shared" si="3"/>
        <v>69902200</v>
      </c>
      <c r="I8" s="259">
        <f t="shared" si="1"/>
        <v>34017541.849999994</v>
      </c>
      <c r="J8" s="584">
        <f t="shared" si="2"/>
        <v>0.4866447958719467</v>
      </c>
      <c r="K8" s="619">
        <f>SUM(K9:K12)</f>
        <v>69902200</v>
      </c>
    </row>
    <row r="9" spans="1:11" ht="12.75" customHeight="1" x14ac:dyDescent="0.2">
      <c r="A9" s="583" t="s">
        <v>175</v>
      </c>
      <c r="B9" s="170"/>
      <c r="C9" s="758">
        <v>67615315</v>
      </c>
      <c r="D9" s="755">
        <v>25477817</v>
      </c>
      <c r="E9" s="743">
        <v>35477817</v>
      </c>
      <c r="F9" s="743">
        <v>0</v>
      </c>
      <c r="G9" s="743">
        <v>35884658.150000006</v>
      </c>
      <c r="H9" s="743">
        <f>E9</f>
        <v>35477817</v>
      </c>
      <c r="I9" s="259">
        <f t="shared" si="1"/>
        <v>-406841.15000000596</v>
      </c>
      <c r="J9" s="584">
        <f t="shared" si="2"/>
        <v>-1.1467479805761611E-2</v>
      </c>
      <c r="K9" s="745">
        <f>E9</f>
        <v>35477817</v>
      </c>
    </row>
    <row r="10" spans="1:11" ht="12.75" customHeight="1" x14ac:dyDescent="0.2">
      <c r="A10" s="583" t="s">
        <v>1254</v>
      </c>
      <c r="B10" s="170"/>
      <c r="C10" s="758"/>
      <c r="D10" s="755"/>
      <c r="E10" s="743">
        <v>0</v>
      </c>
      <c r="F10" s="743">
        <v>0</v>
      </c>
      <c r="G10" s="743">
        <v>0</v>
      </c>
      <c r="H10" s="743">
        <f>E10</f>
        <v>0</v>
      </c>
      <c r="I10" s="259">
        <f t="shared" si="1"/>
        <v>0</v>
      </c>
      <c r="J10" s="584" t="str">
        <f t="shared" si="2"/>
        <v/>
      </c>
      <c r="K10" s="745">
        <f>E10</f>
        <v>0</v>
      </c>
    </row>
    <row r="11" spans="1:11" ht="12.75" customHeight="1" x14ac:dyDescent="0.2">
      <c r="A11" s="583" t="s">
        <v>1255</v>
      </c>
      <c r="B11" s="170"/>
      <c r="C11" s="758"/>
      <c r="D11" s="755">
        <v>19042779</v>
      </c>
      <c r="E11" s="743">
        <v>19042779</v>
      </c>
      <c r="F11" s="743">
        <v>0</v>
      </c>
      <c r="G11" s="743">
        <v>0</v>
      </c>
      <c r="H11" s="743">
        <f>E11</f>
        <v>19042779</v>
      </c>
      <c r="I11" s="259">
        <f t="shared" si="1"/>
        <v>19042779</v>
      </c>
      <c r="J11" s="584">
        <f t="shared" si="2"/>
        <v>1</v>
      </c>
      <c r="K11" s="745">
        <f>E11</f>
        <v>19042779</v>
      </c>
    </row>
    <row r="12" spans="1:11" ht="12.75" customHeight="1" x14ac:dyDescent="0.2">
      <c r="A12" s="583" t="s">
        <v>1256</v>
      </c>
      <c r="B12" s="170"/>
      <c r="C12" s="758">
        <v>2560000</v>
      </c>
      <c r="D12" s="755">
        <v>15407525</v>
      </c>
      <c r="E12" s="743">
        <v>15381604</v>
      </c>
      <c r="F12" s="743">
        <v>0</v>
      </c>
      <c r="G12" s="743">
        <v>0</v>
      </c>
      <c r="H12" s="743">
        <f>E12</f>
        <v>15381604</v>
      </c>
      <c r="I12" s="259">
        <f t="shared" si="1"/>
        <v>15381604</v>
      </c>
      <c r="J12" s="584">
        <f t="shared" si="2"/>
        <v>1</v>
      </c>
      <c r="K12" s="745">
        <f>E12</f>
        <v>15381604</v>
      </c>
    </row>
    <row r="13" spans="1:11" ht="12.75" customHeight="1" x14ac:dyDescent="0.2">
      <c r="A13" s="521" t="s">
        <v>1257</v>
      </c>
      <c r="B13" s="170"/>
      <c r="C13" s="657">
        <f t="shared" ref="C13:H13" si="4">SUM(C14:C16)</f>
        <v>0</v>
      </c>
      <c r="D13" s="658">
        <f t="shared" si="4"/>
        <v>1769786</v>
      </c>
      <c r="E13" s="411">
        <f t="shared" si="4"/>
        <v>1769786</v>
      </c>
      <c r="F13" s="411">
        <f t="shared" si="4"/>
        <v>0</v>
      </c>
      <c r="G13" s="411">
        <f t="shared" si="4"/>
        <v>0</v>
      </c>
      <c r="H13" s="411">
        <f t="shared" si="4"/>
        <v>1769786</v>
      </c>
      <c r="I13" s="259">
        <f t="shared" si="1"/>
        <v>1769786</v>
      </c>
      <c r="J13" s="584">
        <f t="shared" si="2"/>
        <v>1</v>
      </c>
      <c r="K13" s="651">
        <f>SUM(K14:K16)</f>
        <v>1769786</v>
      </c>
    </row>
    <row r="14" spans="1:11" ht="12.75" customHeight="1" x14ac:dyDescent="0.2">
      <c r="A14" s="583" t="s">
        <v>1258</v>
      </c>
      <c r="B14" s="170"/>
      <c r="C14" s="758"/>
      <c r="D14" s="755">
        <v>1769786</v>
      </c>
      <c r="E14" s="743">
        <v>1769786</v>
      </c>
      <c r="F14" s="743">
        <v>0</v>
      </c>
      <c r="G14" s="743">
        <v>0</v>
      </c>
      <c r="H14" s="743">
        <f>E14</f>
        <v>1769786</v>
      </c>
      <c r="I14" s="259">
        <f t="shared" si="1"/>
        <v>1769786</v>
      </c>
      <c r="J14" s="584">
        <f t="shared" si="2"/>
        <v>1</v>
      </c>
      <c r="K14" s="745">
        <f>E14</f>
        <v>1769786</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5">SUM(C18:C26)</f>
        <v>49287214</v>
      </c>
      <c r="D17" s="658">
        <f t="shared" si="5"/>
        <v>37974677</v>
      </c>
      <c r="E17" s="411">
        <f t="shared" si="5"/>
        <v>36474677</v>
      </c>
      <c r="F17" s="411">
        <f t="shared" si="5"/>
        <v>0</v>
      </c>
      <c r="G17" s="411">
        <f t="shared" si="5"/>
        <v>42784068.770000003</v>
      </c>
      <c r="H17" s="411">
        <f t="shared" si="5"/>
        <v>36474677</v>
      </c>
      <c r="I17" s="259">
        <f t="shared" si="1"/>
        <v>-6309391.7700000033</v>
      </c>
      <c r="J17" s="584">
        <f t="shared" si="2"/>
        <v>-0.17298005874047914</v>
      </c>
      <c r="K17" s="651">
        <f>SUM(K18:K26)</f>
        <v>36474677</v>
      </c>
    </row>
    <row r="18" spans="1:11" ht="12.75" customHeight="1" x14ac:dyDescent="0.2">
      <c r="A18" s="583" t="s">
        <v>1262</v>
      </c>
      <c r="B18" s="170"/>
      <c r="C18" s="758"/>
      <c r="D18" s="755">
        <v>0</v>
      </c>
      <c r="E18" s="743">
        <v>0</v>
      </c>
      <c r="F18" s="743">
        <v>0</v>
      </c>
      <c r="G18" s="743">
        <v>0</v>
      </c>
      <c r="H18" s="743">
        <f>D18/12*7</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ref="H19:H25" si="6">D19/12*7</f>
        <v>0</v>
      </c>
      <c r="I19" s="259">
        <f t="shared" si="1"/>
        <v>0</v>
      </c>
      <c r="J19" s="584" t="str">
        <f t="shared" si="2"/>
        <v/>
      </c>
      <c r="K19" s="745">
        <f t="shared" ref="K19:K25" si="7">D19</f>
        <v>0</v>
      </c>
    </row>
    <row r="20" spans="1:11" ht="12.75" customHeight="1" x14ac:dyDescent="0.2">
      <c r="A20" s="583" t="s">
        <v>1264</v>
      </c>
      <c r="B20" s="170"/>
      <c r="C20" s="758"/>
      <c r="D20" s="755">
        <v>0</v>
      </c>
      <c r="E20" s="743">
        <v>0</v>
      </c>
      <c r="F20" s="743">
        <v>0</v>
      </c>
      <c r="G20" s="743">
        <v>0</v>
      </c>
      <c r="H20" s="743">
        <f t="shared" si="6"/>
        <v>0</v>
      </c>
      <c r="I20" s="259">
        <f t="shared" si="1"/>
        <v>0</v>
      </c>
      <c r="J20" s="584" t="str">
        <f t="shared" si="2"/>
        <v/>
      </c>
      <c r="K20" s="745">
        <f t="shared" si="7"/>
        <v>0</v>
      </c>
    </row>
    <row r="21" spans="1:11" ht="12.75" customHeight="1" x14ac:dyDescent="0.2">
      <c r="A21" s="583" t="s">
        <v>1265</v>
      </c>
      <c r="B21" s="170"/>
      <c r="C21" s="758"/>
      <c r="D21" s="755">
        <v>0</v>
      </c>
      <c r="E21" s="743">
        <v>0</v>
      </c>
      <c r="F21" s="743">
        <v>0</v>
      </c>
      <c r="G21" s="743">
        <v>0</v>
      </c>
      <c r="H21" s="743">
        <f t="shared" si="6"/>
        <v>0</v>
      </c>
      <c r="I21" s="259">
        <f t="shared" si="1"/>
        <v>0</v>
      </c>
      <c r="J21" s="584" t="str">
        <f t="shared" si="2"/>
        <v/>
      </c>
      <c r="K21" s="745">
        <f t="shared" si="7"/>
        <v>0</v>
      </c>
    </row>
    <row r="22" spans="1:11" ht="12.75" customHeight="1" x14ac:dyDescent="0.2">
      <c r="A22" s="583" t="s">
        <v>1266</v>
      </c>
      <c r="B22" s="170"/>
      <c r="C22" s="758"/>
      <c r="D22" s="755">
        <v>0</v>
      </c>
      <c r="E22" s="743">
        <v>0</v>
      </c>
      <c r="F22" s="743">
        <v>0</v>
      </c>
      <c r="G22" s="743">
        <v>0</v>
      </c>
      <c r="H22" s="743">
        <f t="shared" si="6"/>
        <v>0</v>
      </c>
      <c r="I22" s="259">
        <f t="shared" si="1"/>
        <v>0</v>
      </c>
      <c r="J22" s="584" t="str">
        <f t="shared" si="2"/>
        <v/>
      </c>
      <c r="K22" s="745">
        <f t="shared" si="7"/>
        <v>0</v>
      </c>
    </row>
    <row r="23" spans="1:11" ht="12.75" customHeight="1" x14ac:dyDescent="0.2">
      <c r="A23" s="583" t="s">
        <v>1267</v>
      </c>
      <c r="B23" s="170"/>
      <c r="C23" s="758"/>
      <c r="D23" s="755">
        <v>0</v>
      </c>
      <c r="E23" s="743">
        <v>0</v>
      </c>
      <c r="F23" s="743">
        <v>0</v>
      </c>
      <c r="G23" s="743">
        <v>0</v>
      </c>
      <c r="H23" s="743">
        <f t="shared" si="6"/>
        <v>0</v>
      </c>
      <c r="I23" s="259">
        <f t="shared" si="1"/>
        <v>0</v>
      </c>
      <c r="J23" s="584" t="str">
        <f t="shared" si="2"/>
        <v/>
      </c>
      <c r="K23" s="745">
        <f t="shared" si="7"/>
        <v>0</v>
      </c>
    </row>
    <row r="24" spans="1:11" ht="12.75" customHeight="1" x14ac:dyDescent="0.2">
      <c r="A24" s="583" t="s">
        <v>1268</v>
      </c>
      <c r="B24" s="170"/>
      <c r="C24" s="758"/>
      <c r="D24" s="755">
        <v>0</v>
      </c>
      <c r="E24" s="743">
        <v>0</v>
      </c>
      <c r="F24" s="743">
        <v>0</v>
      </c>
      <c r="G24" s="743">
        <v>0</v>
      </c>
      <c r="H24" s="743">
        <f t="shared" si="6"/>
        <v>0</v>
      </c>
      <c r="I24" s="259">
        <f>H24-G24</f>
        <v>0</v>
      </c>
      <c r="J24" s="584" t="str">
        <f>IF(I24=0,"",I24/H24)</f>
        <v/>
      </c>
      <c r="K24" s="745">
        <f t="shared" si="7"/>
        <v>0</v>
      </c>
    </row>
    <row r="25" spans="1:11" ht="12.75" customHeight="1" x14ac:dyDescent="0.2">
      <c r="A25" s="583" t="s">
        <v>1269</v>
      </c>
      <c r="B25" s="170"/>
      <c r="C25" s="758"/>
      <c r="D25" s="755">
        <v>0</v>
      </c>
      <c r="E25" s="743">
        <v>0</v>
      </c>
      <c r="F25" s="743">
        <v>0</v>
      </c>
      <c r="G25" s="743">
        <v>0</v>
      </c>
      <c r="H25" s="743">
        <f t="shared" si="6"/>
        <v>0</v>
      </c>
      <c r="I25" s="259">
        <f t="shared" si="1"/>
        <v>0</v>
      </c>
      <c r="J25" s="584" t="str">
        <f t="shared" si="2"/>
        <v/>
      </c>
      <c r="K25" s="745">
        <f t="shared" si="7"/>
        <v>0</v>
      </c>
    </row>
    <row r="26" spans="1:11" ht="12.75" customHeight="1" x14ac:dyDescent="0.2">
      <c r="A26" s="583" t="s">
        <v>1256</v>
      </c>
      <c r="B26" s="170"/>
      <c r="C26" s="758">
        <v>49287214</v>
      </c>
      <c r="D26" s="755">
        <v>37974677</v>
      </c>
      <c r="E26" s="743">
        <v>36474677</v>
      </c>
      <c r="F26" s="743">
        <v>0</v>
      </c>
      <c r="G26" s="743">
        <v>42784068.770000003</v>
      </c>
      <c r="H26" s="743">
        <f>E26</f>
        <v>36474677</v>
      </c>
      <c r="I26" s="259">
        <f t="shared" si="1"/>
        <v>-6309391.7700000033</v>
      </c>
      <c r="J26" s="584">
        <f t="shared" si="2"/>
        <v>-0.17298005874047914</v>
      </c>
      <c r="K26" s="745">
        <f>E26</f>
        <v>36474677</v>
      </c>
    </row>
    <row r="27" spans="1:11" ht="12.75" customHeight="1" x14ac:dyDescent="0.2">
      <c r="A27" s="520" t="s">
        <v>1270</v>
      </c>
      <c r="B27" s="170"/>
      <c r="C27" s="657">
        <f t="shared" ref="C27:H27" si="8">SUM(C28:C37)</f>
        <v>3581110</v>
      </c>
      <c r="D27" s="658">
        <f t="shared" si="8"/>
        <v>26710695</v>
      </c>
      <c r="E27" s="411">
        <f t="shared" si="8"/>
        <v>26710695</v>
      </c>
      <c r="F27" s="411">
        <f t="shared" si="8"/>
        <v>0</v>
      </c>
      <c r="G27" s="411">
        <f t="shared" si="8"/>
        <v>23802861.950000003</v>
      </c>
      <c r="H27" s="411">
        <f t="shared" si="8"/>
        <v>26710695</v>
      </c>
      <c r="I27" s="259">
        <f t="shared" si="1"/>
        <v>2907833.049999997</v>
      </c>
      <c r="J27" s="584">
        <f t="shared" si="2"/>
        <v>0.10886399811012019</v>
      </c>
      <c r="K27" s="651">
        <f>SUM(K28:K37)</f>
        <v>26710695</v>
      </c>
    </row>
    <row r="28" spans="1:11" ht="12.75" customHeight="1" x14ac:dyDescent="0.2">
      <c r="A28" s="583" t="s">
        <v>1271</v>
      </c>
      <c r="B28" s="170"/>
      <c r="C28" s="758"/>
      <c r="D28" s="755">
        <v>0</v>
      </c>
      <c r="E28" s="743">
        <v>0</v>
      </c>
      <c r="F28" s="743">
        <v>0</v>
      </c>
      <c r="G28" s="743">
        <v>0</v>
      </c>
      <c r="H28" s="743">
        <f t="shared" ref="H28:H37" si="9">E28</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9"/>
        <v>0</v>
      </c>
      <c r="I29" s="259">
        <f t="shared" si="1"/>
        <v>0</v>
      </c>
      <c r="J29" s="584" t="str">
        <f t="shared" si="2"/>
        <v/>
      </c>
      <c r="K29" s="745"/>
    </row>
    <row r="30" spans="1:11" ht="12.75" customHeight="1" x14ac:dyDescent="0.2">
      <c r="A30" s="583" t="s">
        <v>1273</v>
      </c>
      <c r="B30" s="170"/>
      <c r="C30" s="758"/>
      <c r="D30" s="755">
        <v>506172</v>
      </c>
      <c r="E30" s="743">
        <v>506172</v>
      </c>
      <c r="F30" s="743">
        <v>0</v>
      </c>
      <c r="G30" s="743">
        <v>0</v>
      </c>
      <c r="H30" s="743">
        <f t="shared" si="9"/>
        <v>506172</v>
      </c>
      <c r="I30" s="259">
        <f t="shared" si="1"/>
        <v>506172</v>
      </c>
      <c r="J30" s="584">
        <f t="shared" si="2"/>
        <v>1</v>
      </c>
      <c r="K30" s="745">
        <f t="shared" ref="K30:K37" si="10">E30</f>
        <v>506172</v>
      </c>
    </row>
    <row r="31" spans="1:11" ht="12.75" customHeight="1" x14ac:dyDescent="0.2">
      <c r="A31" s="583" t="s">
        <v>1274</v>
      </c>
      <c r="B31" s="170"/>
      <c r="C31" s="758"/>
      <c r="D31" s="755">
        <v>0</v>
      </c>
      <c r="E31" s="743">
        <v>0</v>
      </c>
      <c r="F31" s="743">
        <v>0</v>
      </c>
      <c r="G31" s="743">
        <v>0</v>
      </c>
      <c r="H31" s="743">
        <f t="shared" si="9"/>
        <v>0</v>
      </c>
      <c r="I31" s="259">
        <f t="shared" si="1"/>
        <v>0</v>
      </c>
      <c r="J31" s="584" t="str">
        <f t="shared" si="2"/>
        <v/>
      </c>
      <c r="K31" s="745">
        <f t="shared" si="10"/>
        <v>0</v>
      </c>
    </row>
    <row r="32" spans="1:11" ht="12.75" customHeight="1" x14ac:dyDescent="0.2">
      <c r="A32" s="583" t="s">
        <v>1275</v>
      </c>
      <c r="B32" s="170"/>
      <c r="C32" s="758"/>
      <c r="D32" s="755">
        <v>0</v>
      </c>
      <c r="E32" s="743">
        <v>0</v>
      </c>
      <c r="F32" s="743">
        <v>0</v>
      </c>
      <c r="G32" s="743">
        <v>0</v>
      </c>
      <c r="H32" s="743">
        <f t="shared" si="9"/>
        <v>0</v>
      </c>
      <c r="I32" s="259">
        <f t="shared" si="1"/>
        <v>0</v>
      </c>
      <c r="J32" s="584" t="str">
        <f t="shared" si="2"/>
        <v/>
      </c>
      <c r="K32" s="745">
        <f t="shared" si="10"/>
        <v>0</v>
      </c>
    </row>
    <row r="33" spans="1:11" ht="12.75" customHeight="1" x14ac:dyDescent="0.2">
      <c r="A33" s="583" t="s">
        <v>1276</v>
      </c>
      <c r="B33" s="170"/>
      <c r="C33" s="758"/>
      <c r="D33" s="755">
        <v>0</v>
      </c>
      <c r="E33" s="743">
        <v>0</v>
      </c>
      <c r="F33" s="743">
        <v>0</v>
      </c>
      <c r="G33" s="743">
        <v>0</v>
      </c>
      <c r="H33" s="743">
        <f t="shared" si="9"/>
        <v>0</v>
      </c>
      <c r="I33" s="259">
        <f t="shared" si="1"/>
        <v>0</v>
      </c>
      <c r="J33" s="584" t="str">
        <f t="shared" si="2"/>
        <v/>
      </c>
      <c r="K33" s="745">
        <f t="shared" si="10"/>
        <v>0</v>
      </c>
    </row>
    <row r="34" spans="1:11" ht="12.75" customHeight="1" x14ac:dyDescent="0.2">
      <c r="A34" s="583" t="s">
        <v>1277</v>
      </c>
      <c r="B34" s="170"/>
      <c r="C34" s="758">
        <v>3581110</v>
      </c>
      <c r="D34" s="755">
        <v>23670866</v>
      </c>
      <c r="E34" s="743">
        <v>23670866</v>
      </c>
      <c r="F34" s="743">
        <v>0</v>
      </c>
      <c r="G34" s="743">
        <v>21683844.600000001</v>
      </c>
      <c r="H34" s="743">
        <f t="shared" si="9"/>
        <v>23670866</v>
      </c>
      <c r="I34" s="259">
        <f t="shared" si="1"/>
        <v>1987021.3999999985</v>
      </c>
      <c r="J34" s="584">
        <f t="shared" si="2"/>
        <v>8.394375600791279E-2</v>
      </c>
      <c r="K34" s="745">
        <f t="shared" si="10"/>
        <v>23670866</v>
      </c>
    </row>
    <row r="35" spans="1:11" ht="12.75" customHeight="1" x14ac:dyDescent="0.2">
      <c r="A35" s="583" t="s">
        <v>1278</v>
      </c>
      <c r="B35" s="170"/>
      <c r="C35" s="758"/>
      <c r="D35" s="755">
        <v>0</v>
      </c>
      <c r="E35" s="743">
        <v>0</v>
      </c>
      <c r="F35" s="743">
        <v>0</v>
      </c>
      <c r="G35" s="743">
        <v>0</v>
      </c>
      <c r="H35" s="743">
        <f t="shared" si="9"/>
        <v>0</v>
      </c>
      <c r="I35" s="259">
        <f t="shared" si="1"/>
        <v>0</v>
      </c>
      <c r="J35" s="584" t="str">
        <f t="shared" si="2"/>
        <v/>
      </c>
      <c r="K35" s="745">
        <f t="shared" si="10"/>
        <v>0</v>
      </c>
    </row>
    <row r="36" spans="1:11" ht="12.75" customHeight="1" x14ac:dyDescent="0.2">
      <c r="A36" s="583" t="s">
        <v>1279</v>
      </c>
      <c r="B36" s="170"/>
      <c r="C36" s="758"/>
      <c r="D36" s="755">
        <v>0</v>
      </c>
      <c r="E36" s="743">
        <v>0</v>
      </c>
      <c r="F36" s="743">
        <v>0</v>
      </c>
      <c r="G36" s="743">
        <v>0</v>
      </c>
      <c r="H36" s="743">
        <f t="shared" si="9"/>
        <v>0</v>
      </c>
      <c r="I36" s="259">
        <f t="shared" si="1"/>
        <v>0</v>
      </c>
      <c r="J36" s="584" t="str">
        <f t="shared" si="2"/>
        <v/>
      </c>
      <c r="K36" s="745">
        <f t="shared" si="10"/>
        <v>0</v>
      </c>
    </row>
    <row r="37" spans="1:11" ht="12.75" customHeight="1" x14ac:dyDescent="0.2">
      <c r="A37" s="583" t="s">
        <v>1256</v>
      </c>
      <c r="B37" s="170"/>
      <c r="C37" s="758"/>
      <c r="D37" s="755">
        <v>2533657</v>
      </c>
      <c r="E37" s="743">
        <v>2533657</v>
      </c>
      <c r="F37" s="743">
        <v>0</v>
      </c>
      <c r="G37" s="743">
        <v>2119017.35</v>
      </c>
      <c r="H37" s="743">
        <f t="shared" si="9"/>
        <v>2533657</v>
      </c>
      <c r="I37" s="259">
        <f t="shared" si="1"/>
        <v>414639.64999999991</v>
      </c>
      <c r="J37" s="584">
        <f t="shared" si="2"/>
        <v>0.16365263727489551</v>
      </c>
      <c r="K37" s="745">
        <f t="shared" si="10"/>
        <v>2533657</v>
      </c>
    </row>
    <row r="38" spans="1:11" ht="12.75" customHeight="1" x14ac:dyDescent="0.2">
      <c r="A38" s="520" t="s">
        <v>1280</v>
      </c>
      <c r="B38" s="170"/>
      <c r="C38" s="657">
        <f t="shared" ref="C38:H38" si="11">SUM(C39:C44)</f>
        <v>1591163</v>
      </c>
      <c r="D38" s="658">
        <f t="shared" si="11"/>
        <v>7379099</v>
      </c>
      <c r="E38" s="411">
        <f t="shared" si="11"/>
        <v>7379099</v>
      </c>
      <c r="F38" s="411">
        <f t="shared" si="11"/>
        <v>0</v>
      </c>
      <c r="G38" s="411">
        <f t="shared" si="11"/>
        <v>13495453.76</v>
      </c>
      <c r="H38" s="411">
        <f t="shared" si="11"/>
        <v>7379099</v>
      </c>
      <c r="I38" s="259">
        <f t="shared" si="1"/>
        <v>-6116354.7599999998</v>
      </c>
      <c r="J38" s="584">
        <f t="shared" si="2"/>
        <v>-0.82887555242177935</v>
      </c>
      <c r="K38" s="651">
        <f>SUM(K39:K44)</f>
        <v>7379099</v>
      </c>
    </row>
    <row r="39" spans="1:11" ht="12.75" customHeight="1" x14ac:dyDescent="0.2">
      <c r="A39" s="583" t="s">
        <v>1281</v>
      </c>
      <c r="B39" s="170"/>
      <c r="C39" s="758"/>
      <c r="D39" s="755">
        <v>0</v>
      </c>
      <c r="E39" s="743">
        <v>0</v>
      </c>
      <c r="F39" s="743">
        <v>0</v>
      </c>
      <c r="G39" s="743">
        <v>0</v>
      </c>
      <c r="H39" s="743">
        <f t="shared" ref="H39:H44" si="12">E39</f>
        <v>0</v>
      </c>
      <c r="I39" s="259">
        <f t="shared" si="1"/>
        <v>0</v>
      </c>
      <c r="J39" s="584" t="str">
        <f t="shared" si="2"/>
        <v/>
      </c>
      <c r="K39" s="745">
        <f>E39</f>
        <v>0</v>
      </c>
    </row>
    <row r="40" spans="1:11" ht="12.75" customHeight="1" x14ac:dyDescent="0.2">
      <c r="A40" s="583" t="s">
        <v>141</v>
      </c>
      <c r="B40" s="170"/>
      <c r="C40" s="758">
        <v>1591163</v>
      </c>
      <c r="D40" s="755">
        <v>5058127</v>
      </c>
      <c r="E40" s="743">
        <v>5058127</v>
      </c>
      <c r="F40" s="743">
        <v>0</v>
      </c>
      <c r="G40" s="743">
        <v>13495453.76</v>
      </c>
      <c r="H40" s="743">
        <f t="shared" si="12"/>
        <v>5058127</v>
      </c>
      <c r="I40" s="259">
        <f t="shared" si="1"/>
        <v>-8437326.7599999998</v>
      </c>
      <c r="J40" s="584">
        <f t="shared" si="2"/>
        <v>-1.6680733322828787</v>
      </c>
      <c r="K40" s="745">
        <f>E40</f>
        <v>5058127</v>
      </c>
    </row>
    <row r="41" spans="1:11" ht="12.75" customHeight="1" x14ac:dyDescent="0.2">
      <c r="A41" s="583" t="s">
        <v>1282</v>
      </c>
      <c r="B41" s="170"/>
      <c r="C41" s="758"/>
      <c r="D41" s="755">
        <v>2320972</v>
      </c>
      <c r="E41" s="743">
        <v>2320972</v>
      </c>
      <c r="F41" s="743">
        <v>0</v>
      </c>
      <c r="G41" s="743">
        <v>0</v>
      </c>
      <c r="H41" s="743">
        <f t="shared" si="12"/>
        <v>2320972</v>
      </c>
      <c r="I41" s="259">
        <f t="shared" si="1"/>
        <v>2320972</v>
      </c>
      <c r="J41" s="584">
        <f t="shared" si="2"/>
        <v>1</v>
      </c>
      <c r="K41" s="745">
        <f>E41</f>
        <v>2320972</v>
      </c>
    </row>
    <row r="42" spans="1:11" ht="12.75" customHeight="1" x14ac:dyDescent="0.2">
      <c r="A42" s="583" t="s">
        <v>1283</v>
      </c>
      <c r="B42" s="170"/>
      <c r="C42" s="758"/>
      <c r="D42" s="755">
        <v>0</v>
      </c>
      <c r="E42" s="743">
        <v>0</v>
      </c>
      <c r="F42" s="743">
        <v>0</v>
      </c>
      <c r="G42" s="743">
        <v>0</v>
      </c>
      <c r="H42" s="743">
        <f t="shared" si="12"/>
        <v>0</v>
      </c>
      <c r="I42" s="259">
        <f t="shared" si="1"/>
        <v>0</v>
      </c>
      <c r="J42" s="584" t="str">
        <f t="shared" si="2"/>
        <v/>
      </c>
      <c r="K42" s="745">
        <f t="shared" ref="K42:K44" si="13">D42</f>
        <v>0</v>
      </c>
    </row>
    <row r="43" spans="1:11" ht="12.75" customHeight="1" x14ac:dyDescent="0.2">
      <c r="A43" s="583" t="s">
        <v>1284</v>
      </c>
      <c r="B43" s="170"/>
      <c r="C43" s="758"/>
      <c r="D43" s="755">
        <v>0</v>
      </c>
      <c r="E43" s="743">
        <v>0</v>
      </c>
      <c r="F43" s="743">
        <v>0</v>
      </c>
      <c r="G43" s="743">
        <v>0</v>
      </c>
      <c r="H43" s="743">
        <f t="shared" si="12"/>
        <v>0</v>
      </c>
      <c r="I43" s="259">
        <f t="shared" si="1"/>
        <v>0</v>
      </c>
      <c r="J43" s="584" t="str">
        <f t="shared" si="2"/>
        <v/>
      </c>
      <c r="K43" s="745">
        <f t="shared" si="13"/>
        <v>0</v>
      </c>
    </row>
    <row r="44" spans="1:11" ht="12.75" customHeight="1" x14ac:dyDescent="0.2">
      <c r="A44" s="583" t="s">
        <v>1256</v>
      </c>
      <c r="B44" s="170"/>
      <c r="C44" s="758"/>
      <c r="D44" s="755">
        <v>0</v>
      </c>
      <c r="E44" s="743">
        <v>0</v>
      </c>
      <c r="F44" s="743">
        <v>0</v>
      </c>
      <c r="G44" s="743">
        <v>0</v>
      </c>
      <c r="H44" s="743">
        <f t="shared" si="12"/>
        <v>0</v>
      </c>
      <c r="I44" s="259">
        <f t="shared" si="1"/>
        <v>0</v>
      </c>
      <c r="J44" s="584" t="str">
        <f t="shared" si="2"/>
        <v/>
      </c>
      <c r="K44" s="745">
        <f t="shared" si="13"/>
        <v>0</v>
      </c>
    </row>
    <row r="45" spans="1:11" ht="12.75" customHeight="1" x14ac:dyDescent="0.2">
      <c r="A45" s="520" t="s">
        <v>1285</v>
      </c>
      <c r="B45" s="170"/>
      <c r="C45" s="657">
        <f t="shared" ref="C45:H45" si="14">SUM(C46:C52)</f>
        <v>1017727</v>
      </c>
      <c r="D45" s="658">
        <f t="shared" si="14"/>
        <v>12446357</v>
      </c>
      <c r="E45" s="411">
        <f t="shared" si="14"/>
        <v>10446357</v>
      </c>
      <c r="F45" s="411">
        <f t="shared" si="14"/>
        <v>0</v>
      </c>
      <c r="G45" s="411">
        <f t="shared" si="14"/>
        <v>2395674.46</v>
      </c>
      <c r="H45" s="411">
        <f t="shared" si="14"/>
        <v>10446357</v>
      </c>
      <c r="I45" s="259">
        <f t="shared" si="1"/>
        <v>8050682.54</v>
      </c>
      <c r="J45" s="584">
        <f t="shared" si="2"/>
        <v>0.77066890783073949</v>
      </c>
      <c r="K45" s="651">
        <f>SUM(K46:K52)</f>
        <v>10446357</v>
      </c>
    </row>
    <row r="46" spans="1:11" ht="12.75" customHeight="1" x14ac:dyDescent="0.2">
      <c r="A46" s="583" t="s">
        <v>1286</v>
      </c>
      <c r="B46" s="170"/>
      <c r="C46" s="758"/>
      <c r="D46" s="755">
        <v>0</v>
      </c>
      <c r="E46" s="743">
        <v>0</v>
      </c>
      <c r="F46" s="743">
        <v>0</v>
      </c>
      <c r="G46" s="743">
        <v>0</v>
      </c>
      <c r="H46" s="743">
        <f t="shared" ref="H46:H52" si="15">E46</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si="15"/>
        <v>0</v>
      </c>
      <c r="I47" s="259">
        <f t="shared" si="1"/>
        <v>0</v>
      </c>
      <c r="J47" s="584" t="str">
        <f t="shared" si="2"/>
        <v/>
      </c>
      <c r="K47" s="745">
        <f t="shared" ref="K47:K48" si="16">D47</f>
        <v>0</v>
      </c>
    </row>
    <row r="48" spans="1:11" ht="12.75" customHeight="1" x14ac:dyDescent="0.2">
      <c r="A48" s="583" t="s">
        <v>1288</v>
      </c>
      <c r="B48" s="170"/>
      <c r="C48" s="758"/>
      <c r="D48" s="755">
        <v>0</v>
      </c>
      <c r="E48" s="743">
        <v>0</v>
      </c>
      <c r="F48" s="743">
        <v>0</v>
      </c>
      <c r="G48" s="743">
        <v>0</v>
      </c>
      <c r="H48" s="743">
        <f t="shared" si="15"/>
        <v>0</v>
      </c>
      <c r="I48" s="259">
        <f t="shared" si="1"/>
        <v>0</v>
      </c>
      <c r="J48" s="584" t="str">
        <f t="shared" si="2"/>
        <v/>
      </c>
      <c r="K48" s="745">
        <f t="shared" si="16"/>
        <v>0</v>
      </c>
    </row>
    <row r="49" spans="1:11" ht="12.75" customHeight="1" x14ac:dyDescent="0.2">
      <c r="A49" s="583" t="s">
        <v>1289</v>
      </c>
      <c r="B49" s="170"/>
      <c r="C49" s="758">
        <v>1017727</v>
      </c>
      <c r="D49" s="755">
        <v>12106208</v>
      </c>
      <c r="E49" s="743">
        <v>10106208</v>
      </c>
      <c r="F49" s="743">
        <v>0</v>
      </c>
      <c r="G49" s="743">
        <v>2395674.46</v>
      </c>
      <c r="H49" s="743">
        <f t="shared" si="15"/>
        <v>10106208</v>
      </c>
      <c r="I49" s="259">
        <f t="shared" si="1"/>
        <v>7710533.54</v>
      </c>
      <c r="J49" s="584">
        <f t="shared" si="2"/>
        <v>0.76295021238430871</v>
      </c>
      <c r="K49" s="745">
        <f>E49</f>
        <v>10106208</v>
      </c>
    </row>
    <row r="50" spans="1:11" ht="12.75" customHeight="1" x14ac:dyDescent="0.2">
      <c r="A50" s="583" t="s">
        <v>1290</v>
      </c>
      <c r="B50" s="170"/>
      <c r="C50" s="758"/>
      <c r="D50" s="755"/>
      <c r="E50" s="743">
        <v>0</v>
      </c>
      <c r="F50" s="743">
        <v>0</v>
      </c>
      <c r="G50" s="743">
        <v>0</v>
      </c>
      <c r="H50" s="743">
        <f t="shared" si="15"/>
        <v>0</v>
      </c>
      <c r="I50" s="259">
        <f t="shared" si="1"/>
        <v>0</v>
      </c>
      <c r="J50" s="584" t="str">
        <f t="shared" si="2"/>
        <v/>
      </c>
      <c r="K50" s="745">
        <f>E50</f>
        <v>0</v>
      </c>
    </row>
    <row r="51" spans="1:11" ht="12.75" customHeight="1" x14ac:dyDescent="0.2">
      <c r="A51" s="583" t="s">
        <v>1291</v>
      </c>
      <c r="B51" s="170"/>
      <c r="C51" s="758"/>
      <c r="D51" s="755"/>
      <c r="E51" s="743">
        <v>0</v>
      </c>
      <c r="F51" s="743">
        <v>0</v>
      </c>
      <c r="G51" s="743">
        <v>0</v>
      </c>
      <c r="H51" s="743">
        <f t="shared" si="15"/>
        <v>0</v>
      </c>
      <c r="I51" s="259">
        <f t="shared" si="1"/>
        <v>0</v>
      </c>
      <c r="J51" s="584" t="str">
        <f t="shared" si="2"/>
        <v/>
      </c>
      <c r="K51" s="745">
        <f>E51</f>
        <v>0</v>
      </c>
    </row>
    <row r="52" spans="1:11" ht="12.75" customHeight="1" x14ac:dyDescent="0.2">
      <c r="A52" s="583" t="s">
        <v>1256</v>
      </c>
      <c r="B52" s="170"/>
      <c r="C52" s="758"/>
      <c r="D52" s="755">
        <v>340149</v>
      </c>
      <c r="E52" s="743">
        <v>340149</v>
      </c>
      <c r="F52" s="743">
        <v>0</v>
      </c>
      <c r="G52" s="743">
        <v>0</v>
      </c>
      <c r="H52" s="743">
        <f t="shared" si="15"/>
        <v>340149</v>
      </c>
      <c r="I52" s="259">
        <f t="shared" si="1"/>
        <v>340149</v>
      </c>
      <c r="J52" s="584">
        <f t="shared" si="2"/>
        <v>1</v>
      </c>
      <c r="K52" s="745">
        <f>E52</f>
        <v>340149</v>
      </c>
    </row>
    <row r="53" spans="1:11" ht="12.75" customHeight="1" x14ac:dyDescent="0.2">
      <c r="A53" s="521" t="s">
        <v>1292</v>
      </c>
      <c r="B53" s="170"/>
      <c r="C53" s="657">
        <f t="shared" ref="C53:H53" si="17">SUM(C54:C62)</f>
        <v>0</v>
      </c>
      <c r="D53" s="658">
        <f t="shared" si="17"/>
        <v>0</v>
      </c>
      <c r="E53" s="411">
        <f t="shared" si="17"/>
        <v>0</v>
      </c>
      <c r="F53" s="411">
        <f t="shared" si="17"/>
        <v>0</v>
      </c>
      <c r="G53" s="411">
        <f t="shared" si="17"/>
        <v>0</v>
      </c>
      <c r="H53" s="411">
        <f t="shared" si="17"/>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18">D55/12*7</f>
        <v>0</v>
      </c>
      <c r="I55" s="259">
        <f t="shared" si="1"/>
        <v>0</v>
      </c>
      <c r="J55" s="584" t="str">
        <f t="shared" si="2"/>
        <v/>
      </c>
      <c r="K55" s="745">
        <f t="shared" ref="K55:K62" si="19">D55</f>
        <v>0</v>
      </c>
    </row>
    <row r="56" spans="1:11" ht="12.75" customHeight="1" x14ac:dyDescent="0.2">
      <c r="A56" s="583" t="s">
        <v>1295</v>
      </c>
      <c r="B56" s="170"/>
      <c r="C56" s="758"/>
      <c r="D56" s="755">
        <v>0</v>
      </c>
      <c r="E56" s="743">
        <v>0</v>
      </c>
      <c r="F56" s="743">
        <v>0</v>
      </c>
      <c r="G56" s="743">
        <v>0</v>
      </c>
      <c r="H56" s="743">
        <f t="shared" si="18"/>
        <v>0</v>
      </c>
      <c r="I56" s="259">
        <f t="shared" si="1"/>
        <v>0</v>
      </c>
      <c r="J56" s="584" t="str">
        <f t="shared" si="2"/>
        <v/>
      </c>
      <c r="K56" s="745">
        <f t="shared" si="19"/>
        <v>0</v>
      </c>
    </row>
    <row r="57" spans="1:11" ht="12.75" customHeight="1" x14ac:dyDescent="0.2">
      <c r="A57" s="583" t="s">
        <v>1258</v>
      </c>
      <c r="B57" s="170"/>
      <c r="C57" s="758"/>
      <c r="D57" s="755">
        <v>0</v>
      </c>
      <c r="E57" s="743">
        <v>0</v>
      </c>
      <c r="F57" s="743">
        <v>0</v>
      </c>
      <c r="G57" s="743">
        <v>0</v>
      </c>
      <c r="H57" s="743">
        <f t="shared" si="18"/>
        <v>0</v>
      </c>
      <c r="I57" s="259">
        <f t="shared" si="1"/>
        <v>0</v>
      </c>
      <c r="J57" s="584" t="str">
        <f t="shared" si="2"/>
        <v/>
      </c>
      <c r="K57" s="745">
        <f t="shared" si="19"/>
        <v>0</v>
      </c>
    </row>
    <row r="58" spans="1:11" ht="12.75" customHeight="1" x14ac:dyDescent="0.2">
      <c r="A58" s="583" t="s">
        <v>1259</v>
      </c>
      <c r="B58" s="170"/>
      <c r="C58" s="758"/>
      <c r="D58" s="755">
        <v>0</v>
      </c>
      <c r="E58" s="743">
        <v>0</v>
      </c>
      <c r="F58" s="743">
        <v>0</v>
      </c>
      <c r="G58" s="743">
        <v>0</v>
      </c>
      <c r="H58" s="743">
        <f t="shared" si="18"/>
        <v>0</v>
      </c>
      <c r="I58" s="259">
        <f t="shared" si="1"/>
        <v>0</v>
      </c>
      <c r="J58" s="584" t="str">
        <f t="shared" si="2"/>
        <v/>
      </c>
      <c r="K58" s="745">
        <f t="shared" si="19"/>
        <v>0</v>
      </c>
    </row>
    <row r="59" spans="1:11" ht="12.75" customHeight="1" x14ac:dyDescent="0.2">
      <c r="A59" s="583" t="s">
        <v>1260</v>
      </c>
      <c r="B59" s="170"/>
      <c r="C59" s="758"/>
      <c r="D59" s="755">
        <v>0</v>
      </c>
      <c r="E59" s="743">
        <v>0</v>
      </c>
      <c r="F59" s="743">
        <v>0</v>
      </c>
      <c r="G59" s="743">
        <v>0</v>
      </c>
      <c r="H59" s="743">
        <f t="shared" si="18"/>
        <v>0</v>
      </c>
      <c r="I59" s="259">
        <f t="shared" si="1"/>
        <v>0</v>
      </c>
      <c r="J59" s="584" t="str">
        <f t="shared" si="2"/>
        <v/>
      </c>
      <c r="K59" s="745">
        <f t="shared" si="19"/>
        <v>0</v>
      </c>
    </row>
    <row r="60" spans="1:11" ht="12.75" customHeight="1" x14ac:dyDescent="0.2">
      <c r="A60" s="583" t="s">
        <v>1266</v>
      </c>
      <c r="B60" s="170"/>
      <c r="C60" s="758"/>
      <c r="D60" s="755">
        <v>0</v>
      </c>
      <c r="E60" s="743">
        <v>0</v>
      </c>
      <c r="F60" s="743">
        <v>0</v>
      </c>
      <c r="G60" s="743">
        <v>0</v>
      </c>
      <c r="H60" s="743">
        <f t="shared" si="18"/>
        <v>0</v>
      </c>
      <c r="I60" s="259">
        <f t="shared" si="1"/>
        <v>0</v>
      </c>
      <c r="J60" s="584" t="str">
        <f t="shared" si="2"/>
        <v/>
      </c>
      <c r="K60" s="745">
        <f t="shared" si="19"/>
        <v>0</v>
      </c>
    </row>
    <row r="61" spans="1:11" ht="12.75" customHeight="1" x14ac:dyDescent="0.2">
      <c r="A61" s="583" t="s">
        <v>1269</v>
      </c>
      <c r="B61" s="170"/>
      <c r="C61" s="758"/>
      <c r="D61" s="755">
        <v>0</v>
      </c>
      <c r="E61" s="743">
        <v>0</v>
      </c>
      <c r="F61" s="743">
        <v>0</v>
      </c>
      <c r="G61" s="743">
        <v>0</v>
      </c>
      <c r="H61" s="743">
        <f t="shared" si="18"/>
        <v>0</v>
      </c>
      <c r="I61" s="259">
        <f t="shared" si="1"/>
        <v>0</v>
      </c>
      <c r="J61" s="584" t="str">
        <f t="shared" si="2"/>
        <v/>
      </c>
      <c r="K61" s="745">
        <f t="shared" si="19"/>
        <v>0</v>
      </c>
    </row>
    <row r="62" spans="1:11" ht="12.75" customHeight="1" x14ac:dyDescent="0.2">
      <c r="A62" s="583" t="s">
        <v>1256</v>
      </c>
      <c r="B62" s="170"/>
      <c r="C62" s="758">
        <v>0</v>
      </c>
      <c r="D62" s="755">
        <v>0</v>
      </c>
      <c r="E62" s="743">
        <v>0</v>
      </c>
      <c r="F62" s="743">
        <v>0</v>
      </c>
      <c r="G62" s="743">
        <v>0</v>
      </c>
      <c r="H62" s="743">
        <f t="shared" si="18"/>
        <v>0</v>
      </c>
      <c r="I62" s="259">
        <f t="shared" si="1"/>
        <v>0</v>
      </c>
      <c r="J62" s="584" t="str">
        <f t="shared" si="2"/>
        <v/>
      </c>
      <c r="K62" s="745">
        <f t="shared" si="19"/>
        <v>0</v>
      </c>
    </row>
    <row r="63" spans="1:11" ht="12.75" customHeight="1" x14ac:dyDescent="0.2">
      <c r="A63" s="520" t="s">
        <v>1296</v>
      </c>
      <c r="B63" s="170"/>
      <c r="C63" s="657">
        <f t="shared" ref="C63:H63" si="20">SUM(C64:C68)</f>
        <v>0</v>
      </c>
      <c r="D63" s="658">
        <f t="shared" si="20"/>
        <v>0</v>
      </c>
      <c r="E63" s="411">
        <f t="shared" si="20"/>
        <v>0</v>
      </c>
      <c r="F63" s="411">
        <f t="shared" si="20"/>
        <v>0</v>
      </c>
      <c r="G63" s="411">
        <f t="shared" si="20"/>
        <v>0</v>
      </c>
      <c r="H63" s="411">
        <f t="shared" si="20"/>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1">SUM(C70:C73)</f>
        <v>0</v>
      </c>
      <c r="D69" s="658">
        <f t="shared" si="21"/>
        <v>0</v>
      </c>
      <c r="E69" s="411">
        <f t="shared" si="21"/>
        <v>0</v>
      </c>
      <c r="F69" s="411">
        <f t="shared" si="21"/>
        <v>0</v>
      </c>
      <c r="G69" s="411">
        <f t="shared" si="21"/>
        <v>0</v>
      </c>
      <c r="H69" s="411">
        <f t="shared" si="21"/>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2">+C76+C99</f>
        <v>850000</v>
      </c>
      <c r="D75" s="586">
        <f t="shared" si="22"/>
        <v>21846428</v>
      </c>
      <c r="E75" s="587">
        <f t="shared" si="22"/>
        <v>17546428</v>
      </c>
      <c r="F75" s="587">
        <f t="shared" si="22"/>
        <v>0</v>
      </c>
      <c r="G75" s="587">
        <f t="shared" si="22"/>
        <v>22241457.189999998</v>
      </c>
      <c r="H75" s="587">
        <f t="shared" si="22"/>
        <v>17546428</v>
      </c>
      <c r="I75" s="587">
        <f t="shared" si="1"/>
        <v>-4695029.1899999976</v>
      </c>
      <c r="J75" s="588">
        <f t="shared" si="2"/>
        <v>-0.26757749155554611</v>
      </c>
      <c r="K75" s="589">
        <f>+K76+K99</f>
        <v>17546428</v>
      </c>
    </row>
    <row r="76" spans="1:11" ht="12.75" customHeight="1" x14ac:dyDescent="0.2">
      <c r="A76" s="521" t="s">
        <v>1305</v>
      </c>
      <c r="B76" s="170"/>
      <c r="C76" s="657">
        <f t="shared" ref="C76:H76" si="23">SUM(C77:C98)</f>
        <v>0</v>
      </c>
      <c r="D76" s="658">
        <f t="shared" si="23"/>
        <v>17361012</v>
      </c>
      <c r="E76" s="411">
        <f t="shared" si="23"/>
        <v>13811012</v>
      </c>
      <c r="F76" s="411">
        <f t="shared" si="23"/>
        <v>0</v>
      </c>
      <c r="G76" s="411">
        <f t="shared" si="23"/>
        <v>20479466.719999999</v>
      </c>
      <c r="H76" s="411">
        <f t="shared" si="23"/>
        <v>13811012</v>
      </c>
      <c r="I76" s="259">
        <f t="shared" si="1"/>
        <v>-6668454.7199999988</v>
      </c>
      <c r="J76" s="584">
        <f t="shared" si="2"/>
        <v>-0.48283606733525386</v>
      </c>
      <c r="K76" s="651">
        <f>SUM(K77:K98)</f>
        <v>13811012</v>
      </c>
    </row>
    <row r="77" spans="1:11" ht="12.75" customHeight="1" x14ac:dyDescent="0.2">
      <c r="A77" s="583" t="s">
        <v>1306</v>
      </c>
      <c r="B77" s="170"/>
      <c r="C77" s="758">
        <v>0</v>
      </c>
      <c r="D77" s="763">
        <v>0</v>
      </c>
      <c r="E77" s="743">
        <v>0</v>
      </c>
      <c r="F77" s="743">
        <v>0</v>
      </c>
      <c r="G77" s="743">
        <v>0</v>
      </c>
      <c r="H77" s="743">
        <f t="shared" ref="H77:H98" si="24">E77</f>
        <v>0</v>
      </c>
      <c r="I77" s="45">
        <f t="shared" si="1"/>
        <v>0</v>
      </c>
      <c r="J77" s="125" t="str">
        <f t="shared" si="2"/>
        <v/>
      </c>
      <c r="K77" s="745">
        <v>0</v>
      </c>
    </row>
    <row r="78" spans="1:11" ht="12.75" customHeight="1" x14ac:dyDescent="0.2">
      <c r="A78" s="583" t="s">
        <v>1307</v>
      </c>
      <c r="B78" s="170"/>
      <c r="C78" s="758">
        <v>0</v>
      </c>
      <c r="D78" s="763">
        <v>0</v>
      </c>
      <c r="E78" s="743">
        <v>0</v>
      </c>
      <c r="F78" s="743">
        <v>0</v>
      </c>
      <c r="G78" s="743">
        <v>0</v>
      </c>
      <c r="H78" s="743">
        <f t="shared" si="24"/>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 t="shared" si="24"/>
        <v>0</v>
      </c>
      <c r="I79" s="45">
        <f t="shared" si="1"/>
        <v>0</v>
      </c>
      <c r="J79" s="125" t="str">
        <f t="shared" si="2"/>
        <v/>
      </c>
      <c r="K79" s="745">
        <v>0</v>
      </c>
    </row>
    <row r="80" spans="1:11" ht="12.75" customHeight="1" x14ac:dyDescent="0.2">
      <c r="A80" s="583" t="s">
        <v>1309</v>
      </c>
      <c r="B80" s="170"/>
      <c r="C80" s="758">
        <v>0</v>
      </c>
      <c r="D80" s="763">
        <v>0</v>
      </c>
      <c r="E80" s="743">
        <v>0</v>
      </c>
      <c r="F80" s="743">
        <v>0</v>
      </c>
      <c r="G80" s="743">
        <v>0</v>
      </c>
      <c r="H80" s="743">
        <f t="shared" si="24"/>
        <v>0</v>
      </c>
      <c r="I80" s="45">
        <f t="shared" si="1"/>
        <v>0</v>
      </c>
      <c r="J80" s="125" t="str">
        <f t="shared" si="2"/>
        <v/>
      </c>
      <c r="K80" s="745">
        <v>0</v>
      </c>
    </row>
    <row r="81" spans="1:11" ht="12.75" customHeight="1" x14ac:dyDescent="0.2">
      <c r="A81" s="583" t="s">
        <v>1310</v>
      </c>
      <c r="B81" s="170"/>
      <c r="C81" s="758">
        <v>0</v>
      </c>
      <c r="D81" s="763">
        <v>1677129</v>
      </c>
      <c r="E81" s="743">
        <v>1677129</v>
      </c>
      <c r="F81" s="743">
        <v>0</v>
      </c>
      <c r="G81" s="743">
        <v>0</v>
      </c>
      <c r="H81" s="743">
        <f t="shared" si="24"/>
        <v>1677129</v>
      </c>
      <c r="I81" s="45">
        <f t="shared" si="1"/>
        <v>1677129</v>
      </c>
      <c r="J81" s="125">
        <f t="shared" si="2"/>
        <v>1</v>
      </c>
      <c r="K81" s="745">
        <f t="shared" ref="K81:K98" si="25">E81</f>
        <v>1677129</v>
      </c>
    </row>
    <row r="82" spans="1:11" ht="12.75" customHeight="1" x14ac:dyDescent="0.2">
      <c r="A82" s="583" t="s">
        <v>1311</v>
      </c>
      <c r="B82" s="170"/>
      <c r="C82" s="758">
        <v>0</v>
      </c>
      <c r="D82" s="763">
        <v>1986</v>
      </c>
      <c r="E82" s="743">
        <v>1986</v>
      </c>
      <c r="F82" s="743">
        <v>0</v>
      </c>
      <c r="G82" s="743">
        <v>75166.91</v>
      </c>
      <c r="H82" s="743">
        <f t="shared" si="24"/>
        <v>1986</v>
      </c>
      <c r="I82" s="45">
        <f t="shared" si="1"/>
        <v>-73180.91</v>
      </c>
      <c r="J82" s="125">
        <f t="shared" si="2"/>
        <v>-36.848393756294058</v>
      </c>
      <c r="K82" s="745">
        <f t="shared" si="25"/>
        <v>1986</v>
      </c>
    </row>
    <row r="83" spans="1:11" ht="12.75" customHeight="1" x14ac:dyDescent="0.2">
      <c r="A83" s="583" t="s">
        <v>1312</v>
      </c>
      <c r="B83" s="170"/>
      <c r="C83" s="758">
        <v>0</v>
      </c>
      <c r="D83" s="763">
        <v>17879</v>
      </c>
      <c r="E83" s="743">
        <v>17879</v>
      </c>
      <c r="F83" s="743">
        <v>0</v>
      </c>
      <c r="G83" s="743">
        <v>0</v>
      </c>
      <c r="H83" s="743">
        <f t="shared" si="24"/>
        <v>17879</v>
      </c>
      <c r="I83" s="45">
        <f t="shared" si="1"/>
        <v>17879</v>
      </c>
      <c r="J83" s="125">
        <f t="shared" si="2"/>
        <v>1</v>
      </c>
      <c r="K83" s="745">
        <f t="shared" si="25"/>
        <v>17879</v>
      </c>
    </row>
    <row r="84" spans="1:11" ht="12.75" customHeight="1" x14ac:dyDescent="0.2">
      <c r="A84" s="583" t="s">
        <v>1313</v>
      </c>
      <c r="B84" s="170"/>
      <c r="C84" s="758">
        <v>0</v>
      </c>
      <c r="D84" s="763">
        <v>60355</v>
      </c>
      <c r="E84" s="743">
        <v>60355</v>
      </c>
      <c r="F84" s="743">
        <v>0</v>
      </c>
      <c r="G84" s="743">
        <v>0</v>
      </c>
      <c r="H84" s="743">
        <f t="shared" si="24"/>
        <v>60355</v>
      </c>
      <c r="I84" s="45">
        <f t="shared" si="1"/>
        <v>60355</v>
      </c>
      <c r="J84" s="125">
        <f t="shared" si="2"/>
        <v>1</v>
      </c>
      <c r="K84" s="745">
        <f t="shared" si="25"/>
        <v>60355</v>
      </c>
    </row>
    <row r="85" spans="1:11" ht="12.75" customHeight="1" x14ac:dyDescent="0.2">
      <c r="A85" s="583" t="s">
        <v>1189</v>
      </c>
      <c r="B85" s="170"/>
      <c r="C85" s="758">
        <v>0</v>
      </c>
      <c r="D85" s="763">
        <v>0</v>
      </c>
      <c r="E85" s="743">
        <v>0</v>
      </c>
      <c r="F85" s="743">
        <v>0</v>
      </c>
      <c r="G85" s="743">
        <v>0</v>
      </c>
      <c r="H85" s="743">
        <f t="shared" si="24"/>
        <v>0</v>
      </c>
      <c r="I85" s="45">
        <f t="shared" si="1"/>
        <v>0</v>
      </c>
      <c r="J85" s="125" t="str">
        <f t="shared" si="2"/>
        <v/>
      </c>
      <c r="K85" s="745">
        <f t="shared" si="25"/>
        <v>0</v>
      </c>
    </row>
    <row r="86" spans="1:11" ht="12.75" customHeight="1" x14ac:dyDescent="0.2">
      <c r="A86" s="583" t="s">
        <v>572</v>
      </c>
      <c r="B86" s="170"/>
      <c r="C86" s="758">
        <v>0</v>
      </c>
      <c r="D86" s="763">
        <v>38541</v>
      </c>
      <c r="E86" s="743">
        <v>38541</v>
      </c>
      <c r="F86" s="743">
        <v>0</v>
      </c>
      <c r="G86" s="743">
        <v>0</v>
      </c>
      <c r="H86" s="743">
        <f t="shared" si="24"/>
        <v>38541</v>
      </c>
      <c r="I86" s="45">
        <f t="shared" si="1"/>
        <v>38541</v>
      </c>
      <c r="J86" s="125">
        <f t="shared" si="2"/>
        <v>1</v>
      </c>
      <c r="K86" s="745">
        <f t="shared" si="25"/>
        <v>38541</v>
      </c>
    </row>
    <row r="87" spans="1:11" ht="12.75" customHeight="1" x14ac:dyDescent="0.2">
      <c r="A87" s="583" t="s">
        <v>1314</v>
      </c>
      <c r="B87" s="170"/>
      <c r="C87" s="758">
        <v>0</v>
      </c>
      <c r="D87" s="763">
        <v>1078791</v>
      </c>
      <c r="E87" s="743">
        <v>1078791</v>
      </c>
      <c r="F87" s="743">
        <v>0</v>
      </c>
      <c r="G87" s="743">
        <v>0</v>
      </c>
      <c r="H87" s="743">
        <f t="shared" si="24"/>
        <v>1078791</v>
      </c>
      <c r="I87" s="45">
        <f t="shared" si="1"/>
        <v>1078791</v>
      </c>
      <c r="J87" s="125">
        <f t="shared" si="2"/>
        <v>1</v>
      </c>
      <c r="K87" s="745">
        <f t="shared" si="25"/>
        <v>1078791</v>
      </c>
    </row>
    <row r="88" spans="1:11" ht="12.75" customHeight="1" x14ac:dyDescent="0.2">
      <c r="A88" s="583" t="s">
        <v>173</v>
      </c>
      <c r="B88" s="170"/>
      <c r="C88" s="758">
        <v>0</v>
      </c>
      <c r="D88" s="763">
        <v>0</v>
      </c>
      <c r="E88" s="743">
        <v>0</v>
      </c>
      <c r="F88" s="743">
        <v>0</v>
      </c>
      <c r="G88" s="743">
        <v>0</v>
      </c>
      <c r="H88" s="743">
        <f t="shared" si="24"/>
        <v>0</v>
      </c>
      <c r="I88" s="45">
        <f t="shared" si="1"/>
        <v>0</v>
      </c>
      <c r="J88" s="125" t="str">
        <f t="shared" si="2"/>
        <v/>
      </c>
      <c r="K88" s="745">
        <f t="shared" si="25"/>
        <v>0</v>
      </c>
    </row>
    <row r="89" spans="1:11" ht="12.75" customHeight="1" x14ac:dyDescent="0.2">
      <c r="A89" s="583" t="s">
        <v>1315</v>
      </c>
      <c r="B89" s="170"/>
      <c r="C89" s="758">
        <v>0</v>
      </c>
      <c r="D89" s="763">
        <v>0</v>
      </c>
      <c r="E89" s="743">
        <v>0</v>
      </c>
      <c r="F89" s="743">
        <v>0</v>
      </c>
      <c r="G89" s="743">
        <v>0</v>
      </c>
      <c r="H89" s="743">
        <f t="shared" si="24"/>
        <v>0</v>
      </c>
      <c r="I89" s="45">
        <f t="shared" si="1"/>
        <v>0</v>
      </c>
      <c r="J89" s="125" t="str">
        <f t="shared" si="2"/>
        <v/>
      </c>
      <c r="K89" s="745">
        <f t="shared" si="25"/>
        <v>0</v>
      </c>
    </row>
    <row r="90" spans="1:11" ht="12.75" customHeight="1" x14ac:dyDescent="0.2">
      <c r="A90" s="583" t="s">
        <v>1316</v>
      </c>
      <c r="B90" s="170"/>
      <c r="C90" s="758">
        <v>0</v>
      </c>
      <c r="D90" s="763">
        <v>5592700</v>
      </c>
      <c r="E90" s="743">
        <v>2042700</v>
      </c>
      <c r="F90" s="743">
        <v>0</v>
      </c>
      <c r="G90" s="743">
        <v>3266966.11</v>
      </c>
      <c r="H90" s="743">
        <f t="shared" si="24"/>
        <v>2042700</v>
      </c>
      <c r="I90" s="45">
        <f t="shared" si="1"/>
        <v>-1224266.1099999999</v>
      </c>
      <c r="J90" s="125">
        <f t="shared" si="2"/>
        <v>-0.59933720565917648</v>
      </c>
      <c r="K90" s="745">
        <f t="shared" si="25"/>
        <v>2042700</v>
      </c>
    </row>
    <row r="91" spans="1:11" ht="12.75" customHeight="1" x14ac:dyDescent="0.2">
      <c r="A91" s="583" t="s">
        <v>1317</v>
      </c>
      <c r="B91" s="170"/>
      <c r="C91" s="758">
        <v>0</v>
      </c>
      <c r="D91" s="763">
        <v>377235</v>
      </c>
      <c r="E91" s="743">
        <v>377235</v>
      </c>
      <c r="F91" s="743">
        <v>0</v>
      </c>
      <c r="G91" s="743">
        <v>0</v>
      </c>
      <c r="H91" s="743">
        <f t="shared" si="24"/>
        <v>377235</v>
      </c>
      <c r="I91" s="45">
        <f t="shared" si="1"/>
        <v>377235</v>
      </c>
      <c r="J91" s="125">
        <f t="shared" si="2"/>
        <v>1</v>
      </c>
      <c r="K91" s="745">
        <f t="shared" si="25"/>
        <v>377235</v>
      </c>
    </row>
    <row r="92" spans="1:11" ht="12.75" customHeight="1" x14ac:dyDescent="0.2">
      <c r="A92" s="583" t="s">
        <v>1318</v>
      </c>
      <c r="B92" s="170"/>
      <c r="C92" s="758">
        <v>0</v>
      </c>
      <c r="D92" s="763">
        <v>3424263</v>
      </c>
      <c r="E92" s="743">
        <v>3424263</v>
      </c>
      <c r="F92" s="743">
        <v>0</v>
      </c>
      <c r="G92" s="743">
        <v>0</v>
      </c>
      <c r="H92" s="743">
        <f t="shared" si="24"/>
        <v>3424263</v>
      </c>
      <c r="I92" s="45">
        <f t="shared" si="1"/>
        <v>3424263</v>
      </c>
      <c r="J92" s="125">
        <f t="shared" si="2"/>
        <v>1</v>
      </c>
      <c r="K92" s="745">
        <f t="shared" si="25"/>
        <v>3424263</v>
      </c>
    </row>
    <row r="93" spans="1:11" ht="12.75" customHeight="1" x14ac:dyDescent="0.2">
      <c r="A93" s="583" t="s">
        <v>451</v>
      </c>
      <c r="B93" s="170"/>
      <c r="C93" s="758">
        <v>0</v>
      </c>
      <c r="D93" s="763">
        <v>0</v>
      </c>
      <c r="E93" s="743">
        <v>0</v>
      </c>
      <c r="F93" s="743">
        <v>0</v>
      </c>
      <c r="G93" s="743">
        <v>0</v>
      </c>
      <c r="H93" s="743">
        <f t="shared" si="24"/>
        <v>0</v>
      </c>
      <c r="I93" s="45">
        <f t="shared" si="1"/>
        <v>0</v>
      </c>
      <c r="J93" s="125" t="str">
        <f t="shared" si="2"/>
        <v/>
      </c>
      <c r="K93" s="745">
        <f t="shared" si="25"/>
        <v>0</v>
      </c>
    </row>
    <row r="94" spans="1:11" ht="12.75" customHeight="1" x14ac:dyDescent="0.2">
      <c r="A94" s="583" t="s">
        <v>1319</v>
      </c>
      <c r="B94" s="170"/>
      <c r="C94" s="758">
        <v>0</v>
      </c>
      <c r="D94" s="763">
        <v>0</v>
      </c>
      <c r="E94" s="743">
        <v>0</v>
      </c>
      <c r="F94" s="743">
        <v>0</v>
      </c>
      <c r="G94" s="743">
        <v>0</v>
      </c>
      <c r="H94" s="743">
        <f t="shared" si="24"/>
        <v>0</v>
      </c>
      <c r="I94" s="45">
        <f t="shared" si="1"/>
        <v>0</v>
      </c>
      <c r="J94" s="125" t="str">
        <f t="shared" si="2"/>
        <v/>
      </c>
      <c r="K94" s="745">
        <f t="shared" si="25"/>
        <v>0</v>
      </c>
    </row>
    <row r="95" spans="1:11" ht="12.75" customHeight="1" x14ac:dyDescent="0.2">
      <c r="A95" s="583" t="s">
        <v>450</v>
      </c>
      <c r="B95" s="170"/>
      <c r="C95" s="758">
        <v>0</v>
      </c>
      <c r="D95" s="763">
        <v>0</v>
      </c>
      <c r="E95" s="743">
        <v>0</v>
      </c>
      <c r="F95" s="743">
        <v>0</v>
      </c>
      <c r="G95" s="743">
        <v>0</v>
      </c>
      <c r="H95" s="743">
        <f t="shared" si="24"/>
        <v>0</v>
      </c>
      <c r="I95" s="45">
        <f t="shared" si="1"/>
        <v>0</v>
      </c>
      <c r="J95" s="125" t="str">
        <f t="shared" si="2"/>
        <v/>
      </c>
      <c r="K95" s="745">
        <f t="shared" si="25"/>
        <v>0</v>
      </c>
    </row>
    <row r="96" spans="1:11" ht="12.75" customHeight="1" x14ac:dyDescent="0.2">
      <c r="A96" s="583" t="s">
        <v>1320</v>
      </c>
      <c r="B96" s="170"/>
      <c r="C96" s="758">
        <v>0</v>
      </c>
      <c r="D96" s="763">
        <v>6272</v>
      </c>
      <c r="E96" s="743">
        <v>6272</v>
      </c>
      <c r="F96" s="743">
        <v>0</v>
      </c>
      <c r="G96" s="743">
        <v>0</v>
      </c>
      <c r="H96" s="743">
        <f t="shared" si="24"/>
        <v>6272</v>
      </c>
      <c r="I96" s="45">
        <f t="shared" si="1"/>
        <v>6272</v>
      </c>
      <c r="J96" s="125">
        <f t="shared" si="2"/>
        <v>1</v>
      </c>
      <c r="K96" s="745">
        <f t="shared" si="25"/>
        <v>6272</v>
      </c>
    </row>
    <row r="97" spans="1:11" ht="12.75" customHeight="1" x14ac:dyDescent="0.2">
      <c r="A97" s="583" t="s">
        <v>1321</v>
      </c>
      <c r="B97" s="170"/>
      <c r="C97" s="758">
        <v>0</v>
      </c>
      <c r="D97" s="763">
        <v>0</v>
      </c>
      <c r="E97" s="743">
        <v>0</v>
      </c>
      <c r="F97" s="743">
        <v>0</v>
      </c>
      <c r="G97" s="743">
        <v>0</v>
      </c>
      <c r="H97" s="743">
        <f t="shared" si="24"/>
        <v>0</v>
      </c>
      <c r="I97" s="45">
        <f t="shared" si="1"/>
        <v>0</v>
      </c>
      <c r="J97" s="125" t="str">
        <f t="shared" si="2"/>
        <v/>
      </c>
      <c r="K97" s="745">
        <f t="shared" si="25"/>
        <v>0</v>
      </c>
    </row>
    <row r="98" spans="1:11" ht="12.75" customHeight="1" x14ac:dyDescent="0.2">
      <c r="A98" s="583" t="s">
        <v>1256</v>
      </c>
      <c r="B98" s="170"/>
      <c r="C98" s="758">
        <v>0</v>
      </c>
      <c r="D98" s="763">
        <v>5085861</v>
      </c>
      <c r="E98" s="743">
        <v>5085861</v>
      </c>
      <c r="F98" s="743">
        <v>0</v>
      </c>
      <c r="G98" s="743">
        <v>17137333.699999999</v>
      </c>
      <c r="H98" s="743">
        <f t="shared" si="24"/>
        <v>5085861</v>
      </c>
      <c r="I98" s="45">
        <f t="shared" si="1"/>
        <v>-12051472.699999999</v>
      </c>
      <c r="J98" s="125">
        <f t="shared" si="2"/>
        <v>-2.3696032392548676</v>
      </c>
      <c r="K98" s="745">
        <f t="shared" si="25"/>
        <v>5085861</v>
      </c>
    </row>
    <row r="99" spans="1:11" ht="12.75" customHeight="1" x14ac:dyDescent="0.2">
      <c r="A99" s="521" t="s">
        <v>1322</v>
      </c>
      <c r="B99" s="170"/>
      <c r="C99" s="657">
        <f t="shared" ref="C99:H99" si="26">SUM(C100:C102)</f>
        <v>850000</v>
      </c>
      <c r="D99" s="658">
        <f t="shared" si="26"/>
        <v>4485416</v>
      </c>
      <c r="E99" s="411">
        <f t="shared" si="26"/>
        <v>3735416</v>
      </c>
      <c r="F99" s="411">
        <f t="shared" si="26"/>
        <v>0</v>
      </c>
      <c r="G99" s="411">
        <f t="shared" si="26"/>
        <v>1761990.47</v>
      </c>
      <c r="H99" s="411">
        <f t="shared" si="26"/>
        <v>3735416</v>
      </c>
      <c r="I99" s="259">
        <f t="shared" si="1"/>
        <v>1973425.53</v>
      </c>
      <c r="J99" s="584">
        <f t="shared" si="2"/>
        <v>0.528301407393447</v>
      </c>
      <c r="K99" s="651">
        <f>SUM(K100:K102)</f>
        <v>3735416</v>
      </c>
    </row>
    <row r="100" spans="1:11" ht="12.75" customHeight="1" x14ac:dyDescent="0.2">
      <c r="A100" s="583" t="s">
        <v>1323</v>
      </c>
      <c r="B100" s="170"/>
      <c r="C100" s="758">
        <v>850000</v>
      </c>
      <c r="D100" s="763">
        <v>4485416</v>
      </c>
      <c r="E100" s="743">
        <v>3735416</v>
      </c>
      <c r="F100" s="743">
        <v>0</v>
      </c>
      <c r="G100" s="743">
        <v>1761990.47</v>
      </c>
      <c r="H100" s="743">
        <f>E100</f>
        <v>3735416</v>
      </c>
      <c r="I100" s="45">
        <f t="shared" si="1"/>
        <v>1973425.53</v>
      </c>
      <c r="J100" s="125">
        <f t="shared" si="2"/>
        <v>0.528301407393447</v>
      </c>
      <c r="K100" s="745">
        <f>E100</f>
        <v>3735416</v>
      </c>
    </row>
    <row r="101" spans="1:11" ht="12.75" customHeight="1" x14ac:dyDescent="0.2">
      <c r="A101" s="583" t="s">
        <v>1324</v>
      </c>
      <c r="B101" s="170"/>
      <c r="C101" s="758"/>
      <c r="D101" s="763">
        <v>0</v>
      </c>
      <c r="E101" s="743">
        <v>0</v>
      </c>
      <c r="F101" s="743">
        <v>0</v>
      </c>
      <c r="G101" s="743">
        <v>0</v>
      </c>
      <c r="H101" s="743">
        <f>D101/12*7</f>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7">SUM(C104:C108)</f>
        <v>0</v>
      </c>
      <c r="D103" s="265">
        <f t="shared" si="27"/>
        <v>1853440</v>
      </c>
      <c r="E103" s="100">
        <f t="shared" si="27"/>
        <v>1853440</v>
      </c>
      <c r="F103" s="100">
        <f t="shared" si="27"/>
        <v>0</v>
      </c>
      <c r="G103" s="100">
        <f>SUM(G104:G108)</f>
        <v>408658.96</v>
      </c>
      <c r="H103" s="100">
        <f t="shared" si="27"/>
        <v>1853440</v>
      </c>
      <c r="I103" s="100">
        <f t="shared" si="1"/>
        <v>1444781.04</v>
      </c>
      <c r="J103" s="327">
        <f t="shared" si="2"/>
        <v>0.77951325103591163</v>
      </c>
      <c r="K103" s="196">
        <f>SUM(K104:K108)</f>
        <v>1853440</v>
      </c>
    </row>
    <row r="104" spans="1:11" ht="12.75" customHeight="1" x14ac:dyDescent="0.2">
      <c r="A104" s="521" t="s">
        <v>1326</v>
      </c>
      <c r="B104" s="170"/>
      <c r="C104" s="796">
        <v>0</v>
      </c>
      <c r="D104" s="763">
        <v>1853440</v>
      </c>
      <c r="E104" s="743">
        <v>1853440</v>
      </c>
      <c r="F104" s="743">
        <v>0</v>
      </c>
      <c r="G104" s="743">
        <v>408658.96</v>
      </c>
      <c r="H104" s="743">
        <f>E104</f>
        <v>1853440</v>
      </c>
      <c r="I104" s="45">
        <f t="shared" si="1"/>
        <v>1444781.04</v>
      </c>
      <c r="J104" s="125">
        <f t="shared" si="2"/>
        <v>0.77951325103591163</v>
      </c>
      <c r="K104" s="745">
        <f>E104</f>
        <v>1853440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6">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H108-G108</f>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8">+C111+C114</f>
        <v>0</v>
      </c>
      <c r="D110" s="586">
        <f t="shared" si="28"/>
        <v>0</v>
      </c>
      <c r="E110" s="587">
        <f t="shared" si="28"/>
        <v>0</v>
      </c>
      <c r="F110" s="587">
        <f t="shared" si="28"/>
        <v>0</v>
      </c>
      <c r="G110" s="587">
        <f t="shared" si="28"/>
        <v>0</v>
      </c>
      <c r="H110" s="587">
        <f t="shared" si="28"/>
        <v>0</v>
      </c>
      <c r="I110" s="100">
        <f t="shared" si="1"/>
        <v>0</v>
      </c>
      <c r="J110" s="327" t="str">
        <f t="shared" si="2"/>
        <v/>
      </c>
      <c r="K110" s="589">
        <f>+K111+K114</f>
        <v>0</v>
      </c>
    </row>
    <row r="111" spans="1:11" ht="12.75" customHeight="1" x14ac:dyDescent="0.2">
      <c r="A111" s="521" t="s">
        <v>1331</v>
      </c>
      <c r="B111" s="170"/>
      <c r="C111" s="657">
        <f t="shared" ref="C111:H111" si="29">SUM(C112:C113)</f>
        <v>0</v>
      </c>
      <c r="D111" s="658">
        <f t="shared" si="29"/>
        <v>0</v>
      </c>
      <c r="E111" s="411">
        <f t="shared" si="29"/>
        <v>0</v>
      </c>
      <c r="F111" s="411">
        <f t="shared" si="29"/>
        <v>0</v>
      </c>
      <c r="G111" s="411">
        <f t="shared" si="29"/>
        <v>0</v>
      </c>
      <c r="H111" s="411">
        <f t="shared" si="29"/>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30">SUM(C115:C116)</f>
        <v>0</v>
      </c>
      <c r="D114" s="658">
        <f t="shared" si="30"/>
        <v>0</v>
      </c>
      <c r="E114" s="411">
        <f t="shared" si="30"/>
        <v>0</v>
      </c>
      <c r="F114" s="411">
        <f t="shared" si="30"/>
        <v>0</v>
      </c>
      <c r="G114" s="411">
        <f t="shared" si="30"/>
        <v>0</v>
      </c>
      <c r="H114" s="411">
        <f t="shared" si="30"/>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31">+C118+C130</f>
        <v>162537139</v>
      </c>
      <c r="D117" s="586">
        <f t="shared" si="31"/>
        <v>280024812.82290858</v>
      </c>
      <c r="E117" s="587">
        <f t="shared" si="31"/>
        <v>306663049</v>
      </c>
      <c r="F117" s="587">
        <f t="shared" si="31"/>
        <v>0</v>
      </c>
      <c r="G117" s="587">
        <f t="shared" si="31"/>
        <v>42976358.629999995</v>
      </c>
      <c r="H117" s="587">
        <f t="shared" si="31"/>
        <v>306663049</v>
      </c>
      <c r="I117" s="587">
        <f t="shared" si="1"/>
        <v>263686690.37</v>
      </c>
      <c r="J117" s="588">
        <f t="shared" si="2"/>
        <v>0.85985804690150325</v>
      </c>
      <c r="K117" s="589">
        <f>+K118+K130</f>
        <v>306663049</v>
      </c>
    </row>
    <row r="118" spans="1:11" ht="12.75" customHeight="1" x14ac:dyDescent="0.2">
      <c r="A118" s="521" t="s">
        <v>1335</v>
      </c>
      <c r="B118" s="170"/>
      <c r="C118" s="657">
        <f t="shared" ref="C118:H118" si="32">SUM(C119:C129)</f>
        <v>162537139</v>
      </c>
      <c r="D118" s="658">
        <f t="shared" si="32"/>
        <v>280024812.82290858</v>
      </c>
      <c r="E118" s="411">
        <f t="shared" si="32"/>
        <v>306663049</v>
      </c>
      <c r="F118" s="411">
        <f t="shared" si="32"/>
        <v>0</v>
      </c>
      <c r="G118" s="411">
        <f t="shared" si="32"/>
        <v>42976358.629999995</v>
      </c>
      <c r="H118" s="411">
        <f t="shared" si="32"/>
        <v>306663049</v>
      </c>
      <c r="I118" s="259">
        <f t="shared" si="1"/>
        <v>263686690.37</v>
      </c>
      <c r="J118" s="584">
        <f t="shared" si="2"/>
        <v>0.85985804690150325</v>
      </c>
      <c r="K118" s="651">
        <f>SUM(K119:K129)</f>
        <v>306663049</v>
      </c>
    </row>
    <row r="119" spans="1:11" ht="12.75" customHeight="1" x14ac:dyDescent="0.2">
      <c r="A119" s="583" t="s">
        <v>1336</v>
      </c>
      <c r="B119" s="170"/>
      <c r="C119" s="758">
        <v>33865757</v>
      </c>
      <c r="D119" s="763">
        <v>202199400</v>
      </c>
      <c r="E119" s="743">
        <v>225660957</v>
      </c>
      <c r="F119" s="743">
        <v>0</v>
      </c>
      <c r="G119" s="743">
        <v>19472805.199999996</v>
      </c>
      <c r="H119" s="743">
        <f>E119</f>
        <v>225660957</v>
      </c>
      <c r="I119" s="45">
        <f t="shared" si="1"/>
        <v>206188151.80000001</v>
      </c>
      <c r="J119" s="125">
        <f t="shared" si="2"/>
        <v>0.91370769024966958</v>
      </c>
      <c r="K119" s="745">
        <f>E119</f>
        <v>225660957</v>
      </c>
    </row>
    <row r="120" spans="1:11" ht="12.75" customHeight="1" x14ac:dyDescent="0.2">
      <c r="A120" s="583" t="s">
        <v>1337</v>
      </c>
      <c r="B120" s="170"/>
      <c r="C120" s="758">
        <v>0</v>
      </c>
      <c r="D120" s="763">
        <v>0</v>
      </c>
      <c r="E120" s="743"/>
      <c r="F120" s="743">
        <v>0</v>
      </c>
      <c r="G120" s="743">
        <v>0</v>
      </c>
      <c r="H120" s="743">
        <f t="shared" ref="H120:H128" si="33">E120/12*10</f>
        <v>0</v>
      </c>
      <c r="I120" s="45">
        <f t="shared" si="1"/>
        <v>0</v>
      </c>
      <c r="J120" s="125" t="str">
        <f t="shared" si="2"/>
        <v/>
      </c>
      <c r="K120" s="745">
        <f t="shared" ref="K120:K128" si="34">D120</f>
        <v>0</v>
      </c>
    </row>
    <row r="121" spans="1:11" ht="12.75" customHeight="1" x14ac:dyDescent="0.2">
      <c r="A121" s="583" t="s">
        <v>1338</v>
      </c>
      <c r="B121" s="170"/>
      <c r="C121" s="758">
        <v>0</v>
      </c>
      <c r="D121" s="763">
        <v>0</v>
      </c>
      <c r="E121" s="743"/>
      <c r="F121" s="743">
        <v>0</v>
      </c>
      <c r="G121" s="743">
        <v>0</v>
      </c>
      <c r="H121" s="743">
        <f t="shared" si="33"/>
        <v>0</v>
      </c>
      <c r="I121" s="45">
        <f t="shared" si="1"/>
        <v>0</v>
      </c>
      <c r="J121" s="125" t="str">
        <f t="shared" si="2"/>
        <v/>
      </c>
      <c r="K121" s="745">
        <f t="shared" si="34"/>
        <v>0</v>
      </c>
    </row>
    <row r="122" spans="1:11" ht="12.75" customHeight="1" x14ac:dyDescent="0.2">
      <c r="A122" s="583" t="s">
        <v>1339</v>
      </c>
      <c r="B122" s="170"/>
      <c r="C122" s="758">
        <v>0</v>
      </c>
      <c r="D122" s="763">
        <v>0</v>
      </c>
      <c r="E122" s="743"/>
      <c r="F122" s="743">
        <v>0</v>
      </c>
      <c r="G122" s="743">
        <v>0</v>
      </c>
      <c r="H122" s="743">
        <f t="shared" si="33"/>
        <v>0</v>
      </c>
      <c r="I122" s="45">
        <f t="shared" si="1"/>
        <v>0</v>
      </c>
      <c r="J122" s="125" t="str">
        <f t="shared" si="2"/>
        <v/>
      </c>
      <c r="K122" s="745">
        <f t="shared" si="34"/>
        <v>0</v>
      </c>
    </row>
    <row r="123" spans="1:11" ht="12.75" customHeight="1" x14ac:dyDescent="0.2">
      <c r="A123" s="583" t="s">
        <v>1340</v>
      </c>
      <c r="B123" s="170"/>
      <c r="C123" s="758">
        <v>0</v>
      </c>
      <c r="D123" s="763">
        <v>0</v>
      </c>
      <c r="E123" s="743"/>
      <c r="F123" s="743">
        <v>0</v>
      </c>
      <c r="G123" s="743">
        <v>0</v>
      </c>
      <c r="H123" s="743">
        <f t="shared" si="33"/>
        <v>0</v>
      </c>
      <c r="I123" s="45">
        <f t="shared" si="1"/>
        <v>0</v>
      </c>
      <c r="J123" s="125" t="str">
        <f t="shared" si="2"/>
        <v/>
      </c>
      <c r="K123" s="745">
        <f t="shared" si="34"/>
        <v>0</v>
      </c>
    </row>
    <row r="124" spans="1:11" ht="12.75" customHeight="1" x14ac:dyDescent="0.2">
      <c r="A124" s="583" t="s">
        <v>1341</v>
      </c>
      <c r="B124" s="170"/>
      <c r="C124" s="758">
        <v>0</v>
      </c>
      <c r="D124" s="763">
        <v>0</v>
      </c>
      <c r="E124" s="743"/>
      <c r="F124" s="743">
        <v>0</v>
      </c>
      <c r="G124" s="743">
        <v>0</v>
      </c>
      <c r="H124" s="743">
        <f t="shared" si="33"/>
        <v>0</v>
      </c>
      <c r="I124" s="45">
        <f t="shared" si="1"/>
        <v>0</v>
      </c>
      <c r="J124" s="125" t="str">
        <f t="shared" si="2"/>
        <v/>
      </c>
      <c r="K124" s="745">
        <f t="shared" si="34"/>
        <v>0</v>
      </c>
    </row>
    <row r="125" spans="1:11" ht="12.75" customHeight="1" x14ac:dyDescent="0.2">
      <c r="A125" s="583" t="s">
        <v>1342</v>
      </c>
      <c r="B125" s="170"/>
      <c r="C125" s="758">
        <v>0</v>
      </c>
      <c r="D125" s="763">
        <v>0</v>
      </c>
      <c r="E125" s="743"/>
      <c r="F125" s="743">
        <v>0</v>
      </c>
      <c r="G125" s="743">
        <v>0</v>
      </c>
      <c r="H125" s="743">
        <f t="shared" si="33"/>
        <v>0</v>
      </c>
      <c r="I125" s="45">
        <f t="shared" si="1"/>
        <v>0</v>
      </c>
      <c r="J125" s="125" t="str">
        <f t="shared" si="2"/>
        <v/>
      </c>
      <c r="K125" s="745">
        <f t="shared" si="34"/>
        <v>0</v>
      </c>
    </row>
    <row r="126" spans="1:11" ht="12.75" customHeight="1" x14ac:dyDescent="0.2">
      <c r="A126" s="583" t="s">
        <v>1343</v>
      </c>
      <c r="B126" s="170"/>
      <c r="C126" s="758">
        <v>0</v>
      </c>
      <c r="D126" s="763">
        <v>0</v>
      </c>
      <c r="E126" s="743"/>
      <c r="F126" s="743">
        <v>0</v>
      </c>
      <c r="G126" s="743">
        <v>0</v>
      </c>
      <c r="H126" s="743">
        <f t="shared" si="33"/>
        <v>0</v>
      </c>
      <c r="I126" s="45">
        <f t="shared" si="1"/>
        <v>0</v>
      </c>
      <c r="J126" s="125" t="str">
        <f t="shared" si="2"/>
        <v/>
      </c>
      <c r="K126" s="745">
        <f t="shared" si="34"/>
        <v>0</v>
      </c>
    </row>
    <row r="127" spans="1:11" ht="12.75" customHeight="1" x14ac:dyDescent="0.2">
      <c r="A127" s="583" t="s">
        <v>1344</v>
      </c>
      <c r="B127" s="170"/>
      <c r="C127" s="758">
        <v>0</v>
      </c>
      <c r="D127" s="763">
        <v>0</v>
      </c>
      <c r="E127" s="743"/>
      <c r="F127" s="743">
        <v>0</v>
      </c>
      <c r="G127" s="743">
        <v>0</v>
      </c>
      <c r="H127" s="743">
        <f t="shared" si="33"/>
        <v>0</v>
      </c>
      <c r="I127" s="45">
        <f t="shared" si="1"/>
        <v>0</v>
      </c>
      <c r="J127" s="125" t="str">
        <f t="shared" si="2"/>
        <v/>
      </c>
      <c r="K127" s="745">
        <f t="shared" si="34"/>
        <v>0</v>
      </c>
    </row>
    <row r="128" spans="1:11" ht="12.75" customHeight="1" x14ac:dyDescent="0.2">
      <c r="A128" s="583" t="s">
        <v>1345</v>
      </c>
      <c r="B128" s="170"/>
      <c r="C128" s="758">
        <v>0</v>
      </c>
      <c r="D128" s="763">
        <v>0</v>
      </c>
      <c r="E128" s="743"/>
      <c r="F128" s="743">
        <v>0</v>
      </c>
      <c r="G128" s="743">
        <v>0</v>
      </c>
      <c r="H128" s="743">
        <f t="shared" si="33"/>
        <v>0</v>
      </c>
      <c r="I128" s="45">
        <f t="shared" si="1"/>
        <v>0</v>
      </c>
      <c r="J128" s="125" t="str">
        <f t="shared" si="2"/>
        <v/>
      </c>
      <c r="K128" s="745">
        <f t="shared" si="34"/>
        <v>0</v>
      </c>
    </row>
    <row r="129" spans="1:11" ht="12.75" customHeight="1" x14ac:dyDescent="0.2">
      <c r="A129" s="583" t="s">
        <v>1256</v>
      </c>
      <c r="B129" s="170"/>
      <c r="C129" s="758">
        <v>128671382</v>
      </c>
      <c r="D129" s="763">
        <v>77825412.822908595</v>
      </c>
      <c r="E129" s="743">
        <v>81002092</v>
      </c>
      <c r="F129" s="743">
        <v>0</v>
      </c>
      <c r="G129" s="743">
        <v>23503553.429999996</v>
      </c>
      <c r="H129" s="743">
        <f>E129</f>
        <v>81002092</v>
      </c>
      <c r="I129" s="45">
        <f t="shared" si="1"/>
        <v>57498538.570000008</v>
      </c>
      <c r="J129" s="125">
        <f t="shared" si="2"/>
        <v>0.7098401677082613</v>
      </c>
      <c r="K129" s="745">
        <f>E129</f>
        <v>81002092</v>
      </c>
    </row>
    <row r="130" spans="1:11" ht="12.75" customHeight="1" x14ac:dyDescent="0.2">
      <c r="A130" s="521" t="s">
        <v>733</v>
      </c>
      <c r="B130" s="170"/>
      <c r="C130" s="657">
        <f t="shared" ref="C130:H130" si="35">SUM(C131:C133)</f>
        <v>0</v>
      </c>
      <c r="D130" s="658">
        <f t="shared" si="35"/>
        <v>0</v>
      </c>
      <c r="E130" s="411">
        <f t="shared" si="35"/>
        <v>0</v>
      </c>
      <c r="F130" s="411">
        <f t="shared" si="35"/>
        <v>0</v>
      </c>
      <c r="G130" s="411">
        <f t="shared" si="35"/>
        <v>0</v>
      </c>
      <c r="H130" s="411">
        <f t="shared" si="35"/>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6">SUM(C136:C136)</f>
        <v>0</v>
      </c>
      <c r="D135" s="586">
        <f t="shared" si="36"/>
        <v>0</v>
      </c>
      <c r="E135" s="587">
        <f t="shared" si="36"/>
        <v>0</v>
      </c>
      <c r="F135" s="587">
        <f t="shared" si="36"/>
        <v>0</v>
      </c>
      <c r="G135" s="587">
        <f t="shared" si="36"/>
        <v>0</v>
      </c>
      <c r="H135" s="587">
        <f t="shared" si="36"/>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7">IF(I137=0,"",I137/H137)</f>
        <v/>
      </c>
      <c r="K137" s="145"/>
    </row>
    <row r="138" spans="1:11" s="101" customFormat="1" ht="12.75" customHeight="1" x14ac:dyDescent="0.2">
      <c r="A138" s="553" t="s">
        <v>1349</v>
      </c>
      <c r="B138" s="172"/>
      <c r="C138" s="952">
        <f t="shared" ref="C138:H138" si="38">SUM(C139:C140)</f>
        <v>0</v>
      </c>
      <c r="D138" s="953">
        <f t="shared" si="38"/>
        <v>13335272</v>
      </c>
      <c r="E138" s="954">
        <f t="shared" si="38"/>
        <v>13335272</v>
      </c>
      <c r="F138" s="954">
        <f t="shared" si="38"/>
        <v>0</v>
      </c>
      <c r="G138" s="954">
        <f t="shared" si="38"/>
        <v>0</v>
      </c>
      <c r="H138" s="954">
        <f t="shared" si="38"/>
        <v>13335272</v>
      </c>
      <c r="I138" s="954">
        <f t="shared" ref="I138:I146" si="39">H138-G138</f>
        <v>13335272</v>
      </c>
      <c r="J138" s="327">
        <f t="shared" si="37"/>
        <v>1</v>
      </c>
      <c r="K138" s="955">
        <f>SUM(K139:K140)</f>
        <v>13335272</v>
      </c>
    </row>
    <row r="139" spans="1:11" ht="12.75" customHeight="1" x14ac:dyDescent="0.2">
      <c r="A139" s="520" t="s">
        <v>1350</v>
      </c>
      <c r="B139" s="170"/>
      <c r="C139" s="758"/>
      <c r="D139" s="763"/>
      <c r="E139" s="743"/>
      <c r="F139" s="743"/>
      <c r="G139" s="743"/>
      <c r="H139" s="743"/>
      <c r="I139" s="45">
        <f t="shared" si="39"/>
        <v>0</v>
      </c>
      <c r="J139" s="125" t="str">
        <f t="shared" si="37"/>
        <v/>
      </c>
      <c r="K139" s="745"/>
    </row>
    <row r="140" spans="1:11" ht="12.75" customHeight="1" x14ac:dyDescent="0.2">
      <c r="A140" s="520" t="s">
        <v>1351</v>
      </c>
      <c r="B140" s="170"/>
      <c r="C140" s="657">
        <f t="shared" ref="C140:H140" si="40">SUM(C141:C146)</f>
        <v>0</v>
      </c>
      <c r="D140" s="658">
        <f t="shared" si="40"/>
        <v>13335272</v>
      </c>
      <c r="E140" s="411">
        <f t="shared" si="40"/>
        <v>13335272</v>
      </c>
      <c r="F140" s="411">
        <f t="shared" si="40"/>
        <v>0</v>
      </c>
      <c r="G140" s="411">
        <f t="shared" si="40"/>
        <v>0</v>
      </c>
      <c r="H140" s="411">
        <f t="shared" si="40"/>
        <v>13335272</v>
      </c>
      <c r="I140" s="259">
        <f t="shared" si="39"/>
        <v>13335272</v>
      </c>
      <c r="J140" s="584">
        <f t="shared" si="37"/>
        <v>1</v>
      </c>
      <c r="K140" s="651">
        <f>SUM(K141:K146)</f>
        <v>13335272</v>
      </c>
    </row>
    <row r="141" spans="1:11" ht="12.75" customHeight="1" x14ac:dyDescent="0.2">
      <c r="A141" s="583" t="s">
        <v>1352</v>
      </c>
      <c r="B141" s="170"/>
      <c r="C141" s="758">
        <v>0</v>
      </c>
      <c r="D141" s="763">
        <v>0</v>
      </c>
      <c r="E141" s="743">
        <v>0</v>
      </c>
      <c r="F141" s="743">
        <v>0</v>
      </c>
      <c r="G141" s="743">
        <v>0</v>
      </c>
      <c r="H141" s="743">
        <f t="shared" ref="H141:H146" si="41">D141/12*7</f>
        <v>0</v>
      </c>
      <c r="I141" s="45">
        <f t="shared" si="39"/>
        <v>0</v>
      </c>
      <c r="J141" s="125" t="str">
        <f t="shared" si="37"/>
        <v/>
      </c>
      <c r="K141" s="745">
        <f t="shared" ref="K141:K146" si="42">D141</f>
        <v>0</v>
      </c>
    </row>
    <row r="142" spans="1:11" ht="12.75" customHeight="1" x14ac:dyDescent="0.2">
      <c r="A142" s="583" t="s">
        <v>1353</v>
      </c>
      <c r="B142" s="170"/>
      <c r="C142" s="758">
        <v>0</v>
      </c>
      <c r="D142" s="763">
        <v>0</v>
      </c>
      <c r="E142" s="743">
        <v>0</v>
      </c>
      <c r="F142" s="743">
        <v>0</v>
      </c>
      <c r="G142" s="743">
        <v>0</v>
      </c>
      <c r="H142" s="743">
        <f t="shared" si="41"/>
        <v>0</v>
      </c>
      <c r="I142" s="45">
        <f t="shared" si="39"/>
        <v>0</v>
      </c>
      <c r="J142" s="125" t="str">
        <f t="shared" si="37"/>
        <v/>
      </c>
      <c r="K142" s="745">
        <f t="shared" si="42"/>
        <v>0</v>
      </c>
    </row>
    <row r="143" spans="1:11" ht="12.75" customHeight="1" x14ac:dyDescent="0.2">
      <c r="A143" s="583" t="s">
        <v>1354</v>
      </c>
      <c r="B143" s="170"/>
      <c r="C143" s="758">
        <v>0</v>
      </c>
      <c r="D143" s="763">
        <v>0</v>
      </c>
      <c r="E143" s="743">
        <v>0</v>
      </c>
      <c r="F143" s="743">
        <v>0</v>
      </c>
      <c r="G143" s="743">
        <v>0</v>
      </c>
      <c r="H143" s="743">
        <f t="shared" si="41"/>
        <v>0</v>
      </c>
      <c r="I143" s="45">
        <f t="shared" si="39"/>
        <v>0</v>
      </c>
      <c r="J143" s="125" t="str">
        <f t="shared" si="37"/>
        <v/>
      </c>
      <c r="K143" s="745">
        <f t="shared" si="42"/>
        <v>0</v>
      </c>
    </row>
    <row r="144" spans="1:11" ht="12.75" customHeight="1" x14ac:dyDescent="0.2">
      <c r="A144" s="583" t="s">
        <v>1355</v>
      </c>
      <c r="B144" s="170"/>
      <c r="C144" s="758">
        <v>0</v>
      </c>
      <c r="D144" s="763">
        <v>13335272</v>
      </c>
      <c r="E144" s="743">
        <v>13335272</v>
      </c>
      <c r="F144" s="743">
        <v>0</v>
      </c>
      <c r="G144" s="743">
        <v>0</v>
      </c>
      <c r="H144" s="743">
        <f>E144</f>
        <v>13335272</v>
      </c>
      <c r="I144" s="45">
        <f t="shared" si="39"/>
        <v>13335272</v>
      </c>
      <c r="J144" s="125">
        <f t="shared" si="37"/>
        <v>1</v>
      </c>
      <c r="K144" s="745">
        <f>E144</f>
        <v>13335272</v>
      </c>
    </row>
    <row r="145" spans="1:12" ht="12.75" customHeight="1" x14ac:dyDescent="0.2">
      <c r="A145" s="583" t="s">
        <v>1356</v>
      </c>
      <c r="B145" s="170"/>
      <c r="C145" s="758">
        <v>0</v>
      </c>
      <c r="D145" s="763">
        <v>0</v>
      </c>
      <c r="E145" s="743">
        <v>0</v>
      </c>
      <c r="F145" s="743">
        <v>0</v>
      </c>
      <c r="G145" s="743">
        <v>0</v>
      </c>
      <c r="H145" s="743">
        <f t="shared" si="41"/>
        <v>0</v>
      </c>
      <c r="I145" s="45">
        <f t="shared" si="39"/>
        <v>0</v>
      </c>
      <c r="J145" s="125" t="str">
        <f t="shared" si="37"/>
        <v/>
      </c>
      <c r="K145" s="745">
        <f t="shared" si="42"/>
        <v>0</v>
      </c>
    </row>
    <row r="146" spans="1:12" ht="12.75" customHeight="1" x14ac:dyDescent="0.2">
      <c r="A146" s="583" t="s">
        <v>1357</v>
      </c>
      <c r="B146" s="170"/>
      <c r="C146" s="758">
        <v>0</v>
      </c>
      <c r="D146" s="763">
        <v>0</v>
      </c>
      <c r="E146" s="743">
        <v>0</v>
      </c>
      <c r="F146" s="743">
        <v>0</v>
      </c>
      <c r="G146" s="743">
        <v>0</v>
      </c>
      <c r="H146" s="743">
        <f t="shared" si="41"/>
        <v>0</v>
      </c>
      <c r="I146" s="45">
        <f t="shared" si="39"/>
        <v>0</v>
      </c>
      <c r="J146" s="125" t="str">
        <f t="shared" si="37"/>
        <v/>
      </c>
      <c r="K146" s="745">
        <f t="shared" si="42"/>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3">SUM(C149:C149)</f>
        <v>0</v>
      </c>
      <c r="D148" s="586">
        <f t="shared" si="43"/>
        <v>0</v>
      </c>
      <c r="E148" s="587">
        <f t="shared" si="43"/>
        <v>0</v>
      </c>
      <c r="F148" s="587">
        <f t="shared" si="43"/>
        <v>0</v>
      </c>
      <c r="G148" s="587">
        <f t="shared" si="43"/>
        <v>0</v>
      </c>
      <c r="H148" s="587">
        <f t="shared" si="43"/>
        <v>0</v>
      </c>
      <c r="I148" s="587">
        <f>H148-G148</f>
        <v>0</v>
      </c>
      <c r="J148" s="327" t="str">
        <f>IF(I148=0,"",I148/H148)</f>
        <v/>
      </c>
      <c r="K148" s="589">
        <f>SUM(K149)</f>
        <v>0</v>
      </c>
    </row>
    <row r="149" spans="1:12" ht="12.75" customHeight="1" x14ac:dyDescent="0.2">
      <c r="A149" s="521" t="s">
        <v>1358</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4">SUM(C152:C152)</f>
        <v>0</v>
      </c>
      <c r="D151" s="586">
        <f t="shared" si="44"/>
        <v>2147883</v>
      </c>
      <c r="E151" s="587">
        <f t="shared" si="44"/>
        <v>2147883</v>
      </c>
      <c r="F151" s="587">
        <f t="shared" si="44"/>
        <v>0</v>
      </c>
      <c r="G151" s="587">
        <f t="shared" si="44"/>
        <v>0</v>
      </c>
      <c r="H151" s="587">
        <f t="shared" si="44"/>
        <v>2147883</v>
      </c>
      <c r="I151" s="587">
        <f>H151-G151</f>
        <v>2147883</v>
      </c>
      <c r="J151" s="327">
        <f>IF(I151=0,"",I151/H151)</f>
        <v>1</v>
      </c>
      <c r="K151" s="589">
        <f>SUM(K152)</f>
        <v>2147883</v>
      </c>
    </row>
    <row r="152" spans="1:12" ht="12.75" customHeight="1" x14ac:dyDescent="0.2">
      <c r="A152" s="521" t="s">
        <v>1359</v>
      </c>
      <c r="B152" s="170"/>
      <c r="C152" s="758"/>
      <c r="D152" s="763">
        <v>2147883</v>
      </c>
      <c r="E152" s="743">
        <v>2147883</v>
      </c>
      <c r="F152" s="743"/>
      <c r="G152" s="743"/>
      <c r="H152" s="743">
        <f>E152</f>
        <v>2147883</v>
      </c>
      <c r="I152" s="45">
        <f>H152-G152</f>
        <v>2147883</v>
      </c>
      <c r="J152" s="125">
        <f>IF(I152=0,"",I152/H152)</f>
        <v>1</v>
      </c>
      <c r="K152" s="745">
        <f>E152</f>
        <v>2147883</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5">SUM(C155:C155)</f>
        <v>0</v>
      </c>
      <c r="D154" s="586">
        <f t="shared" si="45"/>
        <v>20661571</v>
      </c>
      <c r="E154" s="587">
        <f t="shared" si="45"/>
        <v>33511571</v>
      </c>
      <c r="F154" s="587">
        <f t="shared" si="45"/>
        <v>0</v>
      </c>
      <c r="G154" s="587">
        <f t="shared" si="45"/>
        <v>0</v>
      </c>
      <c r="H154" s="587">
        <f t="shared" si="45"/>
        <v>33511571</v>
      </c>
      <c r="I154" s="587">
        <f>H154-G154</f>
        <v>33511571</v>
      </c>
      <c r="J154" s="327">
        <f>IF(I154=0,"",I154/H154)</f>
        <v>1</v>
      </c>
      <c r="K154" s="589">
        <f>SUM(K155)</f>
        <v>33511571</v>
      </c>
    </row>
    <row r="155" spans="1:12" ht="12.75" customHeight="1" x14ac:dyDescent="0.2">
      <c r="A155" s="521" t="s">
        <v>1360</v>
      </c>
      <c r="B155" s="170"/>
      <c r="C155" s="758"/>
      <c r="D155" s="763">
        <v>20661571</v>
      </c>
      <c r="E155" s="743">
        <v>33511571</v>
      </c>
      <c r="F155" s="743"/>
      <c r="G155" s="743"/>
      <c r="H155" s="743">
        <f>E155</f>
        <v>33511571</v>
      </c>
      <c r="I155" s="45">
        <f>H155-G155</f>
        <v>33511571</v>
      </c>
      <c r="J155" s="125">
        <f>IF(I155=0,"",I155/H155)</f>
        <v>1</v>
      </c>
      <c r="K155" s="745">
        <f>E155</f>
        <v>33511571</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6">SUM(C158:C158)</f>
        <v>0</v>
      </c>
      <c r="D157" s="586">
        <f t="shared" si="46"/>
        <v>6208258.1770914197</v>
      </c>
      <c r="E157" s="587">
        <f t="shared" si="46"/>
        <v>5057500</v>
      </c>
      <c r="F157" s="587">
        <f t="shared" si="46"/>
        <v>0</v>
      </c>
      <c r="G157" s="587">
        <f t="shared" si="46"/>
        <v>0</v>
      </c>
      <c r="H157" s="587">
        <f t="shared" si="46"/>
        <v>5057500</v>
      </c>
      <c r="I157" s="587">
        <f>H157-G157</f>
        <v>5057500</v>
      </c>
      <c r="J157" s="327">
        <f>IF(I157=0,"",I157/H157)</f>
        <v>1</v>
      </c>
      <c r="K157" s="589">
        <f>SUM(K158)</f>
        <v>5057500</v>
      </c>
    </row>
    <row r="158" spans="1:12" ht="12.75" customHeight="1" x14ac:dyDescent="0.2">
      <c r="A158" s="521" t="s">
        <v>1361</v>
      </c>
      <c r="B158" s="170"/>
      <c r="C158" s="758"/>
      <c r="D158" s="763">
        <v>6208258.1770914197</v>
      </c>
      <c r="E158" s="743">
        <v>5057500</v>
      </c>
      <c r="F158" s="743"/>
      <c r="G158" s="743"/>
      <c r="H158" s="743">
        <f>E158</f>
        <v>5057500</v>
      </c>
      <c r="I158" s="45">
        <f>H158-G158</f>
        <v>5057500</v>
      </c>
      <c r="J158" s="125">
        <f>IF(I158=0,"",I158/H158)</f>
        <v>1</v>
      </c>
      <c r="K158" s="745">
        <f>E158</f>
        <v>5057500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7">SUM(C161:C161)</f>
        <v>0</v>
      </c>
      <c r="D160" s="586">
        <f t="shared" si="47"/>
        <v>0</v>
      </c>
      <c r="E160" s="587">
        <f t="shared" si="47"/>
        <v>0</v>
      </c>
      <c r="F160" s="587">
        <f t="shared" si="47"/>
        <v>0</v>
      </c>
      <c r="G160" s="587">
        <f t="shared" si="47"/>
        <v>0</v>
      </c>
      <c r="H160" s="587">
        <f t="shared" si="4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48">SUM(C164:C164)</f>
        <v>0</v>
      </c>
      <c r="D163" s="586">
        <f t="shared" si="48"/>
        <v>0</v>
      </c>
      <c r="E163" s="587">
        <f t="shared" si="48"/>
        <v>0</v>
      </c>
      <c r="F163" s="587">
        <f t="shared" si="48"/>
        <v>0</v>
      </c>
      <c r="G163" s="587">
        <f t="shared" si="48"/>
        <v>0</v>
      </c>
      <c r="H163" s="587">
        <f t="shared" si="4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49">C7+C75+C103+C110+C117+C135+C138+C148+C151+C154+C157+C160+C163</f>
        <v>289039668</v>
      </c>
      <c r="D166" s="272">
        <f t="shared" si="49"/>
        <v>492286400</v>
      </c>
      <c r="E166" s="56">
        <f t="shared" si="49"/>
        <v>532797957</v>
      </c>
      <c r="F166" s="56">
        <f t="shared" si="49"/>
        <v>0</v>
      </c>
      <c r="G166" s="56">
        <f t="shared" si="49"/>
        <v>183989191.87000003</v>
      </c>
      <c r="H166" s="56">
        <f t="shared" si="49"/>
        <v>532797957</v>
      </c>
      <c r="I166" s="56">
        <f t="shared" si="1"/>
        <v>348808765.13</v>
      </c>
      <c r="J166" s="293">
        <f t="shared" si="2"/>
        <v>0.65467361604391439</v>
      </c>
      <c r="K166" s="236">
        <f>K7+K75+K103+K110+K117+K135+K138+K148+K151+K154+K157+K160+K163</f>
        <v>532797957</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8"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20"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5" t="str">
        <f>muni&amp; " - "&amp;S71Sd&amp; " - "&amp;Head57</f>
        <v>LIM354 Polokwane - Supporting Table SC13d Monthly Budget Statement - depreciation by asset class - M01 July</v>
      </c>
      <c r="B1" s="1035"/>
      <c r="C1" s="1035"/>
      <c r="D1" s="1035"/>
      <c r="E1" s="1035"/>
      <c r="F1" s="1035"/>
      <c r="G1" s="1035"/>
      <c r="H1" s="1035"/>
      <c r="I1" s="1035"/>
      <c r="J1" s="1035"/>
      <c r="K1" s="1035"/>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101617000</v>
      </c>
      <c r="E7" s="103">
        <f t="shared" si="0"/>
        <v>101042000</v>
      </c>
      <c r="F7" s="103">
        <f t="shared" si="0"/>
        <v>8468083.3333333321</v>
      </c>
      <c r="G7" s="103">
        <f t="shared" si="0"/>
        <v>101042000</v>
      </c>
      <c r="H7" s="103">
        <f t="shared" si="0"/>
        <v>101042000</v>
      </c>
      <c r="I7" s="102">
        <f t="shared" ref="I7:I166" si="1">H7-G7</f>
        <v>0</v>
      </c>
      <c r="J7" s="588" t="str">
        <f t="shared" ref="J7:J166" si="2">IF(I7=0,"",I7/H7)</f>
        <v/>
      </c>
      <c r="K7" s="612">
        <f>K8+K13+K17+K27+K38+K45+K53+K63+K69</f>
        <v>101617000</v>
      </c>
    </row>
    <row r="8" spans="1:11" ht="12.75" customHeight="1" x14ac:dyDescent="0.2">
      <c r="A8" s="521" t="s">
        <v>1253</v>
      </c>
      <c r="B8" s="170"/>
      <c r="C8" s="686">
        <f t="shared" ref="C8:H8" si="3">SUM(C9:C12)</f>
        <v>53578947.875910059</v>
      </c>
      <c r="D8" s="618">
        <f t="shared" si="3"/>
        <v>38579000</v>
      </c>
      <c r="E8" s="617">
        <f t="shared" si="3"/>
        <v>32909000</v>
      </c>
      <c r="F8" s="617">
        <f t="shared" si="3"/>
        <v>3214916.6666666665</v>
      </c>
      <c r="G8" s="617">
        <f t="shared" si="3"/>
        <v>32909000</v>
      </c>
      <c r="H8" s="617">
        <f t="shared" si="3"/>
        <v>32909000</v>
      </c>
      <c r="I8" s="259">
        <f t="shared" si="1"/>
        <v>0</v>
      </c>
      <c r="J8" s="584" t="str">
        <f t="shared" si="2"/>
        <v/>
      </c>
      <c r="K8" s="619">
        <f>SUM(K9:K12)</f>
        <v>38579000</v>
      </c>
    </row>
    <row r="9" spans="1:11" ht="12.75" customHeight="1" x14ac:dyDescent="0.2">
      <c r="A9" s="583" t="s">
        <v>175</v>
      </c>
      <c r="B9" s="170"/>
      <c r="C9" s="758">
        <v>45516148.736055359</v>
      </c>
      <c r="D9" s="755">
        <v>30516000</v>
      </c>
      <c r="E9" s="743">
        <v>24194000</v>
      </c>
      <c r="F9" s="743">
        <f>D9/12</f>
        <v>2543000</v>
      </c>
      <c r="G9" s="743">
        <f>H9</f>
        <v>24194000</v>
      </c>
      <c r="H9" s="980">
        <f>E9</f>
        <v>24194000</v>
      </c>
      <c r="I9" s="259">
        <f t="shared" si="1"/>
        <v>0</v>
      </c>
      <c r="J9" s="584" t="str">
        <f t="shared" si="2"/>
        <v/>
      </c>
      <c r="K9" s="745">
        <f>D9</f>
        <v>30516000</v>
      </c>
    </row>
    <row r="10" spans="1:11" ht="12.75" customHeight="1" x14ac:dyDescent="0.2">
      <c r="A10" s="583" t="s">
        <v>1254</v>
      </c>
      <c r="B10" s="170"/>
      <c r="C10" s="758">
        <v>7470028.0282234093</v>
      </c>
      <c r="D10" s="755">
        <v>7470000</v>
      </c>
      <c r="E10" s="743">
        <v>8074000</v>
      </c>
      <c r="F10" s="743">
        <f t="shared" ref="F10:F12" si="4">D10/12</f>
        <v>622500</v>
      </c>
      <c r="G10" s="743">
        <f>H10</f>
        <v>8074000</v>
      </c>
      <c r="H10" s="743">
        <f>E10</f>
        <v>8074000</v>
      </c>
      <c r="I10" s="259">
        <f t="shared" si="1"/>
        <v>0</v>
      </c>
      <c r="J10" s="584" t="str">
        <f t="shared" si="2"/>
        <v/>
      </c>
      <c r="K10" s="745">
        <f>D10</f>
        <v>7470000</v>
      </c>
    </row>
    <row r="11" spans="1:11" ht="12.75" customHeight="1" x14ac:dyDescent="0.2">
      <c r="A11" s="583" t="s">
        <v>1255</v>
      </c>
      <c r="B11" s="170"/>
      <c r="C11" s="758">
        <v>592771.11163129122</v>
      </c>
      <c r="D11" s="755">
        <v>593000</v>
      </c>
      <c r="E11" s="743">
        <v>641000</v>
      </c>
      <c r="F11" s="743">
        <f t="shared" si="4"/>
        <v>49416.666666666664</v>
      </c>
      <c r="G11" s="743">
        <f>H11</f>
        <v>641000</v>
      </c>
      <c r="H11" s="743">
        <f>E11</f>
        <v>641000</v>
      </c>
      <c r="I11" s="259">
        <f t="shared" si="1"/>
        <v>0</v>
      </c>
      <c r="J11" s="584" t="str">
        <f t="shared" si="2"/>
        <v/>
      </c>
      <c r="K11" s="745">
        <f>D11</f>
        <v>593000</v>
      </c>
    </row>
    <row r="12" spans="1:11" ht="12.75" customHeight="1" x14ac:dyDescent="0.2">
      <c r="A12" s="583" t="s">
        <v>1256</v>
      </c>
      <c r="B12" s="170"/>
      <c r="C12" s="758">
        <v>0</v>
      </c>
      <c r="D12" s="755"/>
      <c r="E12" s="743">
        <v>0</v>
      </c>
      <c r="F12" s="743">
        <f t="shared" si="4"/>
        <v>0</v>
      </c>
      <c r="G12" s="743">
        <f>H12</f>
        <v>0</v>
      </c>
      <c r="H12" s="743">
        <f>E12</f>
        <v>0</v>
      </c>
      <c r="I12" s="259">
        <f t="shared" si="1"/>
        <v>0</v>
      </c>
      <c r="J12" s="584" t="str">
        <f t="shared" si="2"/>
        <v/>
      </c>
      <c r="K12" s="745">
        <f>D12</f>
        <v>0</v>
      </c>
    </row>
    <row r="13" spans="1:11" ht="12.75" customHeight="1" x14ac:dyDescent="0.2">
      <c r="A13" s="521" t="s">
        <v>1257</v>
      </c>
      <c r="B13" s="170"/>
      <c r="C13" s="657">
        <f t="shared" ref="C13:H13" si="5">SUM(C14:C16)</f>
        <v>7893148.4379749699</v>
      </c>
      <c r="D13" s="658">
        <f t="shared" si="5"/>
        <v>7893000</v>
      </c>
      <c r="E13" s="411">
        <f t="shared" si="5"/>
        <v>8531000</v>
      </c>
      <c r="F13" s="411">
        <f t="shared" si="5"/>
        <v>657750</v>
      </c>
      <c r="G13" s="411">
        <f t="shared" si="5"/>
        <v>8531000</v>
      </c>
      <c r="H13" s="411">
        <f t="shared" si="5"/>
        <v>8531000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E14</f>
        <v>0</v>
      </c>
      <c r="I14" s="259">
        <f t="shared" si="1"/>
        <v>0</v>
      </c>
      <c r="J14" s="584" t="str">
        <f t="shared" si="2"/>
        <v/>
      </c>
      <c r="K14" s="745">
        <f>D14</f>
        <v>0</v>
      </c>
    </row>
    <row r="15" spans="1:11" ht="12.75" customHeight="1" x14ac:dyDescent="0.2">
      <c r="A15" s="583" t="s">
        <v>1259</v>
      </c>
      <c r="B15" s="170"/>
      <c r="C15" s="758">
        <v>7893148.4379749699</v>
      </c>
      <c r="D15" s="755">
        <v>7893000</v>
      </c>
      <c r="E15" s="743">
        <v>8531000</v>
      </c>
      <c r="F15" s="743">
        <f t="shared" ref="F15:F43" si="6">D15/12</f>
        <v>657750</v>
      </c>
      <c r="G15" s="743">
        <f>H15</f>
        <v>8531000</v>
      </c>
      <c r="H15" s="743">
        <f>E15</f>
        <v>8531000</v>
      </c>
      <c r="I15" s="259">
        <f t="shared" si="1"/>
        <v>0</v>
      </c>
      <c r="J15" s="584" t="str">
        <f t="shared" si="2"/>
        <v/>
      </c>
      <c r="K15" s="745">
        <f>D15</f>
        <v>7893000</v>
      </c>
    </row>
    <row r="16" spans="1:11" ht="12.75" customHeight="1" x14ac:dyDescent="0.2">
      <c r="A16" s="583" t="s">
        <v>1260</v>
      </c>
      <c r="B16" s="170"/>
      <c r="C16" s="758"/>
      <c r="D16" s="755"/>
      <c r="E16" s="743">
        <v>0</v>
      </c>
      <c r="F16" s="743">
        <f t="shared" si="6"/>
        <v>0</v>
      </c>
      <c r="G16" s="743">
        <f>F16*3</f>
        <v>0</v>
      </c>
      <c r="H16" s="743">
        <f>E16</f>
        <v>0</v>
      </c>
      <c r="I16" s="259">
        <f t="shared" si="1"/>
        <v>0</v>
      </c>
      <c r="J16" s="584" t="str">
        <f t="shared" si="2"/>
        <v/>
      </c>
      <c r="K16" s="745">
        <f>D16</f>
        <v>0</v>
      </c>
    </row>
    <row r="17" spans="1:11" ht="12.75" customHeight="1" x14ac:dyDescent="0.2">
      <c r="A17" s="521" t="s">
        <v>1261</v>
      </c>
      <c r="B17" s="170"/>
      <c r="C17" s="657">
        <f t="shared" ref="C17:H17" si="7">SUM(C18:C26)</f>
        <v>22479198.11145559</v>
      </c>
      <c r="D17" s="658">
        <f t="shared" si="7"/>
        <v>22479000</v>
      </c>
      <c r="E17" s="411">
        <f t="shared" si="7"/>
        <v>24296000</v>
      </c>
      <c r="F17" s="411">
        <f t="shared" si="7"/>
        <v>1873250.0000000002</v>
      </c>
      <c r="G17" s="411">
        <f t="shared" si="7"/>
        <v>24296000</v>
      </c>
      <c r="H17" s="411">
        <f t="shared" si="7"/>
        <v>24296000</v>
      </c>
      <c r="I17" s="259">
        <f t="shared" si="1"/>
        <v>0</v>
      </c>
      <c r="J17" s="584" t="str">
        <f t="shared" si="2"/>
        <v/>
      </c>
      <c r="K17" s="651">
        <f>SUM(K18:K26)</f>
        <v>22479000</v>
      </c>
    </row>
    <row r="18" spans="1:11" ht="12.75" customHeight="1" x14ac:dyDescent="0.2">
      <c r="A18" s="583" t="s">
        <v>1262</v>
      </c>
      <c r="B18" s="170"/>
      <c r="C18" s="758">
        <v>0</v>
      </c>
      <c r="D18" s="755"/>
      <c r="E18" s="743">
        <v>0</v>
      </c>
      <c r="F18" s="743">
        <f t="shared" si="6"/>
        <v>0</v>
      </c>
      <c r="G18" s="743">
        <f>F18*3</f>
        <v>0</v>
      </c>
      <c r="H18" s="743">
        <f t="shared" ref="H18:H26" si="8">E18</f>
        <v>0</v>
      </c>
      <c r="I18" s="259">
        <f t="shared" si="1"/>
        <v>0</v>
      </c>
      <c r="J18" s="584" t="str">
        <f t="shared" si="2"/>
        <v/>
      </c>
      <c r="K18" s="745">
        <f>D18</f>
        <v>0</v>
      </c>
    </row>
    <row r="19" spans="1:11" ht="12.75" customHeight="1" x14ac:dyDescent="0.2">
      <c r="A19" s="583" t="s">
        <v>1263</v>
      </c>
      <c r="B19" s="170"/>
      <c r="C19" s="758">
        <v>4887379.4075908195</v>
      </c>
      <c r="D19" s="755">
        <v>4887000</v>
      </c>
      <c r="E19" s="743">
        <v>5282000</v>
      </c>
      <c r="F19" s="743">
        <f t="shared" si="6"/>
        <v>407250</v>
      </c>
      <c r="G19" s="743">
        <f>H19</f>
        <v>5282000</v>
      </c>
      <c r="H19" s="743">
        <f t="shared" si="8"/>
        <v>5282000</v>
      </c>
      <c r="I19" s="259">
        <f t="shared" si="1"/>
        <v>0</v>
      </c>
      <c r="J19" s="584" t="str">
        <f t="shared" si="2"/>
        <v/>
      </c>
      <c r="K19" s="745">
        <f t="shared" ref="K19:K26" si="9">D19</f>
        <v>4887000</v>
      </c>
    </row>
    <row r="20" spans="1:11" ht="12.75" customHeight="1" x14ac:dyDescent="0.2">
      <c r="A20" s="583" t="s">
        <v>1264</v>
      </c>
      <c r="B20" s="170"/>
      <c r="C20" s="758">
        <v>0</v>
      </c>
      <c r="D20" s="755">
        <v>0</v>
      </c>
      <c r="E20" s="743">
        <v>0</v>
      </c>
      <c r="F20" s="743">
        <f t="shared" si="6"/>
        <v>0</v>
      </c>
      <c r="G20" s="743">
        <f t="shared" ref="G20:G26" si="10">H20</f>
        <v>0</v>
      </c>
      <c r="H20" s="743">
        <f t="shared" si="8"/>
        <v>0</v>
      </c>
      <c r="I20" s="259">
        <f t="shared" si="1"/>
        <v>0</v>
      </c>
      <c r="J20" s="584" t="str">
        <f t="shared" si="2"/>
        <v/>
      </c>
      <c r="K20" s="745">
        <f t="shared" si="9"/>
        <v>0</v>
      </c>
    </row>
    <row r="21" spans="1:11" ht="12.75" customHeight="1" x14ac:dyDescent="0.2">
      <c r="A21" s="583" t="s">
        <v>1265</v>
      </c>
      <c r="B21" s="170"/>
      <c r="C21" s="758">
        <v>0</v>
      </c>
      <c r="D21" s="755">
        <v>0</v>
      </c>
      <c r="E21" s="743">
        <v>0</v>
      </c>
      <c r="F21" s="743">
        <f t="shared" si="6"/>
        <v>0</v>
      </c>
      <c r="G21" s="743">
        <f t="shared" si="10"/>
        <v>0</v>
      </c>
      <c r="H21" s="743">
        <f t="shared" si="8"/>
        <v>0</v>
      </c>
      <c r="I21" s="259">
        <f t="shared" si="1"/>
        <v>0</v>
      </c>
      <c r="J21" s="584" t="str">
        <f t="shared" si="2"/>
        <v/>
      </c>
      <c r="K21" s="745">
        <f t="shared" si="9"/>
        <v>0</v>
      </c>
    </row>
    <row r="22" spans="1:11" ht="12.75" customHeight="1" x14ac:dyDescent="0.2">
      <c r="A22" s="583" t="s">
        <v>1266</v>
      </c>
      <c r="B22" s="170"/>
      <c r="C22" s="758">
        <v>0</v>
      </c>
      <c r="D22" s="755">
        <v>0</v>
      </c>
      <c r="E22" s="743">
        <v>0</v>
      </c>
      <c r="F22" s="743">
        <f t="shared" si="6"/>
        <v>0</v>
      </c>
      <c r="G22" s="743">
        <f t="shared" si="10"/>
        <v>0</v>
      </c>
      <c r="H22" s="743">
        <f t="shared" si="8"/>
        <v>0</v>
      </c>
      <c r="I22" s="259">
        <f t="shared" si="1"/>
        <v>0</v>
      </c>
      <c r="J22" s="584" t="str">
        <f t="shared" si="2"/>
        <v/>
      </c>
      <c r="K22" s="745">
        <f t="shared" si="9"/>
        <v>0</v>
      </c>
    </row>
    <row r="23" spans="1:11" ht="12.75" customHeight="1" x14ac:dyDescent="0.2">
      <c r="A23" s="583" t="s">
        <v>1267</v>
      </c>
      <c r="B23" s="170"/>
      <c r="C23" s="758">
        <v>0</v>
      </c>
      <c r="D23" s="755">
        <v>0</v>
      </c>
      <c r="E23" s="743">
        <v>0</v>
      </c>
      <c r="F23" s="743">
        <f t="shared" si="6"/>
        <v>0</v>
      </c>
      <c r="G23" s="743">
        <f t="shared" si="10"/>
        <v>0</v>
      </c>
      <c r="H23" s="743">
        <f t="shared" si="8"/>
        <v>0</v>
      </c>
      <c r="I23" s="259">
        <f t="shared" si="1"/>
        <v>0</v>
      </c>
      <c r="J23" s="584" t="str">
        <f t="shared" si="2"/>
        <v/>
      </c>
      <c r="K23" s="745">
        <f t="shared" si="9"/>
        <v>0</v>
      </c>
    </row>
    <row r="24" spans="1:11" ht="12.75" customHeight="1" x14ac:dyDescent="0.2">
      <c r="A24" s="583" t="s">
        <v>1268</v>
      </c>
      <c r="B24" s="170"/>
      <c r="C24" s="758">
        <v>12012961.636498075</v>
      </c>
      <c r="D24" s="755">
        <v>12013000</v>
      </c>
      <c r="E24" s="743">
        <v>12984000</v>
      </c>
      <c r="F24" s="743">
        <f t="shared" si="6"/>
        <v>1001083.3333333334</v>
      </c>
      <c r="G24" s="743">
        <f t="shared" si="10"/>
        <v>12984000</v>
      </c>
      <c r="H24" s="743">
        <f t="shared" si="8"/>
        <v>12984000</v>
      </c>
      <c r="I24" s="259">
        <f t="shared" si="1"/>
        <v>0</v>
      </c>
      <c r="J24" s="584" t="str">
        <f t="shared" si="2"/>
        <v/>
      </c>
      <c r="K24" s="745">
        <f t="shared" si="9"/>
        <v>12013000</v>
      </c>
    </row>
    <row r="25" spans="1:11" ht="12.75" customHeight="1" x14ac:dyDescent="0.2">
      <c r="A25" s="583" t="s">
        <v>1269</v>
      </c>
      <c r="B25" s="170"/>
      <c r="C25" s="758">
        <v>5578857.067366696</v>
      </c>
      <c r="D25" s="755">
        <v>5579000</v>
      </c>
      <c r="E25" s="743">
        <v>6030000</v>
      </c>
      <c r="F25" s="743">
        <f t="shared" si="6"/>
        <v>464916.66666666669</v>
      </c>
      <c r="G25" s="743">
        <f t="shared" si="10"/>
        <v>6030000</v>
      </c>
      <c r="H25" s="743">
        <f t="shared" si="8"/>
        <v>6030000</v>
      </c>
      <c r="I25" s="259">
        <f t="shared" si="1"/>
        <v>0</v>
      </c>
      <c r="J25" s="584" t="str">
        <f t="shared" si="2"/>
        <v/>
      </c>
      <c r="K25" s="745">
        <f t="shared" si="9"/>
        <v>5579000</v>
      </c>
    </row>
    <row r="26" spans="1:11" ht="12.75" customHeight="1" x14ac:dyDescent="0.2">
      <c r="A26" s="583" t="s">
        <v>1256</v>
      </c>
      <c r="B26" s="170"/>
      <c r="C26" s="758">
        <v>0</v>
      </c>
      <c r="D26" s="755"/>
      <c r="E26" s="743">
        <v>0</v>
      </c>
      <c r="F26" s="743">
        <f t="shared" si="6"/>
        <v>0</v>
      </c>
      <c r="G26" s="743">
        <f t="shared" si="10"/>
        <v>0</v>
      </c>
      <c r="H26" s="743">
        <f t="shared" si="8"/>
        <v>0</v>
      </c>
      <c r="I26" s="259">
        <f t="shared" si="1"/>
        <v>0</v>
      </c>
      <c r="J26" s="584" t="str">
        <f t="shared" si="2"/>
        <v/>
      </c>
      <c r="K26" s="745">
        <f t="shared" si="9"/>
        <v>0</v>
      </c>
    </row>
    <row r="27" spans="1:11" ht="12.75" customHeight="1" x14ac:dyDescent="0.2">
      <c r="A27" s="520" t="s">
        <v>1270</v>
      </c>
      <c r="B27" s="170"/>
      <c r="C27" s="657">
        <f t="shared" ref="C27:H27" si="11">SUM(C28:C37)</f>
        <v>22921384.394252159</v>
      </c>
      <c r="D27" s="658">
        <f t="shared" si="11"/>
        <v>22921000</v>
      </c>
      <c r="E27" s="411">
        <f t="shared" si="11"/>
        <v>24774000</v>
      </c>
      <c r="F27" s="411">
        <f t="shared" si="11"/>
        <v>1910083.3333333335</v>
      </c>
      <c r="G27" s="411">
        <f t="shared" si="11"/>
        <v>24774000</v>
      </c>
      <c r="H27" s="411">
        <f t="shared" si="11"/>
        <v>24774000</v>
      </c>
      <c r="I27" s="259">
        <f t="shared" si="1"/>
        <v>0</v>
      </c>
      <c r="J27" s="584" t="str">
        <f t="shared" si="2"/>
        <v/>
      </c>
      <c r="K27" s="651">
        <f>SUM(K28:K37)</f>
        <v>22921000</v>
      </c>
    </row>
    <row r="28" spans="1:11" ht="12.75" customHeight="1" x14ac:dyDescent="0.2">
      <c r="A28" s="583" t="s">
        <v>1271</v>
      </c>
      <c r="B28" s="170"/>
      <c r="C28" s="758">
        <v>627032.38651248696</v>
      </c>
      <c r="D28" s="755">
        <v>627000</v>
      </c>
      <c r="E28" s="743">
        <v>678000</v>
      </c>
      <c r="F28" s="743">
        <f t="shared" si="6"/>
        <v>52250</v>
      </c>
      <c r="G28" s="743">
        <f>H28</f>
        <v>678000</v>
      </c>
      <c r="H28" s="743">
        <f t="shared" ref="H28:H37" si="12">E28</f>
        <v>678000</v>
      </c>
      <c r="I28" s="259">
        <f t="shared" si="1"/>
        <v>0</v>
      </c>
      <c r="J28" s="584" t="str">
        <f t="shared" si="2"/>
        <v/>
      </c>
      <c r="K28" s="745">
        <f>D28</f>
        <v>627000</v>
      </c>
    </row>
    <row r="29" spans="1:11" ht="12.75" customHeight="1" x14ac:dyDescent="0.2">
      <c r="A29" s="583" t="s">
        <v>1272</v>
      </c>
      <c r="B29" s="170"/>
      <c r="C29" s="758">
        <v>1728167.292737965</v>
      </c>
      <c r="D29" s="755">
        <v>1728000</v>
      </c>
      <c r="E29" s="743">
        <v>1868000</v>
      </c>
      <c r="F29" s="743">
        <f t="shared" si="6"/>
        <v>144000</v>
      </c>
      <c r="G29" s="743">
        <f t="shared" ref="G29:G37" si="13">H29</f>
        <v>1868000</v>
      </c>
      <c r="H29" s="743">
        <f t="shared" si="12"/>
        <v>1868000</v>
      </c>
      <c r="I29" s="259">
        <f t="shared" si="1"/>
        <v>0</v>
      </c>
      <c r="J29" s="584" t="str">
        <f t="shared" si="2"/>
        <v/>
      </c>
      <c r="K29" s="745">
        <f t="shared" ref="K29:K37" si="14">D29</f>
        <v>1728000</v>
      </c>
    </row>
    <row r="30" spans="1:11" ht="12.75" customHeight="1" x14ac:dyDescent="0.2">
      <c r="A30" s="583" t="s">
        <v>1273</v>
      </c>
      <c r="B30" s="170"/>
      <c r="C30" s="758">
        <v>4561389.2653264934</v>
      </c>
      <c r="D30" s="755">
        <v>4561000</v>
      </c>
      <c r="E30" s="743">
        <v>4930000</v>
      </c>
      <c r="F30" s="743">
        <f t="shared" si="6"/>
        <v>380083.33333333331</v>
      </c>
      <c r="G30" s="743">
        <f t="shared" si="13"/>
        <v>4930000</v>
      </c>
      <c r="H30" s="743">
        <f t="shared" si="12"/>
        <v>4930000</v>
      </c>
      <c r="I30" s="259">
        <f t="shared" si="1"/>
        <v>0</v>
      </c>
      <c r="J30" s="584" t="str">
        <f t="shared" si="2"/>
        <v/>
      </c>
      <c r="K30" s="745">
        <f t="shared" si="14"/>
        <v>4561000</v>
      </c>
    </row>
    <row r="31" spans="1:11" ht="12.75" customHeight="1" x14ac:dyDescent="0.2">
      <c r="A31" s="583" t="s">
        <v>1274</v>
      </c>
      <c r="B31" s="170"/>
      <c r="C31" s="758">
        <v>653887.14392628463</v>
      </c>
      <c r="D31" s="755">
        <v>654000</v>
      </c>
      <c r="E31" s="743">
        <v>707000</v>
      </c>
      <c r="F31" s="743">
        <f t="shared" si="6"/>
        <v>54500</v>
      </c>
      <c r="G31" s="743">
        <f t="shared" si="13"/>
        <v>707000</v>
      </c>
      <c r="H31" s="743">
        <f t="shared" si="12"/>
        <v>707000</v>
      </c>
      <c r="I31" s="259">
        <f t="shared" si="1"/>
        <v>0</v>
      </c>
      <c r="J31" s="584" t="str">
        <f t="shared" si="2"/>
        <v/>
      </c>
      <c r="K31" s="745">
        <f t="shared" si="14"/>
        <v>654000</v>
      </c>
    </row>
    <row r="32" spans="1:11" ht="12.75" customHeight="1" x14ac:dyDescent="0.2">
      <c r="A32" s="583" t="s">
        <v>1275</v>
      </c>
      <c r="B32" s="170"/>
      <c r="C32" s="758">
        <v>780401.29302530445</v>
      </c>
      <c r="D32" s="755">
        <v>780000</v>
      </c>
      <c r="E32" s="743">
        <v>843000</v>
      </c>
      <c r="F32" s="743">
        <f t="shared" si="6"/>
        <v>65000</v>
      </c>
      <c r="G32" s="743">
        <f t="shared" si="13"/>
        <v>843000</v>
      </c>
      <c r="H32" s="743">
        <f t="shared" si="12"/>
        <v>843000</v>
      </c>
      <c r="I32" s="259">
        <f t="shared" si="1"/>
        <v>0</v>
      </c>
      <c r="J32" s="584" t="str">
        <f t="shared" si="2"/>
        <v/>
      </c>
      <c r="K32" s="745">
        <f t="shared" si="14"/>
        <v>780000</v>
      </c>
    </row>
    <row r="33" spans="1:11" ht="12.75" customHeight="1" x14ac:dyDescent="0.2">
      <c r="A33" s="583" t="s">
        <v>1276</v>
      </c>
      <c r="B33" s="170"/>
      <c r="C33" s="758">
        <v>3214812.4276203746</v>
      </c>
      <c r="D33" s="755">
        <v>3215000</v>
      </c>
      <c r="E33" s="743">
        <v>3475000</v>
      </c>
      <c r="F33" s="743">
        <f t="shared" si="6"/>
        <v>267916.66666666669</v>
      </c>
      <c r="G33" s="743">
        <f t="shared" si="13"/>
        <v>3475000</v>
      </c>
      <c r="H33" s="743">
        <f t="shared" si="12"/>
        <v>3475000</v>
      </c>
      <c r="I33" s="259">
        <f t="shared" si="1"/>
        <v>0</v>
      </c>
      <c r="J33" s="584" t="str">
        <f t="shared" si="2"/>
        <v/>
      </c>
      <c r="K33" s="745">
        <f t="shared" si="14"/>
        <v>3215000</v>
      </c>
    </row>
    <row r="34" spans="1:11" ht="12.75" customHeight="1" x14ac:dyDescent="0.2">
      <c r="A34" s="583" t="s">
        <v>1277</v>
      </c>
      <c r="B34" s="170"/>
      <c r="C34" s="758">
        <v>10934725.278179128</v>
      </c>
      <c r="D34" s="755">
        <v>10935000</v>
      </c>
      <c r="E34" s="743">
        <v>11818000</v>
      </c>
      <c r="F34" s="743">
        <f t="shared" si="6"/>
        <v>911250</v>
      </c>
      <c r="G34" s="743">
        <f t="shared" si="13"/>
        <v>11818000</v>
      </c>
      <c r="H34" s="743">
        <f t="shared" si="12"/>
        <v>11818000</v>
      </c>
      <c r="I34" s="259">
        <f t="shared" si="1"/>
        <v>0</v>
      </c>
      <c r="J34" s="584" t="str">
        <f t="shared" si="2"/>
        <v/>
      </c>
      <c r="K34" s="745">
        <f t="shared" si="14"/>
        <v>10935000</v>
      </c>
    </row>
    <row r="35" spans="1:11" ht="12.75" customHeight="1" x14ac:dyDescent="0.2">
      <c r="A35" s="583" t="s">
        <v>1278</v>
      </c>
      <c r="B35" s="170"/>
      <c r="C35" s="758">
        <v>413443.41942884983</v>
      </c>
      <c r="D35" s="755">
        <v>413000</v>
      </c>
      <c r="E35" s="743">
        <v>447000</v>
      </c>
      <c r="F35" s="743">
        <f t="shared" si="6"/>
        <v>34416.666666666664</v>
      </c>
      <c r="G35" s="743">
        <f t="shared" si="13"/>
        <v>447000</v>
      </c>
      <c r="H35" s="743">
        <f t="shared" si="12"/>
        <v>447000</v>
      </c>
      <c r="I35" s="259">
        <f t="shared" si="1"/>
        <v>0</v>
      </c>
      <c r="J35" s="584" t="str">
        <f t="shared" si="2"/>
        <v/>
      </c>
      <c r="K35" s="745">
        <f t="shared" si="14"/>
        <v>413000</v>
      </c>
    </row>
    <row r="36" spans="1:11" ht="12.75" customHeight="1" x14ac:dyDescent="0.2">
      <c r="A36" s="583" t="s">
        <v>1279</v>
      </c>
      <c r="B36" s="170"/>
      <c r="C36" s="758">
        <v>7525.8874952716833</v>
      </c>
      <c r="D36" s="755">
        <v>8000</v>
      </c>
      <c r="E36" s="743">
        <v>8000</v>
      </c>
      <c r="F36" s="743">
        <f t="shared" si="6"/>
        <v>666.66666666666663</v>
      </c>
      <c r="G36" s="743">
        <f t="shared" si="13"/>
        <v>8000</v>
      </c>
      <c r="H36" s="743">
        <f t="shared" si="12"/>
        <v>8000</v>
      </c>
      <c r="I36" s="259">
        <f t="shared" si="1"/>
        <v>0</v>
      </c>
      <c r="J36" s="584" t="str">
        <f t="shared" si="2"/>
        <v/>
      </c>
      <c r="K36" s="745">
        <f t="shared" si="14"/>
        <v>8000</v>
      </c>
    </row>
    <row r="37" spans="1:11" ht="12.75" customHeight="1" x14ac:dyDescent="0.2">
      <c r="A37" s="583" t="s">
        <v>1256</v>
      </c>
      <c r="B37" s="170"/>
      <c r="C37" s="758">
        <v>0</v>
      </c>
      <c r="D37" s="755"/>
      <c r="E37" s="743">
        <v>0</v>
      </c>
      <c r="F37" s="743">
        <f t="shared" si="6"/>
        <v>0</v>
      </c>
      <c r="G37" s="743">
        <f t="shared" si="13"/>
        <v>0</v>
      </c>
      <c r="H37" s="743">
        <f t="shared" si="12"/>
        <v>0</v>
      </c>
      <c r="I37" s="259">
        <f t="shared" si="1"/>
        <v>0</v>
      </c>
      <c r="J37" s="584" t="str">
        <f t="shared" si="2"/>
        <v/>
      </c>
      <c r="K37" s="745">
        <f t="shared" si="14"/>
        <v>0</v>
      </c>
    </row>
    <row r="38" spans="1:11" ht="12.75" customHeight="1" x14ac:dyDescent="0.2">
      <c r="A38" s="520" t="s">
        <v>1280</v>
      </c>
      <c r="B38" s="170"/>
      <c r="C38" s="657">
        <f t="shared" ref="C38:H38" si="15">SUM(C39:C44)</f>
        <v>6950625.7136387117</v>
      </c>
      <c r="D38" s="658">
        <f t="shared" si="15"/>
        <v>6951000</v>
      </c>
      <c r="E38" s="411">
        <f t="shared" si="15"/>
        <v>7512000</v>
      </c>
      <c r="F38" s="411">
        <f t="shared" si="15"/>
        <v>579250</v>
      </c>
      <c r="G38" s="411">
        <f t="shared" si="15"/>
        <v>7512000</v>
      </c>
      <c r="H38" s="411">
        <f t="shared" si="15"/>
        <v>7512000</v>
      </c>
      <c r="I38" s="259">
        <f t="shared" si="1"/>
        <v>0</v>
      </c>
      <c r="J38" s="584" t="str">
        <f t="shared" si="2"/>
        <v/>
      </c>
      <c r="K38" s="651">
        <f>SUM(K39:K44)</f>
        <v>6951000</v>
      </c>
    </row>
    <row r="39" spans="1:11" ht="12.75" customHeight="1" x14ac:dyDescent="0.2">
      <c r="A39" s="583" t="s">
        <v>1281</v>
      </c>
      <c r="B39" s="170"/>
      <c r="C39" s="758">
        <v>303924.13797742582</v>
      </c>
      <c r="D39" s="755">
        <v>304000</v>
      </c>
      <c r="E39" s="743">
        <v>328000</v>
      </c>
      <c r="F39" s="743">
        <f t="shared" si="6"/>
        <v>25333.333333333332</v>
      </c>
      <c r="G39" s="743">
        <f t="shared" ref="G39:G44" si="16">H39</f>
        <v>328000</v>
      </c>
      <c r="H39" s="743">
        <f t="shared" ref="H39:H44" si="17">E39</f>
        <v>328000</v>
      </c>
      <c r="I39" s="259">
        <f t="shared" si="1"/>
        <v>0</v>
      </c>
      <c r="J39" s="584" t="str">
        <f t="shared" si="2"/>
        <v/>
      </c>
      <c r="K39" s="745">
        <f t="shared" ref="K39:K44" si="18">D39</f>
        <v>304000</v>
      </c>
    </row>
    <row r="40" spans="1:11" ht="12.75" customHeight="1" x14ac:dyDescent="0.2">
      <c r="A40" s="583" t="s">
        <v>141</v>
      </c>
      <c r="B40" s="170"/>
      <c r="C40" s="758">
        <v>2250172.3812103868</v>
      </c>
      <c r="D40" s="755">
        <v>2250000</v>
      </c>
      <c r="E40" s="743">
        <v>2432000</v>
      </c>
      <c r="F40" s="743">
        <f t="shared" si="6"/>
        <v>187500</v>
      </c>
      <c r="G40" s="743">
        <f t="shared" si="16"/>
        <v>2432000</v>
      </c>
      <c r="H40" s="743">
        <f t="shared" si="17"/>
        <v>2432000</v>
      </c>
      <c r="I40" s="259">
        <f t="shared" si="1"/>
        <v>0</v>
      </c>
      <c r="J40" s="584" t="str">
        <f t="shared" si="2"/>
        <v/>
      </c>
      <c r="K40" s="745">
        <f t="shared" si="18"/>
        <v>2250000</v>
      </c>
    </row>
    <row r="41" spans="1:11" ht="12.75" customHeight="1" x14ac:dyDescent="0.2">
      <c r="A41" s="583" t="s">
        <v>1282</v>
      </c>
      <c r="B41" s="170"/>
      <c r="C41" s="758">
        <v>3245025.4263593936</v>
      </c>
      <c r="D41" s="755">
        <v>3245000</v>
      </c>
      <c r="E41" s="743">
        <v>3507000</v>
      </c>
      <c r="F41" s="743">
        <f t="shared" si="6"/>
        <v>270416.66666666669</v>
      </c>
      <c r="G41" s="743">
        <f t="shared" si="16"/>
        <v>3507000</v>
      </c>
      <c r="H41" s="743">
        <f t="shared" si="17"/>
        <v>3507000</v>
      </c>
      <c r="I41" s="259">
        <f t="shared" si="1"/>
        <v>0</v>
      </c>
      <c r="J41" s="584" t="str">
        <f t="shared" si="2"/>
        <v/>
      </c>
      <c r="K41" s="745">
        <f t="shared" si="18"/>
        <v>3245000</v>
      </c>
    </row>
    <row r="42" spans="1:11" ht="12.75" customHeight="1" x14ac:dyDescent="0.2">
      <c r="A42" s="583" t="s">
        <v>1283</v>
      </c>
      <c r="B42" s="170"/>
      <c r="C42" s="758">
        <v>1151503.7680915052</v>
      </c>
      <c r="D42" s="755">
        <v>1152000</v>
      </c>
      <c r="E42" s="743">
        <v>1245000</v>
      </c>
      <c r="F42" s="743">
        <f t="shared" si="6"/>
        <v>96000</v>
      </c>
      <c r="G42" s="743">
        <f t="shared" si="16"/>
        <v>1245000</v>
      </c>
      <c r="H42" s="743">
        <f t="shared" si="17"/>
        <v>1245000</v>
      </c>
      <c r="I42" s="259">
        <f t="shared" si="1"/>
        <v>0</v>
      </c>
      <c r="J42" s="584" t="str">
        <f t="shared" si="2"/>
        <v/>
      </c>
      <c r="K42" s="745">
        <f t="shared" si="18"/>
        <v>1152000</v>
      </c>
    </row>
    <row r="43" spans="1:11" ht="12.75" customHeight="1" x14ac:dyDescent="0.2">
      <c r="A43" s="583" t="s">
        <v>1284</v>
      </c>
      <c r="B43" s="170"/>
      <c r="C43" s="758">
        <v>0</v>
      </c>
      <c r="D43" s="755"/>
      <c r="E43" s="743">
        <v>0</v>
      </c>
      <c r="F43" s="743">
        <f t="shared" si="6"/>
        <v>0</v>
      </c>
      <c r="G43" s="743">
        <f t="shared" si="16"/>
        <v>0</v>
      </c>
      <c r="H43" s="743">
        <f t="shared" si="17"/>
        <v>0</v>
      </c>
      <c r="I43" s="259">
        <f t="shared" si="1"/>
        <v>0</v>
      </c>
      <c r="J43" s="584" t="str">
        <f t="shared" si="2"/>
        <v/>
      </c>
      <c r="K43" s="745">
        <f t="shared" si="18"/>
        <v>0</v>
      </c>
    </row>
    <row r="44" spans="1:11" ht="12.75" customHeight="1" x14ac:dyDescent="0.2">
      <c r="A44" s="583" t="s">
        <v>1256</v>
      </c>
      <c r="B44" s="170"/>
      <c r="C44" s="758">
        <v>0</v>
      </c>
      <c r="D44" s="755"/>
      <c r="E44" s="743">
        <v>0</v>
      </c>
      <c r="F44" s="743">
        <v>0</v>
      </c>
      <c r="G44" s="743">
        <f t="shared" si="16"/>
        <v>0</v>
      </c>
      <c r="H44" s="743">
        <f t="shared" si="17"/>
        <v>0</v>
      </c>
      <c r="I44" s="259">
        <f t="shared" si="1"/>
        <v>0</v>
      </c>
      <c r="J44" s="584" t="str">
        <f t="shared" si="2"/>
        <v/>
      </c>
      <c r="K44" s="745">
        <f t="shared" si="18"/>
        <v>0</v>
      </c>
    </row>
    <row r="45" spans="1:11" ht="12.75" customHeight="1" x14ac:dyDescent="0.2">
      <c r="A45" s="520" t="s">
        <v>1285</v>
      </c>
      <c r="B45" s="170"/>
      <c r="C45" s="657">
        <f t="shared" ref="C45:H45" si="19">SUM(C46:C52)</f>
        <v>2138396.3364921669</v>
      </c>
      <c r="D45" s="658">
        <f t="shared" si="19"/>
        <v>2138000</v>
      </c>
      <c r="E45" s="411">
        <f t="shared" si="19"/>
        <v>2311000</v>
      </c>
      <c r="F45" s="411">
        <f t="shared" si="19"/>
        <v>178166.66666666666</v>
      </c>
      <c r="G45" s="411">
        <f t="shared" si="19"/>
        <v>2311000</v>
      </c>
      <c r="H45" s="411">
        <f t="shared" si="19"/>
        <v>2311000</v>
      </c>
      <c r="I45" s="259">
        <f t="shared" si="1"/>
        <v>0</v>
      </c>
      <c r="J45" s="584" t="str">
        <f t="shared" si="2"/>
        <v/>
      </c>
      <c r="K45" s="651">
        <f>SUM(K46:K52)</f>
        <v>2138000</v>
      </c>
    </row>
    <row r="46" spans="1:11" ht="12.75" customHeight="1" x14ac:dyDescent="0.2">
      <c r="A46" s="583" t="s">
        <v>1286</v>
      </c>
      <c r="B46" s="170"/>
      <c r="C46" s="758">
        <v>2090905.9671906205</v>
      </c>
      <c r="D46" s="755">
        <v>2091000</v>
      </c>
      <c r="E46" s="743">
        <v>2260000</v>
      </c>
      <c r="F46" s="743">
        <f t="shared" ref="F46:F47" si="20">D46/12</f>
        <v>174250</v>
      </c>
      <c r="G46" s="743">
        <f>H46</f>
        <v>2260000</v>
      </c>
      <c r="H46" s="743">
        <f t="shared" ref="H46:H52" si="21">E46</f>
        <v>2260000</v>
      </c>
      <c r="I46" s="259">
        <f t="shared" si="1"/>
        <v>0</v>
      </c>
      <c r="J46" s="584" t="str">
        <f t="shared" si="2"/>
        <v/>
      </c>
      <c r="K46" s="745">
        <f>D46</f>
        <v>2091000</v>
      </c>
    </row>
    <row r="47" spans="1:11" ht="12.75" customHeight="1" x14ac:dyDescent="0.2">
      <c r="A47" s="583" t="s">
        <v>1287</v>
      </c>
      <c r="B47" s="170"/>
      <c r="C47" s="758">
        <v>47490.369301546518</v>
      </c>
      <c r="D47" s="755">
        <v>47000</v>
      </c>
      <c r="E47" s="743">
        <v>51000</v>
      </c>
      <c r="F47" s="743">
        <f t="shared" si="20"/>
        <v>3916.6666666666665</v>
      </c>
      <c r="G47" s="743">
        <f>H47</f>
        <v>51000</v>
      </c>
      <c r="H47" s="743">
        <f t="shared" si="21"/>
        <v>51000</v>
      </c>
      <c r="I47" s="259">
        <f t="shared" si="1"/>
        <v>0</v>
      </c>
      <c r="J47" s="584" t="str">
        <f t="shared" si="2"/>
        <v/>
      </c>
      <c r="K47" s="745">
        <f t="shared" ref="K47:K52" si="22">D47</f>
        <v>47000</v>
      </c>
    </row>
    <row r="48" spans="1:11" ht="12.75" customHeight="1" x14ac:dyDescent="0.2">
      <c r="A48" s="583" t="s">
        <v>1288</v>
      </c>
      <c r="B48" s="170"/>
      <c r="C48" s="758">
        <v>0</v>
      </c>
      <c r="D48" s="755"/>
      <c r="E48" s="743">
        <v>0</v>
      </c>
      <c r="F48" s="743">
        <v>0</v>
      </c>
      <c r="G48" s="743">
        <f>H48</f>
        <v>0</v>
      </c>
      <c r="H48" s="743">
        <f t="shared" si="21"/>
        <v>0</v>
      </c>
      <c r="I48" s="259">
        <f t="shared" si="1"/>
        <v>0</v>
      </c>
      <c r="J48" s="584" t="str">
        <f t="shared" si="2"/>
        <v/>
      </c>
      <c r="K48" s="745">
        <f t="shared" si="22"/>
        <v>0</v>
      </c>
    </row>
    <row r="49" spans="1:11" ht="12.75" customHeight="1" x14ac:dyDescent="0.2">
      <c r="A49" s="583" t="s">
        <v>1289</v>
      </c>
      <c r="B49" s="170"/>
      <c r="C49" s="758">
        <v>0</v>
      </c>
      <c r="D49" s="755"/>
      <c r="E49" s="743">
        <v>0</v>
      </c>
      <c r="F49" s="743">
        <v>0</v>
      </c>
      <c r="G49" s="743">
        <f>F49*3</f>
        <v>0</v>
      </c>
      <c r="H49" s="743">
        <f t="shared" si="21"/>
        <v>0</v>
      </c>
      <c r="I49" s="259">
        <f t="shared" si="1"/>
        <v>0</v>
      </c>
      <c r="J49" s="584" t="str">
        <f t="shared" si="2"/>
        <v/>
      </c>
      <c r="K49" s="745">
        <f t="shared" si="22"/>
        <v>0</v>
      </c>
    </row>
    <row r="50" spans="1:11" ht="12.75" customHeight="1" x14ac:dyDescent="0.2">
      <c r="A50" s="583" t="s">
        <v>1290</v>
      </c>
      <c r="B50" s="170"/>
      <c r="C50" s="758">
        <v>0</v>
      </c>
      <c r="D50" s="755"/>
      <c r="E50" s="743">
        <v>0</v>
      </c>
      <c r="F50" s="743">
        <v>0</v>
      </c>
      <c r="G50" s="743">
        <f>F50*3</f>
        <v>0</v>
      </c>
      <c r="H50" s="743">
        <f t="shared" si="21"/>
        <v>0</v>
      </c>
      <c r="I50" s="259">
        <f t="shared" si="1"/>
        <v>0</v>
      </c>
      <c r="J50" s="584" t="str">
        <f t="shared" si="2"/>
        <v/>
      </c>
      <c r="K50" s="745">
        <f t="shared" si="22"/>
        <v>0</v>
      </c>
    </row>
    <row r="51" spans="1:11" ht="12.75" customHeight="1" x14ac:dyDescent="0.2">
      <c r="A51" s="583" t="s">
        <v>1291</v>
      </c>
      <c r="B51" s="170"/>
      <c r="C51" s="758">
        <v>0</v>
      </c>
      <c r="D51" s="755"/>
      <c r="E51" s="743">
        <v>0</v>
      </c>
      <c r="F51" s="743">
        <v>0</v>
      </c>
      <c r="G51" s="743">
        <f>F51*3</f>
        <v>0</v>
      </c>
      <c r="H51" s="743">
        <f t="shared" si="21"/>
        <v>0</v>
      </c>
      <c r="I51" s="259">
        <f t="shared" si="1"/>
        <v>0</v>
      </c>
      <c r="J51" s="584" t="str">
        <f t="shared" si="2"/>
        <v/>
      </c>
      <c r="K51" s="745">
        <f t="shared" si="22"/>
        <v>0</v>
      </c>
    </row>
    <row r="52" spans="1:11" ht="12.75" customHeight="1" x14ac:dyDescent="0.2">
      <c r="A52" s="583" t="s">
        <v>1256</v>
      </c>
      <c r="B52" s="170"/>
      <c r="C52" s="758">
        <v>0</v>
      </c>
      <c r="D52" s="755"/>
      <c r="E52" s="743">
        <v>0</v>
      </c>
      <c r="F52" s="743">
        <v>0</v>
      </c>
      <c r="G52" s="743">
        <f>F52*3</f>
        <v>0</v>
      </c>
      <c r="H52" s="743">
        <f t="shared" si="21"/>
        <v>0</v>
      </c>
      <c r="I52" s="259">
        <f t="shared" si="1"/>
        <v>0</v>
      </c>
      <c r="J52" s="584" t="str">
        <f t="shared" si="2"/>
        <v/>
      </c>
      <c r="K52" s="745">
        <f t="shared" si="22"/>
        <v>0</v>
      </c>
    </row>
    <row r="53" spans="1:11" ht="12.75" customHeight="1" x14ac:dyDescent="0.2">
      <c r="A53" s="521" t="s">
        <v>1292</v>
      </c>
      <c r="B53" s="170"/>
      <c r="C53" s="657">
        <f t="shared" ref="C53:H53" si="23">SUM(C54:C62)</f>
        <v>0</v>
      </c>
      <c r="D53" s="658">
        <f t="shared" si="23"/>
        <v>0</v>
      </c>
      <c r="E53" s="411">
        <f t="shared" si="23"/>
        <v>0</v>
      </c>
      <c r="F53" s="411">
        <f t="shared" si="23"/>
        <v>0</v>
      </c>
      <c r="G53" s="411">
        <f t="shared" si="23"/>
        <v>0</v>
      </c>
      <c r="H53" s="411">
        <f t="shared" si="23"/>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24">SUM(C64:C68)</f>
        <v>0</v>
      </c>
      <c r="D63" s="658">
        <f t="shared" si="24"/>
        <v>0</v>
      </c>
      <c r="E63" s="411">
        <f t="shared" si="24"/>
        <v>0</v>
      </c>
      <c r="F63" s="411">
        <f t="shared" si="24"/>
        <v>0</v>
      </c>
      <c r="G63" s="411">
        <f t="shared" si="24"/>
        <v>0</v>
      </c>
      <c r="H63" s="411">
        <f t="shared" si="24"/>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25">SUM(C70:C73)</f>
        <v>656470.44071846176</v>
      </c>
      <c r="D69" s="658">
        <f t="shared" si="25"/>
        <v>656000</v>
      </c>
      <c r="E69" s="411">
        <f t="shared" si="25"/>
        <v>709000</v>
      </c>
      <c r="F69" s="411">
        <f t="shared" si="25"/>
        <v>54666.666666666672</v>
      </c>
      <c r="G69" s="411">
        <f t="shared" si="25"/>
        <v>709000</v>
      </c>
      <c r="H69" s="411">
        <f t="shared" si="25"/>
        <v>709000</v>
      </c>
      <c r="I69" s="259">
        <f t="shared" si="1"/>
        <v>0</v>
      </c>
      <c r="J69" s="584" t="str">
        <f t="shared" si="2"/>
        <v/>
      </c>
      <c r="K69" s="651">
        <f>SUM(K70:K73)</f>
        <v>656000</v>
      </c>
    </row>
    <row r="70" spans="1:11" ht="12.75" customHeight="1" x14ac:dyDescent="0.2">
      <c r="A70" s="583" t="s">
        <v>1302</v>
      </c>
      <c r="B70" s="170"/>
      <c r="C70" s="758">
        <v>197014.27353979216</v>
      </c>
      <c r="D70" s="755">
        <v>197000</v>
      </c>
      <c r="E70" s="743">
        <v>213000</v>
      </c>
      <c r="F70" s="743">
        <f t="shared" ref="F70:F73" si="26">D70/12</f>
        <v>16416.666666666668</v>
      </c>
      <c r="G70" s="743">
        <f>H70</f>
        <v>213000</v>
      </c>
      <c r="H70" s="743">
        <f>E70</f>
        <v>213000</v>
      </c>
      <c r="I70" s="259">
        <f t="shared" si="1"/>
        <v>0</v>
      </c>
      <c r="J70" s="584" t="str">
        <f t="shared" si="2"/>
        <v/>
      </c>
      <c r="K70" s="745">
        <f>D70</f>
        <v>197000</v>
      </c>
    </row>
    <row r="71" spans="1:11" ht="12.75" customHeight="1" x14ac:dyDescent="0.2">
      <c r="A71" s="583" t="s">
        <v>1303</v>
      </c>
      <c r="B71" s="170"/>
      <c r="C71" s="758">
        <v>426864.03560711676</v>
      </c>
      <c r="D71" s="755">
        <v>427000</v>
      </c>
      <c r="E71" s="743">
        <v>461000</v>
      </c>
      <c r="F71" s="743">
        <f t="shared" si="26"/>
        <v>35583.333333333336</v>
      </c>
      <c r="G71" s="743">
        <f>H71</f>
        <v>461000</v>
      </c>
      <c r="H71" s="743">
        <f>E71</f>
        <v>461000</v>
      </c>
      <c r="I71" s="259">
        <f t="shared" si="1"/>
        <v>0</v>
      </c>
      <c r="J71" s="584" t="str">
        <f t="shared" si="2"/>
        <v/>
      </c>
      <c r="K71" s="745">
        <f>D71</f>
        <v>427000</v>
      </c>
    </row>
    <row r="72" spans="1:11" ht="12.75" customHeight="1" x14ac:dyDescent="0.2">
      <c r="A72" s="583" t="s">
        <v>1304</v>
      </c>
      <c r="B72" s="170"/>
      <c r="C72" s="758">
        <v>10276.224895699947</v>
      </c>
      <c r="D72" s="755">
        <v>10000</v>
      </c>
      <c r="E72" s="743">
        <v>11000</v>
      </c>
      <c r="F72" s="743">
        <f t="shared" si="26"/>
        <v>833.33333333333337</v>
      </c>
      <c r="G72" s="743">
        <f>H72</f>
        <v>11000</v>
      </c>
      <c r="H72" s="743">
        <f>E72</f>
        <v>11000</v>
      </c>
      <c r="I72" s="259">
        <f t="shared" si="1"/>
        <v>0</v>
      </c>
      <c r="J72" s="584" t="str">
        <f t="shared" si="2"/>
        <v/>
      </c>
      <c r="K72" s="745">
        <f>D72</f>
        <v>10000</v>
      </c>
    </row>
    <row r="73" spans="1:11" ht="12.75" customHeight="1" x14ac:dyDescent="0.2">
      <c r="A73" s="583" t="s">
        <v>1256</v>
      </c>
      <c r="B73" s="170"/>
      <c r="C73" s="758">
        <v>22315.906675852788</v>
      </c>
      <c r="D73" s="755">
        <v>22000</v>
      </c>
      <c r="E73" s="743">
        <v>24000</v>
      </c>
      <c r="F73" s="743">
        <f t="shared" si="26"/>
        <v>1833.3333333333333</v>
      </c>
      <c r="G73" s="743">
        <f>H73</f>
        <v>24000</v>
      </c>
      <c r="H73" s="743">
        <f>E73</f>
        <v>24000</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7">+C76+C99</f>
        <v>31674333.864138726</v>
      </c>
      <c r="D75" s="586">
        <f t="shared" si="27"/>
        <v>46675000</v>
      </c>
      <c r="E75" s="587">
        <f t="shared" si="27"/>
        <v>49284000</v>
      </c>
      <c r="F75" s="587">
        <f t="shared" si="27"/>
        <v>3889583.3333333335</v>
      </c>
      <c r="G75" s="587">
        <f t="shared" si="27"/>
        <v>49284000</v>
      </c>
      <c r="H75" s="587">
        <f t="shared" si="27"/>
        <v>49284000</v>
      </c>
      <c r="I75" s="587">
        <f t="shared" si="1"/>
        <v>0</v>
      </c>
      <c r="J75" s="588" t="str">
        <f t="shared" si="2"/>
        <v/>
      </c>
      <c r="K75" s="589">
        <f>+K76+K99</f>
        <v>46675000</v>
      </c>
    </row>
    <row r="76" spans="1:11" ht="12.75" customHeight="1" x14ac:dyDescent="0.2">
      <c r="A76" s="521" t="s">
        <v>1305</v>
      </c>
      <c r="B76" s="170"/>
      <c r="C76" s="657">
        <f t="shared" ref="C76:H76" si="28">SUM(C77:C98)</f>
        <v>6904333.8641387261</v>
      </c>
      <c r="D76" s="658">
        <f t="shared" si="28"/>
        <v>21905000</v>
      </c>
      <c r="E76" s="411">
        <f t="shared" si="28"/>
        <v>22512000</v>
      </c>
      <c r="F76" s="411">
        <f t="shared" si="28"/>
        <v>1825416.6666666667</v>
      </c>
      <c r="G76" s="411">
        <f t="shared" si="28"/>
        <v>22512000</v>
      </c>
      <c r="H76" s="411">
        <f t="shared" si="28"/>
        <v>22512000</v>
      </c>
      <c r="I76" s="259">
        <f t="shared" si="1"/>
        <v>0</v>
      </c>
      <c r="J76" s="584" t="str">
        <f t="shared" si="2"/>
        <v/>
      </c>
      <c r="K76" s="651">
        <f>SUM(K77:K98)</f>
        <v>21905000</v>
      </c>
    </row>
    <row r="77" spans="1:11" ht="12.75" customHeight="1" x14ac:dyDescent="0.2">
      <c r="A77" s="583" t="s">
        <v>1306</v>
      </c>
      <c r="B77" s="170"/>
      <c r="C77" s="758">
        <v>737280.80532067432</v>
      </c>
      <c r="D77" s="763">
        <v>737000</v>
      </c>
      <c r="E77" s="743">
        <v>797000</v>
      </c>
      <c r="F77" s="743">
        <f t="shared" ref="F77:F98" si="29">D77/12</f>
        <v>61416.666666666664</v>
      </c>
      <c r="G77" s="743">
        <f>H77</f>
        <v>797000</v>
      </c>
      <c r="H77" s="743">
        <f t="shared" ref="H77:H98" si="30">E77</f>
        <v>797000</v>
      </c>
      <c r="I77" s="45">
        <f t="shared" si="1"/>
        <v>0</v>
      </c>
      <c r="J77" s="125" t="str">
        <f t="shared" si="2"/>
        <v/>
      </c>
      <c r="K77" s="745">
        <f>D77</f>
        <v>737000</v>
      </c>
    </row>
    <row r="78" spans="1:11" ht="12.75" customHeight="1" x14ac:dyDescent="0.2">
      <c r="A78" s="583" t="s">
        <v>1307</v>
      </c>
      <c r="B78" s="170"/>
      <c r="C78" s="758">
        <v>24527.586418446826</v>
      </c>
      <c r="D78" s="763">
        <v>25000</v>
      </c>
      <c r="E78" s="743">
        <v>27000</v>
      </c>
      <c r="F78" s="743">
        <f t="shared" si="29"/>
        <v>2083.3333333333335</v>
      </c>
      <c r="G78" s="743">
        <f t="shared" ref="G78:G98" si="31">H78</f>
        <v>27000</v>
      </c>
      <c r="H78" s="743">
        <f t="shared" si="30"/>
        <v>27000</v>
      </c>
      <c r="I78" s="45">
        <f t="shared" si="1"/>
        <v>0</v>
      </c>
      <c r="J78" s="125" t="str">
        <f t="shared" si="2"/>
        <v/>
      </c>
      <c r="K78" s="745">
        <f t="shared" ref="K78:K98" si="32">D78</f>
        <v>25000</v>
      </c>
    </row>
    <row r="79" spans="1:11" ht="12.75" customHeight="1" x14ac:dyDescent="0.2">
      <c r="A79" s="583" t="s">
        <v>1308</v>
      </c>
      <c r="B79" s="170"/>
      <c r="C79" s="758">
        <v>0</v>
      </c>
      <c r="D79" s="763">
        <v>0</v>
      </c>
      <c r="E79" s="743">
        <v>0</v>
      </c>
      <c r="F79" s="743">
        <f t="shared" si="29"/>
        <v>0</v>
      </c>
      <c r="G79" s="743">
        <f t="shared" si="31"/>
        <v>0</v>
      </c>
      <c r="H79" s="743">
        <f t="shared" si="30"/>
        <v>0</v>
      </c>
      <c r="I79" s="45">
        <f t="shared" si="1"/>
        <v>0</v>
      </c>
      <c r="J79" s="125" t="str">
        <f t="shared" si="2"/>
        <v/>
      </c>
      <c r="K79" s="745">
        <f t="shared" si="32"/>
        <v>0</v>
      </c>
    </row>
    <row r="80" spans="1:11" ht="12.75" customHeight="1" x14ac:dyDescent="0.2">
      <c r="A80" s="583" t="s">
        <v>1309</v>
      </c>
      <c r="B80" s="170"/>
      <c r="C80" s="758">
        <v>56322.64417652478</v>
      </c>
      <c r="D80" s="763">
        <v>56000</v>
      </c>
      <c r="E80" s="743">
        <v>61000</v>
      </c>
      <c r="F80" s="743">
        <f t="shared" si="29"/>
        <v>4666.666666666667</v>
      </c>
      <c r="G80" s="743">
        <f t="shared" si="31"/>
        <v>61000</v>
      </c>
      <c r="H80" s="743">
        <f t="shared" si="30"/>
        <v>61000</v>
      </c>
      <c r="I80" s="45">
        <f t="shared" si="1"/>
        <v>0</v>
      </c>
      <c r="J80" s="125" t="str">
        <f t="shared" si="2"/>
        <v/>
      </c>
      <c r="K80" s="745">
        <f t="shared" si="32"/>
        <v>56000</v>
      </c>
    </row>
    <row r="81" spans="1:11" ht="12.75" customHeight="1" x14ac:dyDescent="0.2">
      <c r="A81" s="583" t="s">
        <v>1310</v>
      </c>
      <c r="B81" s="170"/>
      <c r="C81" s="758">
        <v>692805.3659456484</v>
      </c>
      <c r="D81" s="763">
        <v>693000</v>
      </c>
      <c r="E81" s="743">
        <v>749000</v>
      </c>
      <c r="F81" s="743">
        <f t="shared" si="29"/>
        <v>57750</v>
      </c>
      <c r="G81" s="743">
        <f t="shared" si="31"/>
        <v>749000</v>
      </c>
      <c r="H81" s="743">
        <f t="shared" si="30"/>
        <v>749000</v>
      </c>
      <c r="I81" s="45">
        <f t="shared" si="1"/>
        <v>0</v>
      </c>
      <c r="J81" s="125" t="str">
        <f t="shared" si="2"/>
        <v/>
      </c>
      <c r="K81" s="745">
        <f t="shared" si="32"/>
        <v>693000</v>
      </c>
    </row>
    <row r="82" spans="1:11" ht="12.75" customHeight="1" x14ac:dyDescent="0.2">
      <c r="A82" s="583" t="s">
        <v>1311</v>
      </c>
      <c r="B82" s="170"/>
      <c r="C82" s="758">
        <v>120676.3284151273</v>
      </c>
      <c r="D82" s="763">
        <v>121000</v>
      </c>
      <c r="E82" s="743">
        <v>130000</v>
      </c>
      <c r="F82" s="743">
        <f t="shared" si="29"/>
        <v>10083.333333333334</v>
      </c>
      <c r="G82" s="743">
        <f t="shared" si="31"/>
        <v>130000</v>
      </c>
      <c r="H82" s="743">
        <f t="shared" si="30"/>
        <v>130000</v>
      </c>
      <c r="I82" s="45">
        <f t="shared" si="1"/>
        <v>0</v>
      </c>
      <c r="J82" s="125" t="str">
        <f t="shared" si="2"/>
        <v/>
      </c>
      <c r="K82" s="745">
        <f t="shared" si="32"/>
        <v>121000</v>
      </c>
    </row>
    <row r="83" spans="1:11" ht="12.75" customHeight="1" x14ac:dyDescent="0.2">
      <c r="A83" s="583" t="s">
        <v>1312</v>
      </c>
      <c r="B83" s="170"/>
      <c r="C83" s="758">
        <v>1749530.2907444544</v>
      </c>
      <c r="D83" s="763">
        <v>1750000</v>
      </c>
      <c r="E83" s="743">
        <v>1891000</v>
      </c>
      <c r="F83" s="743">
        <f t="shared" si="29"/>
        <v>145833.33333333334</v>
      </c>
      <c r="G83" s="743">
        <f t="shared" si="31"/>
        <v>1891000</v>
      </c>
      <c r="H83" s="743">
        <f t="shared" si="30"/>
        <v>1891000</v>
      </c>
      <c r="I83" s="45">
        <f t="shared" si="1"/>
        <v>0</v>
      </c>
      <c r="J83" s="125" t="str">
        <f t="shared" si="2"/>
        <v/>
      </c>
      <c r="K83" s="745">
        <f t="shared" si="32"/>
        <v>1750000</v>
      </c>
    </row>
    <row r="84" spans="1:11" ht="12.75" customHeight="1" x14ac:dyDescent="0.2">
      <c r="A84" s="583" t="s">
        <v>1313</v>
      </c>
      <c r="B84" s="170"/>
      <c r="C84" s="758">
        <v>0</v>
      </c>
      <c r="D84" s="763">
        <v>0</v>
      </c>
      <c r="E84" s="743">
        <v>0</v>
      </c>
      <c r="F84" s="743">
        <f t="shared" si="29"/>
        <v>0</v>
      </c>
      <c r="G84" s="743">
        <f t="shared" si="31"/>
        <v>0</v>
      </c>
      <c r="H84" s="743">
        <f t="shared" si="30"/>
        <v>0</v>
      </c>
      <c r="I84" s="45">
        <f t="shared" si="1"/>
        <v>0</v>
      </c>
      <c r="J84" s="125" t="str">
        <f t="shared" si="2"/>
        <v/>
      </c>
      <c r="K84" s="745">
        <f t="shared" si="32"/>
        <v>0</v>
      </c>
    </row>
    <row r="85" spans="1:11" ht="12.75" customHeight="1" x14ac:dyDescent="0.2">
      <c r="A85" s="583" t="s">
        <v>1189</v>
      </c>
      <c r="B85" s="170"/>
      <c r="C85" s="758">
        <v>0</v>
      </c>
      <c r="D85" s="763">
        <v>0</v>
      </c>
      <c r="E85" s="743">
        <v>0</v>
      </c>
      <c r="F85" s="743">
        <f t="shared" si="29"/>
        <v>0</v>
      </c>
      <c r="G85" s="743">
        <f t="shared" si="31"/>
        <v>0</v>
      </c>
      <c r="H85" s="743">
        <f t="shared" si="30"/>
        <v>0</v>
      </c>
      <c r="I85" s="45">
        <f t="shared" si="1"/>
        <v>0</v>
      </c>
      <c r="J85" s="125" t="str">
        <f t="shared" si="2"/>
        <v/>
      </c>
      <c r="K85" s="745">
        <f t="shared" si="32"/>
        <v>0</v>
      </c>
    </row>
    <row r="86" spans="1:11" ht="12.75" customHeight="1" x14ac:dyDescent="0.2">
      <c r="A86" s="583" t="s">
        <v>572</v>
      </c>
      <c r="B86" s="170"/>
      <c r="C86" s="758">
        <v>0</v>
      </c>
      <c r="D86" s="763">
        <v>0</v>
      </c>
      <c r="E86" s="743">
        <v>0</v>
      </c>
      <c r="F86" s="743">
        <f t="shared" si="29"/>
        <v>0</v>
      </c>
      <c r="G86" s="743">
        <f t="shared" si="31"/>
        <v>0</v>
      </c>
      <c r="H86" s="743">
        <f t="shared" si="30"/>
        <v>0</v>
      </c>
      <c r="I86" s="45">
        <f t="shared" si="1"/>
        <v>0</v>
      </c>
      <c r="J86" s="125" t="str">
        <f t="shared" si="2"/>
        <v/>
      </c>
      <c r="K86" s="745">
        <f t="shared" si="32"/>
        <v>0</v>
      </c>
    </row>
    <row r="87" spans="1:11" ht="12.75" customHeight="1" x14ac:dyDescent="0.2">
      <c r="A87" s="583" t="s">
        <v>1314</v>
      </c>
      <c r="B87" s="170"/>
      <c r="C87" s="758">
        <v>245019.25354075246</v>
      </c>
      <c r="D87" s="763">
        <v>245000</v>
      </c>
      <c r="E87" s="743">
        <v>265000</v>
      </c>
      <c r="F87" s="743">
        <f t="shared" si="29"/>
        <v>20416.666666666668</v>
      </c>
      <c r="G87" s="743">
        <f t="shared" si="31"/>
        <v>265000</v>
      </c>
      <c r="H87" s="743">
        <f t="shared" si="30"/>
        <v>265000</v>
      </c>
      <c r="I87" s="45">
        <f t="shared" si="1"/>
        <v>0</v>
      </c>
      <c r="J87" s="125" t="str">
        <f t="shared" si="2"/>
        <v/>
      </c>
      <c r="K87" s="745">
        <f t="shared" si="32"/>
        <v>245000</v>
      </c>
    </row>
    <row r="88" spans="1:11" ht="12.75" customHeight="1" x14ac:dyDescent="0.2">
      <c r="A88" s="583" t="s">
        <v>173</v>
      </c>
      <c r="B88" s="170"/>
      <c r="C88" s="758">
        <v>0</v>
      </c>
      <c r="D88" s="763">
        <v>0</v>
      </c>
      <c r="E88" s="743">
        <v>0</v>
      </c>
      <c r="F88" s="743">
        <f t="shared" si="29"/>
        <v>0</v>
      </c>
      <c r="G88" s="743">
        <f t="shared" si="31"/>
        <v>0</v>
      </c>
      <c r="H88" s="743">
        <f t="shared" si="30"/>
        <v>0</v>
      </c>
      <c r="I88" s="45">
        <f t="shared" si="1"/>
        <v>0</v>
      </c>
      <c r="J88" s="125" t="str">
        <f t="shared" si="2"/>
        <v/>
      </c>
      <c r="K88" s="745">
        <f t="shared" si="32"/>
        <v>0</v>
      </c>
    </row>
    <row r="89" spans="1:11" ht="12.75" customHeight="1" x14ac:dyDescent="0.2">
      <c r="A89" s="583" t="s">
        <v>1315</v>
      </c>
      <c r="B89" s="170"/>
      <c r="C89" s="758">
        <v>0</v>
      </c>
      <c r="D89" s="763">
        <v>0</v>
      </c>
      <c r="E89" s="743">
        <v>0</v>
      </c>
      <c r="F89" s="743">
        <f t="shared" si="29"/>
        <v>0</v>
      </c>
      <c r="G89" s="743">
        <f t="shared" si="31"/>
        <v>0</v>
      </c>
      <c r="H89" s="743">
        <f t="shared" si="30"/>
        <v>0</v>
      </c>
      <c r="I89" s="45">
        <f t="shared" si="1"/>
        <v>0</v>
      </c>
      <c r="J89" s="125" t="str">
        <f t="shared" si="2"/>
        <v/>
      </c>
      <c r="K89" s="745">
        <f t="shared" si="32"/>
        <v>0</v>
      </c>
    </row>
    <row r="90" spans="1:11" ht="12.75" customHeight="1" x14ac:dyDescent="0.2">
      <c r="A90" s="583" t="s">
        <v>1316</v>
      </c>
      <c r="B90" s="170"/>
      <c r="C90" s="758">
        <v>1248691.1100178929</v>
      </c>
      <c r="D90" s="763">
        <v>1249000</v>
      </c>
      <c r="E90" s="743">
        <v>1350000</v>
      </c>
      <c r="F90" s="743">
        <f t="shared" si="29"/>
        <v>104083.33333333333</v>
      </c>
      <c r="G90" s="743">
        <f t="shared" si="31"/>
        <v>1350000</v>
      </c>
      <c r="H90" s="743">
        <f t="shared" si="30"/>
        <v>1350000</v>
      </c>
      <c r="I90" s="45">
        <f t="shared" si="1"/>
        <v>0</v>
      </c>
      <c r="J90" s="125" t="str">
        <f t="shared" si="2"/>
        <v/>
      </c>
      <c r="K90" s="745">
        <f t="shared" si="32"/>
        <v>1249000</v>
      </c>
    </row>
    <row r="91" spans="1:11" ht="12.75" customHeight="1" x14ac:dyDescent="0.2">
      <c r="A91" s="583" t="s">
        <v>1317</v>
      </c>
      <c r="B91" s="170"/>
      <c r="C91" s="758">
        <v>0</v>
      </c>
      <c r="D91" s="763">
        <v>0</v>
      </c>
      <c r="E91" s="743">
        <v>0</v>
      </c>
      <c r="F91" s="743">
        <f t="shared" si="29"/>
        <v>0</v>
      </c>
      <c r="G91" s="743">
        <f t="shared" si="31"/>
        <v>0</v>
      </c>
      <c r="H91" s="743">
        <f t="shared" si="30"/>
        <v>0</v>
      </c>
      <c r="I91" s="45">
        <f t="shared" si="1"/>
        <v>0</v>
      </c>
      <c r="J91" s="125" t="str">
        <f t="shared" si="2"/>
        <v/>
      </c>
      <c r="K91" s="745">
        <f t="shared" si="32"/>
        <v>0</v>
      </c>
    </row>
    <row r="92" spans="1:11" ht="12.75" customHeight="1" x14ac:dyDescent="0.2">
      <c r="A92" s="583" t="s">
        <v>1318</v>
      </c>
      <c r="B92" s="170"/>
      <c r="C92" s="758">
        <v>0</v>
      </c>
      <c r="D92" s="763">
        <v>0</v>
      </c>
      <c r="E92" s="743">
        <v>0</v>
      </c>
      <c r="F92" s="743">
        <f t="shared" si="29"/>
        <v>0</v>
      </c>
      <c r="G92" s="743">
        <f t="shared" si="31"/>
        <v>0</v>
      </c>
      <c r="H92" s="743">
        <f t="shared" si="30"/>
        <v>0</v>
      </c>
      <c r="I92" s="45">
        <f t="shared" si="1"/>
        <v>0</v>
      </c>
      <c r="J92" s="125" t="str">
        <f t="shared" si="2"/>
        <v/>
      </c>
      <c r="K92" s="745">
        <f t="shared" si="32"/>
        <v>0</v>
      </c>
    </row>
    <row r="93" spans="1:11" ht="12.75" customHeight="1" x14ac:dyDescent="0.2">
      <c r="A93" s="583" t="s">
        <v>451</v>
      </c>
      <c r="B93" s="170"/>
      <c r="C93" s="758">
        <v>246453.20630807124</v>
      </c>
      <c r="D93" s="763">
        <v>246000</v>
      </c>
      <c r="E93" s="743">
        <v>266000</v>
      </c>
      <c r="F93" s="743">
        <f t="shared" si="29"/>
        <v>20500</v>
      </c>
      <c r="G93" s="743">
        <f t="shared" si="31"/>
        <v>266000</v>
      </c>
      <c r="H93" s="743">
        <f t="shared" si="30"/>
        <v>266000</v>
      </c>
      <c r="I93" s="45">
        <f t="shared" si="1"/>
        <v>0</v>
      </c>
      <c r="J93" s="125" t="str">
        <f t="shared" si="2"/>
        <v/>
      </c>
      <c r="K93" s="745">
        <f t="shared" si="32"/>
        <v>246000</v>
      </c>
    </row>
    <row r="94" spans="1:11" ht="12.75" customHeight="1" x14ac:dyDescent="0.2">
      <c r="A94" s="583" t="s">
        <v>1319</v>
      </c>
      <c r="B94" s="170"/>
      <c r="C94" s="758">
        <v>0</v>
      </c>
      <c r="D94" s="763">
        <v>0</v>
      </c>
      <c r="E94" s="743">
        <v>0</v>
      </c>
      <c r="F94" s="743">
        <f t="shared" si="29"/>
        <v>0</v>
      </c>
      <c r="G94" s="743">
        <f t="shared" si="31"/>
        <v>0</v>
      </c>
      <c r="H94" s="743">
        <f t="shared" si="30"/>
        <v>0</v>
      </c>
      <c r="I94" s="45">
        <f t="shared" si="1"/>
        <v>0</v>
      </c>
      <c r="J94" s="125" t="str">
        <f t="shared" si="2"/>
        <v/>
      </c>
      <c r="K94" s="745">
        <f t="shared" si="32"/>
        <v>0</v>
      </c>
    </row>
    <row r="95" spans="1:11" ht="12.75" customHeight="1" x14ac:dyDescent="0.2">
      <c r="A95" s="583" t="s">
        <v>450</v>
      </c>
      <c r="B95" s="170"/>
      <c r="C95" s="758">
        <v>0</v>
      </c>
      <c r="D95" s="763">
        <v>0</v>
      </c>
      <c r="E95" s="743">
        <v>0</v>
      </c>
      <c r="F95" s="743">
        <f t="shared" si="29"/>
        <v>0</v>
      </c>
      <c r="G95" s="743">
        <f t="shared" si="31"/>
        <v>0</v>
      </c>
      <c r="H95" s="743">
        <f t="shared" si="30"/>
        <v>0</v>
      </c>
      <c r="I95" s="45">
        <f t="shared" si="1"/>
        <v>0</v>
      </c>
      <c r="J95" s="125" t="str">
        <f t="shared" si="2"/>
        <v/>
      </c>
      <c r="K95" s="745">
        <f t="shared" si="32"/>
        <v>0</v>
      </c>
    </row>
    <row r="96" spans="1:11" ht="12.75" customHeight="1" x14ac:dyDescent="0.2">
      <c r="A96" s="583" t="s">
        <v>1320</v>
      </c>
      <c r="B96" s="170"/>
      <c r="C96" s="758">
        <v>821301.40992593137</v>
      </c>
      <c r="D96" s="763">
        <v>821000</v>
      </c>
      <c r="E96" s="743">
        <v>888000</v>
      </c>
      <c r="F96" s="743">
        <f t="shared" si="29"/>
        <v>68416.666666666672</v>
      </c>
      <c r="G96" s="743">
        <f t="shared" si="31"/>
        <v>888000</v>
      </c>
      <c r="H96" s="743">
        <f t="shared" si="30"/>
        <v>888000</v>
      </c>
      <c r="I96" s="45">
        <f t="shared" si="1"/>
        <v>0</v>
      </c>
      <c r="J96" s="125" t="str">
        <f t="shared" si="2"/>
        <v/>
      </c>
      <c r="K96" s="745">
        <f t="shared" si="32"/>
        <v>821000</v>
      </c>
    </row>
    <row r="97" spans="1:11" ht="12.75" customHeight="1" x14ac:dyDescent="0.2">
      <c r="A97" s="583" t="s">
        <v>1321</v>
      </c>
      <c r="B97" s="170"/>
      <c r="C97" s="758">
        <v>961725.86332520179</v>
      </c>
      <c r="D97" s="763">
        <v>962000</v>
      </c>
      <c r="E97" s="743">
        <v>1039000</v>
      </c>
      <c r="F97" s="743">
        <f t="shared" si="29"/>
        <v>80166.666666666672</v>
      </c>
      <c r="G97" s="743">
        <f t="shared" si="31"/>
        <v>1039000</v>
      </c>
      <c r="H97" s="743">
        <f t="shared" si="30"/>
        <v>1039000</v>
      </c>
      <c r="I97" s="45">
        <f t="shared" si="1"/>
        <v>0</v>
      </c>
      <c r="J97" s="125" t="str">
        <f t="shared" si="2"/>
        <v/>
      </c>
      <c r="K97" s="745">
        <f t="shared" si="32"/>
        <v>962000</v>
      </c>
    </row>
    <row r="98" spans="1:11" ht="12.75" customHeight="1" x14ac:dyDescent="0.2">
      <c r="A98" s="583" t="s">
        <v>1256</v>
      </c>
      <c r="B98" s="170"/>
      <c r="C98" s="758">
        <v>0</v>
      </c>
      <c r="D98" s="763">
        <v>15000000</v>
      </c>
      <c r="E98" s="743">
        <v>15049000</v>
      </c>
      <c r="F98" s="743">
        <f t="shared" si="29"/>
        <v>1250000</v>
      </c>
      <c r="G98" s="743">
        <f t="shared" si="31"/>
        <v>15049000</v>
      </c>
      <c r="H98" s="743">
        <f t="shared" si="30"/>
        <v>15049000</v>
      </c>
      <c r="I98" s="45">
        <f t="shared" si="1"/>
        <v>0</v>
      </c>
      <c r="J98" s="125" t="str">
        <f t="shared" si="2"/>
        <v/>
      </c>
      <c r="K98" s="745">
        <f t="shared" si="32"/>
        <v>15000000</v>
      </c>
    </row>
    <row r="99" spans="1:11" ht="12.75" customHeight="1" x14ac:dyDescent="0.2">
      <c r="A99" s="521" t="s">
        <v>1322</v>
      </c>
      <c r="B99" s="170"/>
      <c r="C99" s="657">
        <f t="shared" ref="C99:H99" si="33">SUM(C100:C102)</f>
        <v>24770000</v>
      </c>
      <c r="D99" s="658">
        <f t="shared" si="33"/>
        <v>24770000</v>
      </c>
      <c r="E99" s="411">
        <f t="shared" si="33"/>
        <v>26772000</v>
      </c>
      <c r="F99" s="411">
        <f t="shared" si="33"/>
        <v>2064166.6666666667</v>
      </c>
      <c r="G99" s="411">
        <f t="shared" si="33"/>
        <v>26772000</v>
      </c>
      <c r="H99" s="411">
        <f t="shared" si="33"/>
        <v>26772000</v>
      </c>
      <c r="I99" s="259">
        <f t="shared" si="1"/>
        <v>0</v>
      </c>
      <c r="J99" s="584" t="str">
        <f t="shared" si="2"/>
        <v/>
      </c>
      <c r="K99" s="651">
        <f>SUM(K100:K102)</f>
        <v>24770000</v>
      </c>
    </row>
    <row r="100" spans="1:11" ht="12.75" customHeight="1" x14ac:dyDescent="0.2">
      <c r="A100" s="583" t="s">
        <v>1323</v>
      </c>
      <c r="B100" s="170"/>
      <c r="C100" s="758">
        <v>1569000</v>
      </c>
      <c r="D100" s="763">
        <v>1569000</v>
      </c>
      <c r="E100" s="743">
        <v>1696000</v>
      </c>
      <c r="F100" s="743">
        <f t="shared" ref="F100:F101" si="34">D100/12</f>
        <v>130750</v>
      </c>
      <c r="G100" s="743">
        <f>H100</f>
        <v>1696000</v>
      </c>
      <c r="H100" s="743">
        <f>E100</f>
        <v>1696000</v>
      </c>
      <c r="I100" s="45">
        <f t="shared" si="1"/>
        <v>0</v>
      </c>
      <c r="J100" s="125" t="str">
        <f t="shared" si="2"/>
        <v/>
      </c>
      <c r="K100" s="745">
        <f>D100</f>
        <v>1569000</v>
      </c>
    </row>
    <row r="101" spans="1:11" ht="12.75" customHeight="1" x14ac:dyDescent="0.2">
      <c r="A101" s="583" t="s">
        <v>1324</v>
      </c>
      <c r="B101" s="170"/>
      <c r="C101" s="758">
        <v>23201000</v>
      </c>
      <c r="D101" s="763">
        <v>23201000</v>
      </c>
      <c r="E101" s="743">
        <v>25076000</v>
      </c>
      <c r="F101" s="743">
        <f t="shared" si="34"/>
        <v>1933416.6666666667</v>
      </c>
      <c r="G101" s="743">
        <f>H101</f>
        <v>25076000</v>
      </c>
      <c r="H101" s="743">
        <f>E101</f>
        <v>25076000</v>
      </c>
      <c r="I101" s="45">
        <f>H101-G101</f>
        <v>0</v>
      </c>
      <c r="J101" s="125" t="str">
        <f>IF(I101=0,"",I101/H101)</f>
        <v/>
      </c>
      <c r="K101" s="745">
        <f>D101</f>
        <v>23201000</v>
      </c>
    </row>
    <row r="102" spans="1:11" ht="12.75" customHeight="1" x14ac:dyDescent="0.2">
      <c r="A102" s="583" t="s">
        <v>1256</v>
      </c>
      <c r="B102" s="170"/>
      <c r="C102" s="758"/>
      <c r="D102" s="763"/>
      <c r="E102" s="743">
        <v>0</v>
      </c>
      <c r="F102" s="743">
        <v>0</v>
      </c>
      <c r="G102" s="743">
        <f>H102</f>
        <v>0</v>
      </c>
      <c r="H102" s="743">
        <f>E102</f>
        <v>0</v>
      </c>
      <c r="I102" s="45">
        <f t="shared" si="1"/>
        <v>0</v>
      </c>
      <c r="J102" s="125" t="str">
        <f t="shared" si="2"/>
        <v/>
      </c>
      <c r="K102" s="745">
        <f>D102</f>
        <v>0</v>
      </c>
    </row>
    <row r="103" spans="1:11" ht="12.75" customHeight="1" x14ac:dyDescent="0.2">
      <c r="A103" s="553" t="s">
        <v>690</v>
      </c>
      <c r="B103" s="170"/>
      <c r="C103" s="250">
        <f t="shared" ref="C103:H103" si="35">SUM(C104:C108)</f>
        <v>0</v>
      </c>
      <c r="D103" s="265">
        <f t="shared" si="35"/>
        <v>0</v>
      </c>
      <c r="E103" s="100">
        <f t="shared" si="35"/>
        <v>0</v>
      </c>
      <c r="F103" s="100">
        <f t="shared" si="35"/>
        <v>0</v>
      </c>
      <c r="G103" s="100">
        <f t="shared" si="35"/>
        <v>0</v>
      </c>
      <c r="H103" s="100">
        <f t="shared" si="35"/>
        <v>0</v>
      </c>
      <c r="I103" s="100">
        <f t="shared" si="1"/>
        <v>0</v>
      </c>
      <c r="J103" s="327" t="str">
        <f t="shared" si="2"/>
        <v/>
      </c>
      <c r="K103" s="196">
        <f>SUM(K104:K108)</f>
        <v>0</v>
      </c>
    </row>
    <row r="104" spans="1:11" ht="12.75" customHeight="1" x14ac:dyDescent="0.2">
      <c r="A104" s="521" t="s">
        <v>1326</v>
      </c>
      <c r="B104" s="170"/>
      <c r="C104" s="796"/>
      <c r="D104" s="763"/>
      <c r="E104" s="743"/>
      <c r="F104" s="743"/>
      <c r="G104" s="743"/>
      <c r="H104" s="743"/>
      <c r="I104" s="45">
        <f t="shared" si="1"/>
        <v>0</v>
      </c>
      <c r="J104" s="125" t="str">
        <f t="shared" si="2"/>
        <v/>
      </c>
      <c r="K104" s="745"/>
    </row>
    <row r="105" spans="1:11" ht="12.75" customHeight="1" x14ac:dyDescent="0.2">
      <c r="A105" s="520" t="s">
        <v>1327</v>
      </c>
      <c r="B105" s="170"/>
      <c r="C105" s="796"/>
      <c r="D105" s="763"/>
      <c r="E105" s="743"/>
      <c r="F105" s="743"/>
      <c r="G105" s="743"/>
      <c r="H105" s="743"/>
      <c r="I105" s="45">
        <f t="shared" si="1"/>
        <v>0</v>
      </c>
      <c r="J105" s="125" t="str">
        <f t="shared" si="2"/>
        <v/>
      </c>
      <c r="K105" s="745"/>
    </row>
    <row r="106" spans="1:11" ht="12.75" customHeight="1" x14ac:dyDescent="0.2">
      <c r="A106" s="521" t="s">
        <v>1328</v>
      </c>
      <c r="B106" s="170"/>
      <c r="C106" s="796"/>
      <c r="D106" s="763"/>
      <c r="E106" s="743"/>
      <c r="F106" s="743"/>
      <c r="G106" s="743"/>
      <c r="H106" s="743"/>
      <c r="I106" s="45">
        <f t="shared" si="1"/>
        <v>0</v>
      </c>
      <c r="J106" s="125" t="str">
        <f t="shared" si="2"/>
        <v/>
      </c>
      <c r="K106" s="745"/>
    </row>
    <row r="107" spans="1:11" ht="12.75" customHeight="1" x14ac:dyDescent="0.2">
      <c r="A107" s="521" t="s">
        <v>1329</v>
      </c>
      <c r="B107" s="170"/>
      <c r="C107" s="796"/>
      <c r="D107" s="763"/>
      <c r="E107" s="743"/>
      <c r="F107" s="743"/>
      <c r="G107" s="743"/>
      <c r="H107" s="743"/>
      <c r="I107" s="45">
        <f t="shared" si="1"/>
        <v>0</v>
      </c>
      <c r="J107" s="125" t="str">
        <f t="shared" si="2"/>
        <v/>
      </c>
      <c r="K107" s="745"/>
    </row>
    <row r="108" spans="1:11" ht="12.75" customHeight="1" x14ac:dyDescent="0.2">
      <c r="A108" s="520" t="s">
        <v>1330</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36">+C111+C114</f>
        <v>0</v>
      </c>
      <c r="D110" s="586">
        <f t="shared" si="36"/>
        <v>0</v>
      </c>
      <c r="E110" s="587">
        <f t="shared" si="36"/>
        <v>0</v>
      </c>
      <c r="F110" s="587">
        <f t="shared" si="36"/>
        <v>0</v>
      </c>
      <c r="G110" s="587">
        <f t="shared" si="36"/>
        <v>0</v>
      </c>
      <c r="H110" s="587">
        <f t="shared" si="36"/>
        <v>0</v>
      </c>
      <c r="I110" s="100">
        <f t="shared" si="1"/>
        <v>0</v>
      </c>
      <c r="J110" s="327" t="str">
        <f t="shared" si="2"/>
        <v/>
      </c>
      <c r="K110" s="589">
        <f>+K111+K114</f>
        <v>0</v>
      </c>
    </row>
    <row r="111" spans="1:11" ht="12.75" customHeight="1" x14ac:dyDescent="0.2">
      <c r="A111" s="521" t="s">
        <v>1331</v>
      </c>
      <c r="B111" s="170"/>
      <c r="C111" s="657">
        <f t="shared" ref="C111:H111" si="37">SUM(C112:C113)</f>
        <v>0</v>
      </c>
      <c r="D111" s="658">
        <f t="shared" si="37"/>
        <v>0</v>
      </c>
      <c r="E111" s="411">
        <f t="shared" si="37"/>
        <v>0</v>
      </c>
      <c r="F111" s="411">
        <f t="shared" si="37"/>
        <v>0</v>
      </c>
      <c r="G111" s="411">
        <f t="shared" si="37"/>
        <v>0</v>
      </c>
      <c r="H111" s="411">
        <f t="shared" si="37"/>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38">SUM(C115:C116)</f>
        <v>0</v>
      </c>
      <c r="D114" s="658">
        <f t="shared" si="38"/>
        <v>0</v>
      </c>
      <c r="E114" s="411">
        <f t="shared" si="38"/>
        <v>0</v>
      </c>
      <c r="F114" s="411">
        <f t="shared" si="38"/>
        <v>0</v>
      </c>
      <c r="G114" s="411">
        <f t="shared" si="38"/>
        <v>0</v>
      </c>
      <c r="H114" s="411">
        <f t="shared" si="38"/>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51" t="s">
        <v>692</v>
      </c>
      <c r="B117" s="170"/>
      <c r="C117" s="585">
        <f t="shared" ref="C117:H117" si="39">+C118+C130</f>
        <v>6409506.2927598981</v>
      </c>
      <c r="D117" s="586">
        <f t="shared" si="39"/>
        <v>11410000</v>
      </c>
      <c r="E117" s="587">
        <f t="shared" si="39"/>
        <v>6928000</v>
      </c>
      <c r="F117" s="587">
        <f t="shared" si="39"/>
        <v>950833.33333333326</v>
      </c>
      <c r="G117" s="587">
        <f t="shared" si="39"/>
        <v>6928000</v>
      </c>
      <c r="H117" s="587">
        <f t="shared" si="39"/>
        <v>6928000</v>
      </c>
      <c r="I117" s="587">
        <f t="shared" si="1"/>
        <v>0</v>
      </c>
      <c r="J117" s="588" t="str">
        <f t="shared" si="2"/>
        <v/>
      </c>
      <c r="K117" s="589">
        <f>+K118+K130</f>
        <v>11410000</v>
      </c>
    </row>
    <row r="118" spans="1:11" ht="12.75" customHeight="1" x14ac:dyDescent="0.2">
      <c r="A118" s="521" t="s">
        <v>1335</v>
      </c>
      <c r="B118" s="170"/>
      <c r="C118" s="657">
        <f t="shared" ref="C118:H118" si="40">SUM(C119:C129)</f>
        <v>6200263.2724808287</v>
      </c>
      <c r="D118" s="658">
        <f t="shared" si="40"/>
        <v>11201000</v>
      </c>
      <c r="E118" s="411">
        <f t="shared" si="40"/>
        <v>6701000</v>
      </c>
      <c r="F118" s="411">
        <f t="shared" si="40"/>
        <v>933416.66666666663</v>
      </c>
      <c r="G118" s="411">
        <f t="shared" si="40"/>
        <v>6701000</v>
      </c>
      <c r="H118" s="411">
        <f t="shared" si="40"/>
        <v>6701000</v>
      </c>
      <c r="I118" s="259">
        <f t="shared" si="1"/>
        <v>0</v>
      </c>
      <c r="J118" s="584" t="str">
        <f t="shared" si="2"/>
        <v/>
      </c>
      <c r="K118" s="651">
        <f>SUM(K119:K129)</f>
        <v>11201000</v>
      </c>
    </row>
    <row r="119" spans="1:11" ht="12.75" customHeight="1" x14ac:dyDescent="0.2">
      <c r="A119" s="583" t="s">
        <v>1336</v>
      </c>
      <c r="B119" s="170"/>
      <c r="C119" s="758">
        <v>4528374.4485785291</v>
      </c>
      <c r="D119" s="763">
        <v>9528000</v>
      </c>
      <c r="E119" s="743">
        <v>4894000</v>
      </c>
      <c r="F119" s="743">
        <f t="shared" ref="F119:F129" si="41">D119/12</f>
        <v>794000</v>
      </c>
      <c r="G119" s="743">
        <f>H119</f>
        <v>4894000</v>
      </c>
      <c r="H119" s="743">
        <f t="shared" ref="H119:H129" si="42">E119</f>
        <v>4894000</v>
      </c>
      <c r="I119" s="45">
        <f t="shared" si="1"/>
        <v>0</v>
      </c>
      <c r="J119" s="125" t="str">
        <f t="shared" si="2"/>
        <v/>
      </c>
      <c r="K119" s="745">
        <f>D119</f>
        <v>9528000</v>
      </c>
    </row>
    <row r="120" spans="1:11" ht="12.75" customHeight="1" x14ac:dyDescent="0.2">
      <c r="A120" s="583" t="s">
        <v>1337</v>
      </c>
      <c r="B120" s="170"/>
      <c r="C120" s="758">
        <v>330565.5555232754</v>
      </c>
      <c r="D120" s="763">
        <v>331000</v>
      </c>
      <c r="E120" s="743">
        <v>357000</v>
      </c>
      <c r="F120" s="743">
        <f t="shared" si="41"/>
        <v>27583.333333333332</v>
      </c>
      <c r="G120" s="743">
        <f t="shared" ref="G120:G129" si="43">H120</f>
        <v>357000</v>
      </c>
      <c r="H120" s="743">
        <f t="shared" si="42"/>
        <v>357000</v>
      </c>
      <c r="I120" s="45">
        <f t="shared" si="1"/>
        <v>0</v>
      </c>
      <c r="J120" s="125" t="str">
        <f t="shared" si="2"/>
        <v/>
      </c>
      <c r="K120" s="745">
        <f t="shared" ref="K120:K129" si="44">D120</f>
        <v>331000</v>
      </c>
    </row>
    <row r="121" spans="1:11" ht="12.75" customHeight="1" x14ac:dyDescent="0.2">
      <c r="A121" s="583" t="s">
        <v>1338</v>
      </c>
      <c r="B121" s="170"/>
      <c r="C121" s="758">
        <v>0</v>
      </c>
      <c r="D121" s="763">
        <v>0</v>
      </c>
      <c r="E121" s="743">
        <v>0</v>
      </c>
      <c r="F121" s="743">
        <f t="shared" si="41"/>
        <v>0</v>
      </c>
      <c r="G121" s="743">
        <f t="shared" si="43"/>
        <v>0</v>
      </c>
      <c r="H121" s="743">
        <f t="shared" si="42"/>
        <v>0</v>
      </c>
      <c r="I121" s="45">
        <f t="shared" si="1"/>
        <v>0</v>
      </c>
      <c r="J121" s="125" t="str">
        <f t="shared" si="2"/>
        <v/>
      </c>
      <c r="K121" s="745">
        <f t="shared" si="44"/>
        <v>0</v>
      </c>
    </row>
    <row r="122" spans="1:11" ht="12.75" customHeight="1" x14ac:dyDescent="0.2">
      <c r="A122" s="583" t="s">
        <v>1339</v>
      </c>
      <c r="B122" s="170"/>
      <c r="C122" s="758">
        <v>373628.73360190185</v>
      </c>
      <c r="D122" s="763">
        <v>374000</v>
      </c>
      <c r="E122" s="743">
        <v>404000</v>
      </c>
      <c r="F122" s="743">
        <f t="shared" si="41"/>
        <v>31166.666666666668</v>
      </c>
      <c r="G122" s="743">
        <f t="shared" si="43"/>
        <v>404000</v>
      </c>
      <c r="H122" s="743">
        <f t="shared" si="42"/>
        <v>404000</v>
      </c>
      <c r="I122" s="45">
        <f t="shared" si="1"/>
        <v>0</v>
      </c>
      <c r="J122" s="125" t="str">
        <f t="shared" si="2"/>
        <v/>
      </c>
      <c r="K122" s="745">
        <f t="shared" si="44"/>
        <v>374000</v>
      </c>
    </row>
    <row r="123" spans="1:11" ht="12.75" customHeight="1" x14ac:dyDescent="0.2">
      <c r="A123" s="583" t="s">
        <v>1340</v>
      </c>
      <c r="B123" s="170"/>
      <c r="C123" s="758">
        <v>967694.53477712267</v>
      </c>
      <c r="D123" s="763">
        <v>968000</v>
      </c>
      <c r="E123" s="743">
        <v>1046000</v>
      </c>
      <c r="F123" s="743">
        <f t="shared" si="41"/>
        <v>80666.666666666672</v>
      </c>
      <c r="G123" s="743">
        <f t="shared" si="43"/>
        <v>1046000</v>
      </c>
      <c r="H123" s="743">
        <f t="shared" si="42"/>
        <v>1046000</v>
      </c>
      <c r="I123" s="45">
        <f t="shared" si="1"/>
        <v>0</v>
      </c>
      <c r="J123" s="125" t="str">
        <f t="shared" si="2"/>
        <v/>
      </c>
      <c r="K123" s="745">
        <f t="shared" si="44"/>
        <v>968000</v>
      </c>
    </row>
    <row r="124" spans="1:11" ht="12.75" customHeight="1" x14ac:dyDescent="0.2">
      <c r="A124" s="583" t="s">
        <v>1341</v>
      </c>
      <c r="B124" s="170"/>
      <c r="C124" s="758">
        <v>0</v>
      </c>
      <c r="D124" s="743">
        <v>0</v>
      </c>
      <c r="E124" s="743">
        <v>0</v>
      </c>
      <c r="F124" s="743">
        <f t="shared" si="41"/>
        <v>0</v>
      </c>
      <c r="G124" s="743">
        <f t="shared" si="43"/>
        <v>0</v>
      </c>
      <c r="H124" s="743">
        <f t="shared" si="42"/>
        <v>0</v>
      </c>
      <c r="I124" s="45">
        <f t="shared" si="1"/>
        <v>0</v>
      </c>
      <c r="J124" s="125" t="str">
        <f t="shared" si="2"/>
        <v/>
      </c>
      <c r="K124" s="745">
        <f t="shared" si="44"/>
        <v>0</v>
      </c>
    </row>
    <row r="125" spans="1:11" ht="12.75" customHeight="1" x14ac:dyDescent="0.2">
      <c r="A125" s="583" t="s">
        <v>1342</v>
      </c>
      <c r="B125" s="170"/>
      <c r="C125" s="758">
        <v>0</v>
      </c>
      <c r="D125" s="743">
        <v>0</v>
      </c>
      <c r="E125" s="743">
        <v>0</v>
      </c>
      <c r="F125" s="743">
        <f t="shared" si="41"/>
        <v>0</v>
      </c>
      <c r="G125" s="743">
        <f t="shared" si="43"/>
        <v>0</v>
      </c>
      <c r="H125" s="743">
        <f t="shared" si="42"/>
        <v>0</v>
      </c>
      <c r="I125" s="45">
        <f t="shared" si="1"/>
        <v>0</v>
      </c>
      <c r="J125" s="125" t="str">
        <f t="shared" si="2"/>
        <v/>
      </c>
      <c r="K125" s="745">
        <f t="shared" si="44"/>
        <v>0</v>
      </c>
    </row>
    <row r="126" spans="1:11" ht="12.75" customHeight="1" x14ac:dyDescent="0.2">
      <c r="A126" s="583" t="s">
        <v>1343</v>
      </c>
      <c r="B126" s="170"/>
      <c r="C126" s="758">
        <v>0</v>
      </c>
      <c r="D126" s="743">
        <v>0</v>
      </c>
      <c r="E126" s="743">
        <v>0</v>
      </c>
      <c r="F126" s="743">
        <f t="shared" si="41"/>
        <v>0</v>
      </c>
      <c r="G126" s="743">
        <f t="shared" si="43"/>
        <v>0</v>
      </c>
      <c r="H126" s="743">
        <f t="shared" si="42"/>
        <v>0</v>
      </c>
      <c r="I126" s="45">
        <f t="shared" si="1"/>
        <v>0</v>
      </c>
      <c r="J126" s="125" t="str">
        <f t="shared" si="2"/>
        <v/>
      </c>
      <c r="K126" s="745">
        <f t="shared" si="44"/>
        <v>0</v>
      </c>
    </row>
    <row r="127" spans="1:11" ht="12.75" customHeight="1" x14ac:dyDescent="0.2">
      <c r="A127" s="583" t="s">
        <v>1344</v>
      </c>
      <c r="B127" s="170"/>
      <c r="C127" s="758">
        <v>0</v>
      </c>
      <c r="D127" s="743">
        <v>0</v>
      </c>
      <c r="E127" s="743">
        <v>0</v>
      </c>
      <c r="F127" s="743">
        <f t="shared" si="41"/>
        <v>0</v>
      </c>
      <c r="G127" s="743">
        <f t="shared" si="43"/>
        <v>0</v>
      </c>
      <c r="H127" s="743">
        <f t="shared" si="42"/>
        <v>0</v>
      </c>
      <c r="I127" s="45">
        <f t="shared" si="1"/>
        <v>0</v>
      </c>
      <c r="J127" s="125" t="str">
        <f t="shared" si="2"/>
        <v/>
      </c>
      <c r="K127" s="745">
        <f t="shared" si="44"/>
        <v>0</v>
      </c>
    </row>
    <row r="128" spans="1:11" ht="12.75" customHeight="1" x14ac:dyDescent="0.2">
      <c r="A128" s="583" t="s">
        <v>1345</v>
      </c>
      <c r="B128" s="170"/>
      <c r="C128" s="758">
        <v>0</v>
      </c>
      <c r="D128" s="743">
        <v>0</v>
      </c>
      <c r="E128" s="743">
        <v>0</v>
      </c>
      <c r="F128" s="743">
        <f t="shared" si="41"/>
        <v>0</v>
      </c>
      <c r="G128" s="743">
        <f t="shared" si="43"/>
        <v>0</v>
      </c>
      <c r="H128" s="743">
        <f t="shared" si="42"/>
        <v>0</v>
      </c>
      <c r="I128" s="45">
        <f t="shared" si="1"/>
        <v>0</v>
      </c>
      <c r="J128" s="125" t="str">
        <f t="shared" si="2"/>
        <v/>
      </c>
      <c r="K128" s="745">
        <f t="shared" si="44"/>
        <v>0</v>
      </c>
    </row>
    <row r="129" spans="1:11" ht="12.75" customHeight="1" x14ac:dyDescent="0.2">
      <c r="A129" s="583" t="s">
        <v>1256</v>
      </c>
      <c r="B129" s="170"/>
      <c r="C129" s="758">
        <v>0</v>
      </c>
      <c r="D129" s="743">
        <v>0</v>
      </c>
      <c r="E129" s="743">
        <v>0</v>
      </c>
      <c r="F129" s="743">
        <f t="shared" si="41"/>
        <v>0</v>
      </c>
      <c r="G129" s="743">
        <f t="shared" si="43"/>
        <v>0</v>
      </c>
      <c r="H129" s="743">
        <f t="shared" si="42"/>
        <v>0</v>
      </c>
      <c r="I129" s="45">
        <f t="shared" si="1"/>
        <v>0</v>
      </c>
      <c r="J129" s="125" t="str">
        <f t="shared" si="2"/>
        <v/>
      </c>
      <c r="K129" s="745">
        <f t="shared" si="44"/>
        <v>0</v>
      </c>
    </row>
    <row r="130" spans="1:11" ht="12.75" customHeight="1" x14ac:dyDescent="0.2">
      <c r="A130" s="521" t="s">
        <v>733</v>
      </c>
      <c r="B130" s="170"/>
      <c r="C130" s="657">
        <f t="shared" ref="C130:H130" si="45">SUM(C131:C133)</f>
        <v>209243.02027906966</v>
      </c>
      <c r="D130" s="658">
        <f t="shared" si="45"/>
        <v>209000</v>
      </c>
      <c r="E130" s="411">
        <f t="shared" si="45"/>
        <v>227000</v>
      </c>
      <c r="F130" s="411">
        <f t="shared" si="45"/>
        <v>17416.666666666668</v>
      </c>
      <c r="G130" s="411">
        <f t="shared" si="45"/>
        <v>227000</v>
      </c>
      <c r="H130" s="411">
        <f t="shared" si="45"/>
        <v>227000</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v>143000</v>
      </c>
      <c r="F131" s="743">
        <f t="shared" ref="F131:F132" si="46">D131/12</f>
        <v>11000</v>
      </c>
      <c r="G131" s="743">
        <f>H131</f>
        <v>143000</v>
      </c>
      <c r="H131" s="743">
        <f>E131</f>
        <v>143000</v>
      </c>
      <c r="I131" s="45">
        <f t="shared" si="1"/>
        <v>0</v>
      </c>
      <c r="J131" s="125" t="str">
        <f t="shared" si="2"/>
        <v/>
      </c>
      <c r="K131" s="745">
        <f>D131</f>
        <v>132000</v>
      </c>
    </row>
    <row r="132" spans="1:11" ht="12.75" customHeight="1" x14ac:dyDescent="0.2">
      <c r="A132" s="583" t="s">
        <v>1347</v>
      </c>
      <c r="B132" s="170"/>
      <c r="C132" s="758">
        <v>77319.988026525229</v>
      </c>
      <c r="D132" s="763">
        <v>77000</v>
      </c>
      <c r="E132" s="743">
        <v>84000</v>
      </c>
      <c r="F132" s="743">
        <f t="shared" si="46"/>
        <v>6416.666666666667</v>
      </c>
      <c r="G132" s="743">
        <f>H132</f>
        <v>84000</v>
      </c>
      <c r="H132" s="743">
        <f>E132</f>
        <v>84000</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E133</f>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47">SUM(C136:C136)</f>
        <v>0</v>
      </c>
      <c r="D135" s="586">
        <f t="shared" si="47"/>
        <v>0</v>
      </c>
      <c r="E135" s="587">
        <f t="shared" si="47"/>
        <v>0</v>
      </c>
      <c r="F135" s="587">
        <f t="shared" si="47"/>
        <v>0</v>
      </c>
      <c r="G135" s="587">
        <f t="shared" si="47"/>
        <v>0</v>
      </c>
      <c r="H135" s="587">
        <f t="shared" si="47"/>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8">IF(I137=0,"",I137/H137)</f>
        <v/>
      </c>
      <c r="K137" s="145"/>
    </row>
    <row r="138" spans="1:11" s="101" customFormat="1" ht="12.75" customHeight="1" x14ac:dyDescent="0.2">
      <c r="A138" s="553" t="s">
        <v>1349</v>
      </c>
      <c r="B138" s="172"/>
      <c r="C138" s="952">
        <f t="shared" ref="C138:H138" si="49">SUM(C139:C140)</f>
        <v>0</v>
      </c>
      <c r="D138" s="953">
        <f t="shared" si="49"/>
        <v>0</v>
      </c>
      <c r="E138" s="954">
        <f t="shared" si="49"/>
        <v>0</v>
      </c>
      <c r="F138" s="954">
        <f t="shared" si="49"/>
        <v>0</v>
      </c>
      <c r="G138" s="954">
        <f t="shared" si="49"/>
        <v>0</v>
      </c>
      <c r="H138" s="954">
        <f t="shared" si="49"/>
        <v>0</v>
      </c>
      <c r="I138" s="954">
        <f t="shared" ref="I138:I146" si="50">H138-G138</f>
        <v>0</v>
      </c>
      <c r="J138" s="327" t="str">
        <f t="shared" si="48"/>
        <v/>
      </c>
      <c r="K138" s="955">
        <f>SUM(K139:K140)</f>
        <v>0</v>
      </c>
    </row>
    <row r="139" spans="1:11" ht="12.75" customHeight="1" x14ac:dyDescent="0.2">
      <c r="A139" s="520" t="s">
        <v>1350</v>
      </c>
      <c r="B139" s="170"/>
      <c r="C139" s="758"/>
      <c r="D139" s="763"/>
      <c r="E139" s="743"/>
      <c r="F139" s="743"/>
      <c r="G139" s="743"/>
      <c r="H139" s="743"/>
      <c r="I139" s="45">
        <f t="shared" si="50"/>
        <v>0</v>
      </c>
      <c r="J139" s="125" t="str">
        <f t="shared" si="48"/>
        <v/>
      </c>
      <c r="K139" s="745"/>
    </row>
    <row r="140" spans="1:11" ht="12.75" customHeight="1" x14ac:dyDescent="0.2">
      <c r="A140" s="520" t="s">
        <v>1351</v>
      </c>
      <c r="B140" s="170"/>
      <c r="C140" s="657">
        <f t="shared" ref="C140:H140" si="51">SUM(C141:C146)</f>
        <v>0</v>
      </c>
      <c r="D140" s="658">
        <f t="shared" si="51"/>
        <v>0</v>
      </c>
      <c r="E140" s="411">
        <f t="shared" si="51"/>
        <v>0</v>
      </c>
      <c r="F140" s="411">
        <f t="shared" si="51"/>
        <v>0</v>
      </c>
      <c r="G140" s="411">
        <f t="shared" si="51"/>
        <v>0</v>
      </c>
      <c r="H140" s="411">
        <f t="shared" si="51"/>
        <v>0</v>
      </c>
      <c r="I140" s="259">
        <f t="shared" si="50"/>
        <v>0</v>
      </c>
      <c r="J140" s="584" t="str">
        <f t="shared" si="48"/>
        <v/>
      </c>
      <c r="K140" s="651">
        <f>SUM(K141:K146)</f>
        <v>0</v>
      </c>
    </row>
    <row r="141" spans="1:11" ht="12.75" customHeight="1" x14ac:dyDescent="0.2">
      <c r="A141" s="583" t="s">
        <v>1352</v>
      </c>
      <c r="B141" s="170"/>
      <c r="C141" s="758"/>
      <c r="D141" s="763"/>
      <c r="E141" s="743"/>
      <c r="F141" s="743"/>
      <c r="G141" s="743"/>
      <c r="H141" s="743"/>
      <c r="I141" s="45">
        <f t="shared" si="50"/>
        <v>0</v>
      </c>
      <c r="J141" s="125" t="str">
        <f t="shared" si="48"/>
        <v/>
      </c>
      <c r="K141" s="745"/>
    </row>
    <row r="142" spans="1:11" ht="12.75" customHeight="1" x14ac:dyDescent="0.2">
      <c r="A142" s="583" t="s">
        <v>1353</v>
      </c>
      <c r="B142" s="170"/>
      <c r="C142" s="758"/>
      <c r="D142" s="763"/>
      <c r="E142" s="743"/>
      <c r="F142" s="743"/>
      <c r="G142" s="743"/>
      <c r="H142" s="743"/>
      <c r="I142" s="45">
        <f t="shared" si="50"/>
        <v>0</v>
      </c>
      <c r="J142" s="125" t="str">
        <f t="shared" si="48"/>
        <v/>
      </c>
      <c r="K142" s="745"/>
    </row>
    <row r="143" spans="1:11" ht="12.75" customHeight="1" x14ac:dyDescent="0.2">
      <c r="A143" s="583" t="s">
        <v>1354</v>
      </c>
      <c r="B143" s="170"/>
      <c r="C143" s="758"/>
      <c r="D143" s="763"/>
      <c r="E143" s="743"/>
      <c r="F143" s="743"/>
      <c r="G143" s="743"/>
      <c r="H143" s="743"/>
      <c r="I143" s="45">
        <f t="shared" si="50"/>
        <v>0</v>
      </c>
      <c r="J143" s="125" t="str">
        <f t="shared" si="48"/>
        <v/>
      </c>
      <c r="K143" s="745"/>
    </row>
    <row r="144" spans="1:11" ht="12.75" customHeight="1" x14ac:dyDescent="0.2">
      <c r="A144" s="583" t="s">
        <v>1355</v>
      </c>
      <c r="B144" s="170"/>
      <c r="C144" s="758"/>
      <c r="D144" s="763"/>
      <c r="E144" s="743"/>
      <c r="F144" s="743"/>
      <c r="G144" s="743"/>
      <c r="H144" s="743"/>
      <c r="I144" s="45">
        <f t="shared" si="50"/>
        <v>0</v>
      </c>
      <c r="J144" s="125" t="str">
        <f t="shared" si="48"/>
        <v/>
      </c>
      <c r="K144" s="745"/>
    </row>
    <row r="145" spans="1:12" ht="12.75" customHeight="1" x14ac:dyDescent="0.2">
      <c r="A145" s="583" t="s">
        <v>1356</v>
      </c>
      <c r="B145" s="170"/>
      <c r="C145" s="758"/>
      <c r="D145" s="763"/>
      <c r="E145" s="743"/>
      <c r="F145" s="743"/>
      <c r="G145" s="743"/>
      <c r="H145" s="743"/>
      <c r="I145" s="45">
        <f t="shared" si="50"/>
        <v>0</v>
      </c>
      <c r="J145" s="125" t="str">
        <f t="shared" si="48"/>
        <v/>
      </c>
      <c r="K145" s="745"/>
    </row>
    <row r="146" spans="1:12" ht="12.75" customHeight="1" x14ac:dyDescent="0.2">
      <c r="A146" s="583" t="s">
        <v>1357</v>
      </c>
      <c r="B146" s="170"/>
      <c r="C146" s="758"/>
      <c r="D146" s="763"/>
      <c r="E146" s="743"/>
      <c r="F146" s="743"/>
      <c r="G146" s="743"/>
      <c r="H146" s="743"/>
      <c r="I146" s="45">
        <f t="shared" si="50"/>
        <v>0</v>
      </c>
      <c r="J146" s="125" t="str">
        <f t="shared" si="48"/>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2">SUM(C149:C149)</f>
        <v>1895609.0353719697</v>
      </c>
      <c r="D148" s="586">
        <f t="shared" si="52"/>
        <v>1896000</v>
      </c>
      <c r="E148" s="587">
        <f t="shared" si="52"/>
        <v>2049000</v>
      </c>
      <c r="F148" s="587">
        <f t="shared" si="52"/>
        <v>158000</v>
      </c>
      <c r="G148" s="587">
        <f t="shared" si="52"/>
        <v>2049000</v>
      </c>
      <c r="H148" s="587">
        <f t="shared" si="52"/>
        <v>2049000</v>
      </c>
      <c r="I148" s="587">
        <f>H148-G148</f>
        <v>0</v>
      </c>
      <c r="J148" s="327" t="str">
        <f>IF(I148=0,"",I148/H148)</f>
        <v/>
      </c>
      <c r="K148" s="589">
        <f>SUM(K149)</f>
        <v>1896000</v>
      </c>
    </row>
    <row r="149" spans="1:12" ht="12.75" customHeight="1" x14ac:dyDescent="0.2">
      <c r="A149" s="521" t="s">
        <v>1358</v>
      </c>
      <c r="B149" s="170"/>
      <c r="C149" s="758">
        <v>1895609.0353719697</v>
      </c>
      <c r="D149" s="763">
        <v>1896000</v>
      </c>
      <c r="E149" s="743">
        <v>2049000</v>
      </c>
      <c r="F149" s="743">
        <f t="shared" ref="F149" si="53">D149/12</f>
        <v>158000</v>
      </c>
      <c r="G149" s="743">
        <f>H149</f>
        <v>2049000</v>
      </c>
      <c r="H149" s="743">
        <f>E149</f>
        <v>2049000</v>
      </c>
      <c r="I149" s="45">
        <f>H149-G149</f>
        <v>0</v>
      </c>
      <c r="J149" s="125" t="str">
        <f>IF(I149=0,"",I149/H149)</f>
        <v/>
      </c>
      <c r="K149" s="745">
        <f>D149</f>
        <v>1896000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4">SUM(C152:C152)</f>
        <v>5728879.2470829552</v>
      </c>
      <c r="D151" s="586">
        <f t="shared" si="54"/>
        <v>5729000</v>
      </c>
      <c r="E151" s="587">
        <f t="shared" si="54"/>
        <v>6192000</v>
      </c>
      <c r="F151" s="587">
        <f t="shared" si="54"/>
        <v>477416.66666666669</v>
      </c>
      <c r="G151" s="587">
        <f t="shared" si="54"/>
        <v>6192000</v>
      </c>
      <c r="H151" s="587">
        <f t="shared" si="54"/>
        <v>6192000</v>
      </c>
      <c r="I151" s="587">
        <f>H151-G151</f>
        <v>0</v>
      </c>
      <c r="J151" s="327" t="str">
        <f>IF(I151=0,"",I151/H151)</f>
        <v/>
      </c>
      <c r="K151" s="589">
        <f>SUM(K152)</f>
        <v>5729000</v>
      </c>
    </row>
    <row r="152" spans="1:12" ht="12.75" customHeight="1" x14ac:dyDescent="0.2">
      <c r="A152" s="521" t="s">
        <v>1359</v>
      </c>
      <c r="B152" s="170"/>
      <c r="C152" s="758">
        <v>5728879.2470829552</v>
      </c>
      <c r="D152" s="763">
        <v>5729000</v>
      </c>
      <c r="E152" s="743">
        <v>6192000</v>
      </c>
      <c r="F152" s="743">
        <f t="shared" ref="F152" si="55">D152/12</f>
        <v>477416.66666666669</v>
      </c>
      <c r="G152" s="743">
        <f>H152</f>
        <v>6192000</v>
      </c>
      <c r="H152" s="743">
        <f>E152</f>
        <v>6192000</v>
      </c>
      <c r="I152" s="45">
        <f>H152-G152</f>
        <v>0</v>
      </c>
      <c r="J152" s="125" t="str">
        <f>IF(I152=0,"",I152/H152)</f>
        <v/>
      </c>
      <c r="K152" s="745">
        <f>D152</f>
        <v>5729000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6">SUM(C155:C155)</f>
        <v>2883898.297753829</v>
      </c>
      <c r="D154" s="586">
        <f t="shared" si="56"/>
        <v>2884000</v>
      </c>
      <c r="E154" s="587">
        <f t="shared" si="56"/>
        <v>3117000</v>
      </c>
      <c r="F154" s="587">
        <f t="shared" si="56"/>
        <v>240333.33333333334</v>
      </c>
      <c r="G154" s="587">
        <f t="shared" si="56"/>
        <v>3117000</v>
      </c>
      <c r="H154" s="587">
        <f t="shared" si="56"/>
        <v>3117000</v>
      </c>
      <c r="I154" s="587">
        <f>H154-G154</f>
        <v>0</v>
      </c>
      <c r="J154" s="327" t="str">
        <f>IF(I154=0,"",I154/H154)</f>
        <v/>
      </c>
      <c r="K154" s="589">
        <f>SUM(K155)</f>
        <v>2884000</v>
      </c>
    </row>
    <row r="155" spans="1:12" ht="12.75" customHeight="1" x14ac:dyDescent="0.2">
      <c r="A155" s="521" t="s">
        <v>1360</v>
      </c>
      <c r="B155" s="170"/>
      <c r="C155" s="758">
        <v>2883898.297753829</v>
      </c>
      <c r="D155" s="763">
        <v>2884000</v>
      </c>
      <c r="E155" s="743">
        <v>3117000</v>
      </c>
      <c r="F155" s="743">
        <f t="shared" ref="F155" si="57">D155/12</f>
        <v>240333.33333333334</v>
      </c>
      <c r="G155" s="743">
        <f>H155</f>
        <v>3117000</v>
      </c>
      <c r="H155" s="743">
        <f>E155</f>
        <v>3117000</v>
      </c>
      <c r="I155" s="45">
        <f>H155-G155</f>
        <v>0</v>
      </c>
      <c r="J155" s="125" t="str">
        <f>IF(I155=0,"",I155/H155)</f>
        <v/>
      </c>
      <c r="K155" s="745">
        <f>D155</f>
        <v>2884000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8">SUM(C158:C158)</f>
        <v>19789208.987791453</v>
      </c>
      <c r="D157" s="586">
        <f t="shared" si="58"/>
        <v>19789000</v>
      </c>
      <c r="E157" s="587">
        <f t="shared" si="58"/>
        <v>21388000</v>
      </c>
      <c r="F157" s="587">
        <f t="shared" si="58"/>
        <v>1649083.3333333333</v>
      </c>
      <c r="G157" s="587">
        <f t="shared" si="58"/>
        <v>21388000</v>
      </c>
      <c r="H157" s="587">
        <f t="shared" si="58"/>
        <v>21388000</v>
      </c>
      <c r="I157" s="587">
        <f>H157-G157</f>
        <v>0</v>
      </c>
      <c r="J157" s="327" t="str">
        <f>IF(I157=0,"",I157/H157)</f>
        <v/>
      </c>
      <c r="K157" s="589">
        <f>SUM(K158)</f>
        <v>19789000</v>
      </c>
    </row>
    <row r="158" spans="1:12" ht="12.75" customHeight="1" x14ac:dyDescent="0.2">
      <c r="A158" s="521" t="s">
        <v>1361</v>
      </c>
      <c r="B158" s="170"/>
      <c r="C158" s="758">
        <v>19789208.987791453</v>
      </c>
      <c r="D158" s="763">
        <v>19789000</v>
      </c>
      <c r="E158" s="743">
        <v>21388000</v>
      </c>
      <c r="F158" s="743">
        <f t="shared" ref="F158" si="59">D158/12</f>
        <v>1649083.3333333333</v>
      </c>
      <c r="G158" s="743">
        <f>H158</f>
        <v>21388000</v>
      </c>
      <c r="H158" s="743">
        <f>E158</f>
        <v>21388000</v>
      </c>
      <c r="I158" s="45">
        <f>H158-G158</f>
        <v>0</v>
      </c>
      <c r="J158" s="125" t="str">
        <f>IF(I158=0,"",I158/H158)</f>
        <v/>
      </c>
      <c r="K158" s="745">
        <f>D158</f>
        <v>19789000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60">SUM(C161:C161)</f>
        <v>0</v>
      </c>
      <c r="D160" s="586">
        <f t="shared" si="60"/>
        <v>0</v>
      </c>
      <c r="E160" s="587">
        <f t="shared" si="60"/>
        <v>0</v>
      </c>
      <c r="F160" s="587">
        <f t="shared" si="60"/>
        <v>0</v>
      </c>
      <c r="G160" s="587">
        <f t="shared" si="60"/>
        <v>0</v>
      </c>
      <c r="H160" s="587">
        <f t="shared" si="60"/>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61">SUM(C164:C164)</f>
        <v>0</v>
      </c>
      <c r="D163" s="586">
        <f t="shared" si="61"/>
        <v>0</v>
      </c>
      <c r="E163" s="587">
        <f t="shared" si="61"/>
        <v>0</v>
      </c>
      <c r="F163" s="587">
        <f t="shared" si="61"/>
        <v>0</v>
      </c>
      <c r="G163" s="587">
        <f t="shared" si="61"/>
        <v>0</v>
      </c>
      <c r="H163" s="587">
        <f t="shared" si="61"/>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62">C7+C75+C103+C110+C117+C135+C138+C148+C151+C154+C157+C160+C163</f>
        <v>184999607.03534093</v>
      </c>
      <c r="D166" s="272">
        <f t="shared" si="62"/>
        <v>190000000</v>
      </c>
      <c r="E166" s="56">
        <f t="shared" si="62"/>
        <v>190000000</v>
      </c>
      <c r="F166" s="56">
        <f t="shared" si="62"/>
        <v>15833333.333333334</v>
      </c>
      <c r="G166" s="56">
        <f t="shared" si="62"/>
        <v>190000000</v>
      </c>
      <c r="H166" s="56">
        <f t="shared" si="62"/>
        <v>190000000</v>
      </c>
      <c r="I166" s="56">
        <f t="shared" si="1"/>
        <v>0</v>
      </c>
      <c r="J166" s="293" t="str">
        <f t="shared" si="2"/>
        <v/>
      </c>
      <c r="K166" s="236">
        <f>K7+K75+K103+K110+K117+K135+K138+K148+K151+K154+K157+K160+K163</f>
        <v>190000000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5" activePane="bottomRight" state="frozen"/>
      <selection pane="topRight"/>
      <selection pane="bottomLeft"/>
      <selection pane="bottomRight" activeCell="M9" sqref="M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5" t="str">
        <f>muni&amp; " - "&amp;S71Se&amp; " - "&amp;Head57</f>
        <v>LIM354 Polokwane - Supporting Table SC13e Monthly Budget Statement - capital expenditure on upgrading of existing assets by asset class - M01 July</v>
      </c>
      <c r="B1" s="1035"/>
      <c r="C1" s="1035"/>
      <c r="D1" s="1035"/>
      <c r="E1" s="1035"/>
      <c r="F1" s="1035"/>
      <c r="G1" s="1035"/>
      <c r="H1" s="1035"/>
      <c r="I1" s="1035"/>
      <c r="J1" s="1035"/>
      <c r="K1" s="1035"/>
    </row>
    <row r="2" spans="1:11" x14ac:dyDescent="0.2">
      <c r="A2" s="1020" t="str">
        <f>desc</f>
        <v>Description</v>
      </c>
      <c r="B2" s="1013" t="str">
        <f>head27</f>
        <v>Ref</v>
      </c>
      <c r="C2" s="140" t="str">
        <f>Head1</f>
        <v>2018/19</v>
      </c>
      <c r="D2" s="246" t="str">
        <f>Head2</f>
        <v>Budget Year 2019/20</v>
      </c>
      <c r="E2" s="230"/>
      <c r="F2" s="230"/>
      <c r="G2" s="230"/>
      <c r="H2" s="230"/>
      <c r="I2" s="230"/>
      <c r="J2" s="230"/>
      <c r="K2" s="231"/>
    </row>
    <row r="3" spans="1:11" ht="20.399999999999999" x14ac:dyDescent="0.2">
      <c r="A3" s="1021"/>
      <c r="B3" s="102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166624500</v>
      </c>
      <c r="E7" s="103">
        <f t="shared" si="0"/>
        <v>161602725</v>
      </c>
      <c r="F7" s="103">
        <f t="shared" si="0"/>
        <v>18547611.251499999</v>
      </c>
      <c r="G7" s="103">
        <f t="shared" si="0"/>
        <v>95581302.706499979</v>
      </c>
      <c r="H7" s="103">
        <f t="shared" si="0"/>
        <v>161602725</v>
      </c>
      <c r="I7" s="102">
        <f t="shared" ref="I7:I133" si="1">H7-G7</f>
        <v>66021422.293500021</v>
      </c>
      <c r="J7" s="588">
        <f t="shared" ref="J7:J136" si="2">IF(I7=0,"",I7/H7)</f>
        <v>0.40854151619968054</v>
      </c>
      <c r="K7" s="612">
        <f>K8+K13+K17+K27+K38+K45+K53+K63+K69</f>
        <v>161602725</v>
      </c>
    </row>
    <row r="8" spans="1:11" ht="12.75" customHeight="1" x14ac:dyDescent="0.2">
      <c r="A8" s="521" t="s">
        <v>1253</v>
      </c>
      <c r="B8" s="170"/>
      <c r="C8" s="686">
        <f t="shared" ref="C8:H8" si="3">SUM(C9:C12)</f>
        <v>82091563.689385206</v>
      </c>
      <c r="D8" s="618">
        <f t="shared" si="3"/>
        <v>146382000</v>
      </c>
      <c r="E8" s="617">
        <f t="shared" si="3"/>
        <v>142210225</v>
      </c>
      <c r="F8" s="617">
        <f t="shared" si="3"/>
        <v>15304114.624</v>
      </c>
      <c r="G8" s="617">
        <f t="shared" si="3"/>
        <v>84713451.599999994</v>
      </c>
      <c r="H8" s="617">
        <f t="shared" si="3"/>
        <v>142210225</v>
      </c>
      <c r="I8" s="259">
        <f t="shared" si="1"/>
        <v>57496773.400000006</v>
      </c>
      <c r="J8" s="584">
        <f t="shared" si="2"/>
        <v>0.40430829358437487</v>
      </c>
      <c r="K8" s="619">
        <f>SUM(K9:K12)</f>
        <v>142210225</v>
      </c>
    </row>
    <row r="9" spans="1:11" ht="12.75" customHeight="1" x14ac:dyDescent="0.2">
      <c r="A9" s="583" t="s">
        <v>175</v>
      </c>
      <c r="B9" s="170"/>
      <c r="C9" s="758">
        <v>82091563.689385206</v>
      </c>
      <c r="D9" s="755">
        <v>146382000</v>
      </c>
      <c r="E9" s="743">
        <v>142210225</v>
      </c>
      <c r="F9" s="743">
        <v>15304114.624</v>
      </c>
      <c r="G9" s="743">
        <v>84713451.599999994</v>
      </c>
      <c r="H9" s="743">
        <f>E9</f>
        <v>142210225</v>
      </c>
      <c r="I9" s="259">
        <f t="shared" si="1"/>
        <v>57496773.400000006</v>
      </c>
      <c r="J9" s="584">
        <f t="shared" si="2"/>
        <v>0.40430829358437487</v>
      </c>
      <c r="K9" s="745">
        <v>142210225</v>
      </c>
    </row>
    <row r="10" spans="1:11" ht="12.75" customHeight="1" x14ac:dyDescent="0.2">
      <c r="A10" s="583" t="s">
        <v>1254</v>
      </c>
      <c r="B10" s="170"/>
      <c r="C10" s="758">
        <v>0</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1900000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v>0</v>
      </c>
      <c r="I14" s="259">
        <f t="shared" si="1"/>
        <v>0</v>
      </c>
      <c r="J14" s="584" t="str">
        <f t="shared" si="2"/>
        <v/>
      </c>
      <c r="K14" s="745">
        <v>0</v>
      </c>
    </row>
    <row r="15" spans="1:11" ht="12.75" customHeight="1" x14ac:dyDescent="0.2">
      <c r="A15" s="583" t="s">
        <v>1259</v>
      </c>
      <c r="B15" s="170"/>
      <c r="C15" s="758">
        <v>0</v>
      </c>
      <c r="D15" s="755">
        <v>1900000</v>
      </c>
      <c r="E15" s="743">
        <v>0</v>
      </c>
      <c r="F15" s="743">
        <v>0</v>
      </c>
      <c r="G15" s="743">
        <v>0</v>
      </c>
      <c r="H15" s="743">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v>0</v>
      </c>
      <c r="I16" s="259">
        <f t="shared" si="1"/>
        <v>0</v>
      </c>
      <c r="J16" s="584" t="str">
        <f t="shared" si="2"/>
        <v/>
      </c>
      <c r="K16" s="745">
        <v>0</v>
      </c>
    </row>
    <row r="17" spans="1:11" ht="12.75" customHeight="1" x14ac:dyDescent="0.2">
      <c r="A17" s="521" t="s">
        <v>1261</v>
      </c>
      <c r="B17" s="170"/>
      <c r="C17" s="657">
        <f t="shared" ref="C17:H17" si="5">SUM(C18:C26)</f>
        <v>0</v>
      </c>
      <c r="D17" s="658">
        <f t="shared" si="5"/>
        <v>4192500</v>
      </c>
      <c r="E17" s="411">
        <f t="shared" si="5"/>
        <v>4192500</v>
      </c>
      <c r="F17" s="411">
        <f t="shared" si="5"/>
        <v>0</v>
      </c>
      <c r="G17" s="411">
        <f t="shared" si="5"/>
        <v>2531267.7944999998</v>
      </c>
      <c r="H17" s="411">
        <f t="shared" si="5"/>
        <v>4192500</v>
      </c>
      <c r="I17" s="259">
        <f t="shared" si="1"/>
        <v>1661232.2055000002</v>
      </c>
      <c r="J17" s="584">
        <f t="shared" si="2"/>
        <v>0.39623904722719144</v>
      </c>
      <c r="K17" s="651">
        <f>SUM(K18:K26)</f>
        <v>4192500</v>
      </c>
    </row>
    <row r="18" spans="1:11" ht="12.75" customHeight="1" x14ac:dyDescent="0.2">
      <c r="A18" s="583" t="s">
        <v>1262</v>
      </c>
      <c r="B18" s="170"/>
      <c r="C18" s="758">
        <v>0</v>
      </c>
      <c r="D18" s="755">
        <v>4192500</v>
      </c>
      <c r="E18" s="743">
        <v>4192500</v>
      </c>
      <c r="F18" s="743"/>
      <c r="G18" s="743">
        <v>2531267.7944999998</v>
      </c>
      <c r="H18" s="743">
        <f>E18</f>
        <v>4192500</v>
      </c>
      <c r="I18" s="259">
        <f t="shared" si="1"/>
        <v>1661232.2055000002</v>
      </c>
      <c r="J18" s="584">
        <f t="shared" si="2"/>
        <v>0.39623904722719144</v>
      </c>
      <c r="K18" s="745">
        <f>D18</f>
        <v>4192500</v>
      </c>
    </row>
    <row r="19" spans="1:11" ht="12.75" customHeight="1" x14ac:dyDescent="0.2">
      <c r="A19" s="583" t="s">
        <v>1263</v>
      </c>
      <c r="B19" s="170"/>
      <c r="C19" s="758">
        <v>0</v>
      </c>
      <c r="D19" s="755">
        <v>0</v>
      </c>
      <c r="E19" s="743">
        <v>0</v>
      </c>
      <c r="F19" s="743">
        <v>0</v>
      </c>
      <c r="G19" s="743">
        <v>0</v>
      </c>
      <c r="H19" s="743">
        <f t="shared" ref="H19:H26" si="6">D19/12*7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0</v>
      </c>
      <c r="D21" s="755">
        <v>0</v>
      </c>
      <c r="E21" s="743"/>
      <c r="F21" s="743">
        <v>0</v>
      </c>
      <c r="G21" s="743">
        <v>0</v>
      </c>
      <c r="H21" s="743">
        <f t="shared" si="6"/>
        <v>0</v>
      </c>
      <c r="I21" s="259">
        <f t="shared" si="1"/>
        <v>0</v>
      </c>
      <c r="J21" s="584" t="str">
        <f t="shared" si="2"/>
        <v/>
      </c>
      <c r="K21" s="745">
        <v>0</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v>0</v>
      </c>
    </row>
    <row r="27" spans="1:11" ht="12.75" customHeight="1" x14ac:dyDescent="0.2">
      <c r="A27" s="520" t="s">
        <v>1270</v>
      </c>
      <c r="B27" s="170"/>
      <c r="C27" s="657">
        <f t="shared" ref="C27:H27" si="7">SUM(C28:C37)</f>
        <v>57835116.541999996</v>
      </c>
      <c r="D27" s="658">
        <f t="shared" si="7"/>
        <v>10150000</v>
      </c>
      <c r="E27" s="411">
        <f t="shared" si="7"/>
        <v>9200000</v>
      </c>
      <c r="F27" s="411">
        <f t="shared" si="7"/>
        <v>3243496.6274999999</v>
      </c>
      <c r="G27" s="411">
        <f t="shared" si="7"/>
        <v>4614170.8404999999</v>
      </c>
      <c r="H27" s="411">
        <f t="shared" si="7"/>
        <v>9200000</v>
      </c>
      <c r="I27" s="259">
        <f t="shared" si="1"/>
        <v>4585829.1595000001</v>
      </c>
      <c r="J27" s="584">
        <f t="shared" si="2"/>
        <v>0.49845969125</v>
      </c>
      <c r="K27" s="651">
        <f>SUM(K28:K37)</f>
        <v>9200000</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8">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8"/>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8"/>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8"/>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8"/>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8"/>
        <v>0</v>
      </c>
      <c r="I34" s="259">
        <f t="shared" si="1"/>
        <v>0</v>
      </c>
      <c r="J34" s="584" t="str">
        <f t="shared" si="2"/>
        <v/>
      </c>
      <c r="K34" s="745">
        <v>0</v>
      </c>
    </row>
    <row r="35" spans="1:11" ht="12.75" customHeight="1" x14ac:dyDescent="0.2">
      <c r="A35" s="583" t="s">
        <v>1278</v>
      </c>
      <c r="B35" s="170"/>
      <c r="C35" s="758">
        <v>57835116.541999996</v>
      </c>
      <c r="D35" s="755">
        <v>10150000</v>
      </c>
      <c r="E35" s="743">
        <v>9200000</v>
      </c>
      <c r="F35" s="743">
        <v>3243496.6274999999</v>
      </c>
      <c r="G35" s="743">
        <v>4614170.8404999999</v>
      </c>
      <c r="H35" s="743">
        <f>E35</f>
        <v>9200000</v>
      </c>
      <c r="I35" s="259">
        <f t="shared" si="1"/>
        <v>4585829.1595000001</v>
      </c>
      <c r="J35" s="584">
        <f t="shared" si="2"/>
        <v>0.49845969125</v>
      </c>
      <c r="K35" s="745">
        <v>9200000</v>
      </c>
    </row>
    <row r="36" spans="1:11" ht="12.75" customHeight="1" x14ac:dyDescent="0.2">
      <c r="A36" s="583" t="s">
        <v>1279</v>
      </c>
      <c r="B36" s="170"/>
      <c r="C36" s="758">
        <v>0</v>
      </c>
      <c r="D36" s="755">
        <v>0</v>
      </c>
      <c r="E36" s="743">
        <v>0</v>
      </c>
      <c r="F36" s="743">
        <v>0</v>
      </c>
      <c r="G36" s="743">
        <v>0</v>
      </c>
      <c r="H36" s="743">
        <f t="shared" si="8"/>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8"/>
        <v>0</v>
      </c>
      <c r="I37" s="259">
        <f t="shared" si="1"/>
        <v>0</v>
      </c>
      <c r="J37" s="584" t="str">
        <f t="shared" si="2"/>
        <v/>
      </c>
      <c r="K37" s="745">
        <v>0</v>
      </c>
    </row>
    <row r="38" spans="1:11" ht="12.75" customHeight="1" x14ac:dyDescent="0.2">
      <c r="A38" s="520" t="s">
        <v>1280</v>
      </c>
      <c r="B38" s="170"/>
      <c r="C38" s="657">
        <f t="shared" ref="C38:H38" si="9">SUM(C39:C44)</f>
        <v>0</v>
      </c>
      <c r="D38" s="658">
        <f t="shared" si="9"/>
        <v>0</v>
      </c>
      <c r="E38" s="411">
        <f t="shared" si="9"/>
        <v>0</v>
      </c>
      <c r="F38" s="411">
        <f t="shared" si="9"/>
        <v>0</v>
      </c>
      <c r="G38" s="411">
        <f t="shared" si="9"/>
        <v>0</v>
      </c>
      <c r="H38" s="411">
        <f t="shared" si="9"/>
        <v>0</v>
      </c>
      <c r="I38" s="259">
        <f t="shared" si="1"/>
        <v>0</v>
      </c>
      <c r="J38" s="584" t="str">
        <f t="shared" si="2"/>
        <v/>
      </c>
      <c r="K38" s="651">
        <f>SUM(K39:K44)</f>
        <v>0</v>
      </c>
    </row>
    <row r="39" spans="1:11" ht="12.75" customHeight="1" x14ac:dyDescent="0.2">
      <c r="A39" s="583" t="s">
        <v>1281</v>
      </c>
      <c r="B39" s="170"/>
      <c r="C39" s="758">
        <v>0</v>
      </c>
      <c r="D39" s="755">
        <v>0</v>
      </c>
      <c r="E39" s="743">
        <v>0</v>
      </c>
      <c r="F39" s="743">
        <v>0</v>
      </c>
      <c r="G39" s="743">
        <v>0</v>
      </c>
      <c r="H39" s="743">
        <f t="shared" ref="H39:H44" si="10">E39/12*8</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0"/>
        <v>0</v>
      </c>
      <c r="I40" s="259">
        <f t="shared" si="1"/>
        <v>0</v>
      </c>
      <c r="J40" s="584" t="str">
        <f t="shared" si="2"/>
        <v/>
      </c>
      <c r="K40" s="745">
        <v>0</v>
      </c>
    </row>
    <row r="41" spans="1:11" ht="12.75" customHeight="1" x14ac:dyDescent="0.2">
      <c r="A41" s="583" t="s">
        <v>1282</v>
      </c>
      <c r="B41" s="170"/>
      <c r="C41" s="758">
        <v>0</v>
      </c>
      <c r="D41" s="755">
        <v>0</v>
      </c>
      <c r="E41" s="743">
        <v>0</v>
      </c>
      <c r="F41" s="743">
        <v>0</v>
      </c>
      <c r="G41" s="743">
        <v>0</v>
      </c>
      <c r="H41" s="743">
        <f t="shared" si="10"/>
        <v>0</v>
      </c>
      <c r="I41" s="259">
        <f t="shared" si="1"/>
        <v>0</v>
      </c>
      <c r="J41" s="584" t="str">
        <f t="shared" si="2"/>
        <v/>
      </c>
      <c r="K41" s="745">
        <v>0</v>
      </c>
    </row>
    <row r="42" spans="1:11" ht="12.75" customHeight="1" x14ac:dyDescent="0.2">
      <c r="A42" s="583" t="s">
        <v>1283</v>
      </c>
      <c r="B42" s="170"/>
      <c r="C42" s="758">
        <v>0</v>
      </c>
      <c r="D42" s="755">
        <v>0</v>
      </c>
      <c r="E42" s="743">
        <v>0</v>
      </c>
      <c r="F42" s="743">
        <v>0</v>
      </c>
      <c r="G42" s="743">
        <v>0</v>
      </c>
      <c r="H42" s="743">
        <f t="shared" si="10"/>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0"/>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0"/>
        <v>0</v>
      </c>
      <c r="I44" s="259">
        <f t="shared" si="1"/>
        <v>0</v>
      </c>
      <c r="J44" s="584" t="str">
        <f t="shared" si="2"/>
        <v/>
      </c>
      <c r="K44" s="745">
        <v>0</v>
      </c>
    </row>
    <row r="45" spans="1:11" ht="12.75" customHeight="1" x14ac:dyDescent="0.2">
      <c r="A45" s="520" t="s">
        <v>1285</v>
      </c>
      <c r="B45" s="170"/>
      <c r="C45" s="657">
        <f t="shared" ref="C45:H45" si="11">SUM(C46:C52)</f>
        <v>0</v>
      </c>
      <c r="D45" s="658">
        <f t="shared" si="11"/>
        <v>4000000</v>
      </c>
      <c r="E45" s="411">
        <f t="shared" si="11"/>
        <v>6000000</v>
      </c>
      <c r="F45" s="411">
        <f t="shared" si="11"/>
        <v>0</v>
      </c>
      <c r="G45" s="411">
        <f t="shared" si="11"/>
        <v>3722412.4715</v>
      </c>
      <c r="H45" s="411">
        <f t="shared" si="11"/>
        <v>6000000</v>
      </c>
      <c r="I45" s="259">
        <f t="shared" si="1"/>
        <v>2277587.5285</v>
      </c>
      <c r="J45" s="584">
        <f t="shared" si="2"/>
        <v>0.37959792141666665</v>
      </c>
      <c r="K45" s="651">
        <f>SUM(K46:K52)</f>
        <v>6000000</v>
      </c>
    </row>
    <row r="46" spans="1:11" ht="12.75" customHeight="1" x14ac:dyDescent="0.2">
      <c r="A46" s="583" t="s">
        <v>1286</v>
      </c>
      <c r="B46" s="170"/>
      <c r="C46" s="758">
        <v>0</v>
      </c>
      <c r="D46" s="755">
        <v>0</v>
      </c>
      <c r="E46" s="743">
        <v>0</v>
      </c>
      <c r="F46" s="743">
        <v>0</v>
      </c>
      <c r="G46" s="743">
        <v>0</v>
      </c>
      <c r="H46" s="743">
        <f>D46/12*7</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D47/12*7</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4000000</v>
      </c>
      <c r="E50" s="743">
        <v>6000000</v>
      </c>
      <c r="F50" s="743">
        <v>0</v>
      </c>
      <c r="G50" s="743">
        <v>3722412.4715</v>
      </c>
      <c r="H50" s="743">
        <f>E50</f>
        <v>6000000</v>
      </c>
      <c r="I50" s="259">
        <f t="shared" si="1"/>
        <v>2277587.5285</v>
      </c>
      <c r="J50" s="584">
        <f t="shared" si="2"/>
        <v>0.37959792141666665</v>
      </c>
      <c r="K50" s="745">
        <v>6000000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15933992.773749989</v>
      </c>
      <c r="D75" s="586">
        <f t="shared" si="16"/>
        <v>31815000</v>
      </c>
      <c r="E75" s="587">
        <f t="shared" si="16"/>
        <v>12725000</v>
      </c>
      <c r="F75" s="587">
        <f t="shared" si="16"/>
        <v>2693431.6519999998</v>
      </c>
      <c r="G75" s="587">
        <f t="shared" si="16"/>
        <v>9140260.8234999999</v>
      </c>
      <c r="H75" s="587">
        <f t="shared" si="16"/>
        <v>12725000</v>
      </c>
      <c r="I75" s="587">
        <f t="shared" si="1"/>
        <v>3584739.1765000001</v>
      </c>
      <c r="J75" s="588">
        <f t="shared" si="2"/>
        <v>0.28170838322200392</v>
      </c>
      <c r="K75" s="589">
        <f>+K76+K99</f>
        <v>12725000</v>
      </c>
    </row>
    <row r="76" spans="1:11" ht="12.75" customHeight="1" x14ac:dyDescent="0.2">
      <c r="A76" s="521" t="s">
        <v>1305</v>
      </c>
      <c r="B76" s="170"/>
      <c r="C76" s="657">
        <f t="shared" ref="C76:H76" si="17">SUM(C77:C98)</f>
        <v>8312151.3831499899</v>
      </c>
      <c r="D76" s="658">
        <f t="shared" si="17"/>
        <v>12600000</v>
      </c>
      <c r="E76" s="411">
        <f t="shared" si="17"/>
        <v>2850000</v>
      </c>
      <c r="F76" s="411">
        <f t="shared" si="17"/>
        <v>2114867.7215</v>
      </c>
      <c r="G76" s="411">
        <f t="shared" si="17"/>
        <v>3097078.11</v>
      </c>
      <c r="H76" s="411">
        <f t="shared" si="17"/>
        <v>2850000</v>
      </c>
      <c r="I76" s="259">
        <f t="shared" si="1"/>
        <v>-247078.10999999987</v>
      </c>
      <c r="J76" s="584">
        <f t="shared" si="2"/>
        <v>-8.6694073684210476E-2</v>
      </c>
      <c r="K76" s="651">
        <f>SUM(K77:K98)</f>
        <v>2850000</v>
      </c>
    </row>
    <row r="77" spans="1:11" ht="12.75" customHeight="1" x14ac:dyDescent="0.2">
      <c r="A77" s="583" t="s">
        <v>1306</v>
      </c>
      <c r="B77" s="170"/>
      <c r="C77" s="758">
        <v>3160983.6582499901</v>
      </c>
      <c r="D77" s="763">
        <v>12600000</v>
      </c>
      <c r="E77" s="743">
        <v>2850000</v>
      </c>
      <c r="F77" s="743">
        <v>2114867.7215</v>
      </c>
      <c r="G77" s="743">
        <v>3097078.11</v>
      </c>
      <c r="H77" s="743">
        <f>E77</f>
        <v>2850000</v>
      </c>
      <c r="I77" s="45">
        <f t="shared" si="1"/>
        <v>-247078.10999999987</v>
      </c>
      <c r="J77" s="125">
        <f t="shared" si="2"/>
        <v>-8.6694073684210476E-2</v>
      </c>
      <c r="K77" s="745">
        <v>2850000</v>
      </c>
    </row>
    <row r="78" spans="1:11" ht="12.75" customHeight="1" x14ac:dyDescent="0.2">
      <c r="A78" s="583" t="s">
        <v>1307</v>
      </c>
      <c r="B78" s="170"/>
      <c r="C78" s="758">
        <v>0</v>
      </c>
      <c r="D78" s="763">
        <v>0</v>
      </c>
      <c r="E78" s="743">
        <v>0</v>
      </c>
      <c r="F78" s="743">
        <v>0</v>
      </c>
      <c r="G78" s="743">
        <v>0</v>
      </c>
      <c r="H78" s="743">
        <f t="shared" ref="H78:H98" si="18">D78/12*7</f>
        <v>0</v>
      </c>
      <c r="I78" s="45">
        <f t="shared" si="1"/>
        <v>0</v>
      </c>
      <c r="J78" s="125" t="str">
        <f t="shared" si="2"/>
        <v/>
      </c>
      <c r="K78" s="745">
        <f t="shared" ref="K78:K98" si="19">D78</f>
        <v>0</v>
      </c>
    </row>
    <row r="79" spans="1:11" ht="12.75" customHeight="1" x14ac:dyDescent="0.2">
      <c r="A79" s="583" t="s">
        <v>1308</v>
      </c>
      <c r="B79" s="170"/>
      <c r="C79" s="758">
        <v>0</v>
      </c>
      <c r="D79" s="763">
        <v>0</v>
      </c>
      <c r="E79" s="743">
        <v>0</v>
      </c>
      <c r="F79" s="743">
        <v>0</v>
      </c>
      <c r="G79" s="743">
        <v>0</v>
      </c>
      <c r="H79" s="743">
        <f t="shared" si="18"/>
        <v>0</v>
      </c>
      <c r="I79" s="45">
        <f t="shared" si="1"/>
        <v>0</v>
      </c>
      <c r="J79" s="125" t="str">
        <f t="shared" si="2"/>
        <v/>
      </c>
      <c r="K79" s="745">
        <f t="shared" si="19"/>
        <v>0</v>
      </c>
    </row>
    <row r="80" spans="1:11" ht="12.75" customHeight="1" x14ac:dyDescent="0.2">
      <c r="A80" s="583" t="s">
        <v>1309</v>
      </c>
      <c r="B80" s="170"/>
      <c r="C80" s="758">
        <v>0</v>
      </c>
      <c r="D80" s="763">
        <v>0</v>
      </c>
      <c r="E80" s="743">
        <v>0</v>
      </c>
      <c r="F80" s="743">
        <v>0</v>
      </c>
      <c r="G80" s="743">
        <v>0</v>
      </c>
      <c r="H80" s="743">
        <f t="shared" si="18"/>
        <v>0</v>
      </c>
      <c r="I80" s="45">
        <f t="shared" si="1"/>
        <v>0</v>
      </c>
      <c r="J80" s="125" t="str">
        <f t="shared" si="2"/>
        <v/>
      </c>
      <c r="K80" s="745">
        <f t="shared" si="19"/>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f t="shared" si="19"/>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f t="shared" si="19"/>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f t="shared" si="19"/>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f t="shared" si="19"/>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f t="shared" si="19"/>
        <v>0</v>
      </c>
    </row>
    <row r="86" spans="1:11" ht="12.75" customHeight="1" x14ac:dyDescent="0.2">
      <c r="A86" s="583" t="s">
        <v>572</v>
      </c>
      <c r="B86" s="170"/>
      <c r="C86" s="758">
        <v>0</v>
      </c>
      <c r="D86" s="763">
        <v>0</v>
      </c>
      <c r="E86" s="743">
        <v>0</v>
      </c>
      <c r="F86" s="743">
        <v>0</v>
      </c>
      <c r="G86" s="743">
        <v>0</v>
      </c>
      <c r="H86" s="743">
        <f t="shared" si="18"/>
        <v>0</v>
      </c>
      <c r="I86" s="45">
        <f t="shared" si="1"/>
        <v>0</v>
      </c>
      <c r="J86" s="125" t="str">
        <f t="shared" si="2"/>
        <v/>
      </c>
      <c r="K86" s="745">
        <f t="shared" si="19"/>
        <v>0</v>
      </c>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f t="shared" si="19"/>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f t="shared" si="19"/>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f t="shared" si="19"/>
        <v>0</v>
      </c>
    </row>
    <row r="90" spans="1:11" ht="12.75" customHeight="1" x14ac:dyDescent="0.2">
      <c r="A90" s="583" t="s">
        <v>1316</v>
      </c>
      <c r="B90" s="170"/>
      <c r="C90" s="758">
        <v>4520718.4012000002</v>
      </c>
      <c r="D90" s="763">
        <v>0</v>
      </c>
      <c r="E90" s="743">
        <v>0</v>
      </c>
      <c r="F90" s="743">
        <v>0</v>
      </c>
      <c r="G90" s="743">
        <v>0</v>
      </c>
      <c r="H90" s="743">
        <f t="shared" si="18"/>
        <v>0</v>
      </c>
      <c r="I90" s="45">
        <f t="shared" si="1"/>
        <v>0</v>
      </c>
      <c r="J90" s="125" t="str">
        <f t="shared" si="2"/>
        <v/>
      </c>
      <c r="K90" s="745">
        <f t="shared" si="19"/>
        <v>0</v>
      </c>
    </row>
    <row r="91" spans="1:11" ht="12.75" customHeight="1" x14ac:dyDescent="0.2">
      <c r="A91" s="583" t="s">
        <v>1317</v>
      </c>
      <c r="B91" s="170"/>
      <c r="C91" s="758">
        <v>630449.32369999995</v>
      </c>
      <c r="D91" s="763">
        <v>0</v>
      </c>
      <c r="E91" s="743">
        <v>0</v>
      </c>
      <c r="F91" s="743">
        <v>0</v>
      </c>
      <c r="G91" s="743">
        <v>0</v>
      </c>
      <c r="H91" s="743">
        <f t="shared" si="18"/>
        <v>0</v>
      </c>
      <c r="I91" s="45">
        <f t="shared" si="1"/>
        <v>0</v>
      </c>
      <c r="J91" s="125" t="str">
        <f t="shared" si="2"/>
        <v/>
      </c>
      <c r="K91" s="745">
        <f t="shared" si="19"/>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f t="shared" si="19"/>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f t="shared" si="19"/>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f t="shared" si="19"/>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f t="shared" si="19"/>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f t="shared" si="19"/>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f t="shared" si="19"/>
        <v>0</v>
      </c>
    </row>
    <row r="98" spans="1:11" ht="12.75" customHeight="1" x14ac:dyDescent="0.2">
      <c r="A98" s="583" t="s">
        <v>1256</v>
      </c>
      <c r="B98" s="170"/>
      <c r="C98" s="758">
        <v>0</v>
      </c>
      <c r="D98" s="763">
        <v>0</v>
      </c>
      <c r="E98" s="743">
        <v>0</v>
      </c>
      <c r="F98" s="743">
        <v>0</v>
      </c>
      <c r="G98" s="743">
        <v>0</v>
      </c>
      <c r="H98" s="743">
        <f t="shared" si="18"/>
        <v>0</v>
      </c>
      <c r="I98" s="45">
        <f t="shared" si="1"/>
        <v>0</v>
      </c>
      <c r="J98" s="125" t="str">
        <f t="shared" si="2"/>
        <v/>
      </c>
      <c r="K98" s="745">
        <f t="shared" si="19"/>
        <v>0</v>
      </c>
    </row>
    <row r="99" spans="1:11" ht="12.75" customHeight="1" x14ac:dyDescent="0.2">
      <c r="A99" s="521" t="s">
        <v>1322</v>
      </c>
      <c r="B99" s="170"/>
      <c r="C99" s="657">
        <f t="shared" ref="C99:H99" si="20">SUM(C100:C102)</f>
        <v>7621841.3905999996</v>
      </c>
      <c r="D99" s="658">
        <f t="shared" si="20"/>
        <v>19215000</v>
      </c>
      <c r="E99" s="411">
        <f t="shared" si="20"/>
        <v>9875000</v>
      </c>
      <c r="F99" s="411">
        <f t="shared" si="20"/>
        <v>578563.93050000002</v>
      </c>
      <c r="G99" s="411">
        <f t="shared" si="20"/>
        <v>6043182.7134999996</v>
      </c>
      <c r="H99" s="411">
        <f t="shared" si="20"/>
        <v>9875000</v>
      </c>
      <c r="I99" s="259">
        <f t="shared" si="1"/>
        <v>3831817.2865000004</v>
      </c>
      <c r="J99" s="584">
        <f t="shared" si="2"/>
        <v>0.38803213027848105</v>
      </c>
      <c r="K99" s="651">
        <f>SUM(K100:K102)</f>
        <v>9875000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19215000</v>
      </c>
      <c r="E101" s="743">
        <v>9875000</v>
      </c>
      <c r="F101" s="743">
        <v>578563.93050000002</v>
      </c>
      <c r="G101" s="743">
        <v>6043182.7134999996</v>
      </c>
      <c r="H101" s="743">
        <f>E101</f>
        <v>9875000</v>
      </c>
      <c r="I101" s="45">
        <f>H101-G101</f>
        <v>3831817.2865000004</v>
      </c>
      <c r="J101" s="125">
        <f>IF(I101=0,"",I101/H101)</f>
        <v>0.38803213027848105</v>
      </c>
      <c r="K101" s="745">
        <v>9875000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1">SUM(C104:C108)</f>
        <v>0</v>
      </c>
      <c r="D103" s="265">
        <f t="shared" si="21"/>
        <v>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1331</v>
      </c>
      <c r="B111" s="170"/>
      <c r="C111" s="657">
        <f t="shared" ref="C111:H111" si="23">SUM(C112:C113)</f>
        <v>0</v>
      </c>
      <c r="D111" s="658">
        <f t="shared" si="23"/>
        <v>0</v>
      </c>
      <c r="E111" s="411">
        <f t="shared" si="23"/>
        <v>0</v>
      </c>
      <c r="F111" s="411">
        <f t="shared" si="23"/>
        <v>0</v>
      </c>
      <c r="G111" s="411">
        <f t="shared" si="23"/>
        <v>0</v>
      </c>
      <c r="H111" s="411">
        <f t="shared" si="23"/>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4">SUM(C115:C116)</f>
        <v>0</v>
      </c>
      <c r="D114" s="658">
        <f t="shared" si="24"/>
        <v>0</v>
      </c>
      <c r="E114" s="411">
        <f t="shared" si="24"/>
        <v>0</v>
      </c>
      <c r="F114" s="411">
        <f t="shared" si="24"/>
        <v>0</v>
      </c>
      <c r="G114" s="411">
        <f t="shared" si="24"/>
        <v>0</v>
      </c>
      <c r="H114" s="411">
        <f t="shared" si="24"/>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5">+C118+C130</f>
        <v>12628370.14078</v>
      </c>
      <c r="D117" s="586">
        <f t="shared" si="25"/>
        <v>10000000</v>
      </c>
      <c r="E117" s="587">
        <f t="shared" si="25"/>
        <v>8500000</v>
      </c>
      <c r="F117" s="587">
        <f t="shared" si="25"/>
        <v>2742713.568</v>
      </c>
      <c r="G117" s="587">
        <f t="shared" si="25"/>
        <v>9089832.4379999992</v>
      </c>
      <c r="H117" s="587">
        <f t="shared" si="25"/>
        <v>8500000</v>
      </c>
      <c r="I117" s="587">
        <f t="shared" si="1"/>
        <v>-589832.43799999915</v>
      </c>
      <c r="J117" s="588">
        <f t="shared" si="2"/>
        <v>-6.9392051529411664E-2</v>
      </c>
      <c r="K117" s="589">
        <f>+K118+K130</f>
        <v>8500000</v>
      </c>
    </row>
    <row r="118" spans="1:11" ht="12.75" customHeight="1" x14ac:dyDescent="0.2">
      <c r="A118" s="521" t="s">
        <v>1335</v>
      </c>
      <c r="B118" s="170"/>
      <c r="C118" s="657">
        <f t="shared" ref="C118:H118" si="26">SUM(C119:C129)</f>
        <v>12628370.14078</v>
      </c>
      <c r="D118" s="658">
        <f t="shared" si="26"/>
        <v>10000000</v>
      </c>
      <c r="E118" s="411">
        <f t="shared" si="26"/>
        <v>8500000</v>
      </c>
      <c r="F118" s="411">
        <f t="shared" si="26"/>
        <v>2742713.568</v>
      </c>
      <c r="G118" s="411">
        <f t="shared" si="26"/>
        <v>9089832.4379999992</v>
      </c>
      <c r="H118" s="411">
        <f t="shared" si="26"/>
        <v>8500000</v>
      </c>
      <c r="I118" s="259">
        <f t="shared" si="1"/>
        <v>-589832.43799999915</v>
      </c>
      <c r="J118" s="584">
        <f t="shared" si="2"/>
        <v>-6.9392051529411664E-2</v>
      </c>
      <c r="K118" s="651">
        <f>SUM(K119:K129)</f>
        <v>8500000</v>
      </c>
    </row>
    <row r="119" spans="1:11" ht="12.75" customHeight="1" x14ac:dyDescent="0.2">
      <c r="A119" s="583" t="s">
        <v>1336</v>
      </c>
      <c r="B119" s="170"/>
      <c r="C119" s="758">
        <v>12628370.14078</v>
      </c>
      <c r="D119" s="763">
        <v>10000000</v>
      </c>
      <c r="E119" s="743">
        <v>8500000</v>
      </c>
      <c r="F119" s="743">
        <v>2742713.568</v>
      </c>
      <c r="G119" s="743">
        <v>9089832.4379999992</v>
      </c>
      <c r="H119" s="743">
        <f>E119</f>
        <v>8500000</v>
      </c>
      <c r="I119" s="45">
        <f t="shared" si="1"/>
        <v>-589832.43799999915</v>
      </c>
      <c r="J119" s="125">
        <f t="shared" si="2"/>
        <v>-6.9392051529411664E-2</v>
      </c>
      <c r="K119" s="745">
        <v>8500000</v>
      </c>
    </row>
    <row r="120" spans="1:11" ht="12.75" customHeight="1" x14ac:dyDescent="0.2">
      <c r="A120" s="583" t="s">
        <v>1337</v>
      </c>
      <c r="B120" s="170"/>
      <c r="C120" s="758">
        <v>0</v>
      </c>
      <c r="D120" s="763">
        <v>0</v>
      </c>
      <c r="E120" s="743">
        <v>0</v>
      </c>
      <c r="F120" s="743">
        <v>0</v>
      </c>
      <c r="G120" s="743">
        <v>0</v>
      </c>
      <c r="H120" s="743">
        <f t="shared" ref="H120:H129" si="27">D120/12*7</f>
        <v>0</v>
      </c>
      <c r="I120" s="45">
        <f t="shared" si="1"/>
        <v>0</v>
      </c>
      <c r="J120" s="125" t="str">
        <f t="shared" si="2"/>
        <v/>
      </c>
      <c r="K120" s="745">
        <f t="shared" ref="K120:K129" si="28">D120</f>
        <v>0</v>
      </c>
    </row>
    <row r="121" spans="1:11" ht="12.75" customHeight="1" x14ac:dyDescent="0.2">
      <c r="A121" s="583" t="s">
        <v>1338</v>
      </c>
      <c r="B121" s="170"/>
      <c r="C121" s="758">
        <v>0</v>
      </c>
      <c r="D121" s="763">
        <v>0</v>
      </c>
      <c r="E121" s="743">
        <v>0</v>
      </c>
      <c r="F121" s="743">
        <v>0</v>
      </c>
      <c r="G121" s="743">
        <v>0</v>
      </c>
      <c r="H121" s="743">
        <f t="shared" si="27"/>
        <v>0</v>
      </c>
      <c r="I121" s="45">
        <f t="shared" si="1"/>
        <v>0</v>
      </c>
      <c r="J121" s="125" t="str">
        <f t="shared" si="2"/>
        <v/>
      </c>
      <c r="K121" s="745">
        <f t="shared" si="28"/>
        <v>0</v>
      </c>
    </row>
    <row r="122" spans="1:11" ht="12.75" customHeight="1" x14ac:dyDescent="0.2">
      <c r="A122" s="583" t="s">
        <v>1339</v>
      </c>
      <c r="B122" s="170"/>
      <c r="C122" s="758">
        <v>0</v>
      </c>
      <c r="D122" s="763">
        <v>0</v>
      </c>
      <c r="E122" s="743">
        <v>0</v>
      </c>
      <c r="F122" s="743">
        <v>0</v>
      </c>
      <c r="G122" s="743">
        <v>0</v>
      </c>
      <c r="H122" s="743">
        <f t="shared" si="27"/>
        <v>0</v>
      </c>
      <c r="I122" s="45">
        <f t="shared" si="1"/>
        <v>0</v>
      </c>
      <c r="J122" s="125" t="str">
        <f t="shared" si="2"/>
        <v/>
      </c>
      <c r="K122" s="745">
        <f t="shared" si="28"/>
        <v>0</v>
      </c>
    </row>
    <row r="123" spans="1:11" ht="12.75" customHeight="1" x14ac:dyDescent="0.2">
      <c r="A123" s="583" t="s">
        <v>1340</v>
      </c>
      <c r="B123" s="170"/>
      <c r="C123" s="758">
        <v>0</v>
      </c>
      <c r="D123" s="763">
        <v>0</v>
      </c>
      <c r="E123" s="743">
        <v>0</v>
      </c>
      <c r="F123" s="743">
        <v>0</v>
      </c>
      <c r="G123" s="743">
        <v>0</v>
      </c>
      <c r="H123" s="743">
        <f t="shared" si="27"/>
        <v>0</v>
      </c>
      <c r="I123" s="45">
        <f t="shared" si="1"/>
        <v>0</v>
      </c>
      <c r="J123" s="125" t="str">
        <f t="shared" si="2"/>
        <v/>
      </c>
      <c r="K123" s="745">
        <f t="shared" si="28"/>
        <v>0</v>
      </c>
    </row>
    <row r="124" spans="1:11" ht="12.75" customHeight="1" x14ac:dyDescent="0.2">
      <c r="A124" s="583" t="s">
        <v>1341</v>
      </c>
      <c r="B124" s="170"/>
      <c r="C124" s="758">
        <v>0</v>
      </c>
      <c r="D124" s="763">
        <v>0</v>
      </c>
      <c r="E124" s="743">
        <v>0</v>
      </c>
      <c r="F124" s="743">
        <v>0</v>
      </c>
      <c r="G124" s="743">
        <v>0</v>
      </c>
      <c r="H124" s="743">
        <f t="shared" si="27"/>
        <v>0</v>
      </c>
      <c r="I124" s="45">
        <f t="shared" si="1"/>
        <v>0</v>
      </c>
      <c r="J124" s="125" t="str">
        <f t="shared" si="2"/>
        <v/>
      </c>
      <c r="K124" s="745">
        <f t="shared" si="28"/>
        <v>0</v>
      </c>
    </row>
    <row r="125" spans="1:11" ht="12.75" customHeight="1" x14ac:dyDescent="0.2">
      <c r="A125" s="583" t="s">
        <v>1342</v>
      </c>
      <c r="B125" s="170"/>
      <c r="C125" s="758">
        <v>0</v>
      </c>
      <c r="D125" s="763">
        <v>0</v>
      </c>
      <c r="E125" s="743">
        <v>0</v>
      </c>
      <c r="F125" s="743">
        <v>0</v>
      </c>
      <c r="G125" s="743">
        <v>0</v>
      </c>
      <c r="H125" s="743">
        <f t="shared" si="27"/>
        <v>0</v>
      </c>
      <c r="I125" s="45">
        <f t="shared" si="1"/>
        <v>0</v>
      </c>
      <c r="J125" s="125" t="str">
        <f t="shared" si="2"/>
        <v/>
      </c>
      <c r="K125" s="745">
        <f t="shared" si="28"/>
        <v>0</v>
      </c>
    </row>
    <row r="126" spans="1:11" ht="12.75" customHeight="1" x14ac:dyDescent="0.2">
      <c r="A126" s="583" t="s">
        <v>1343</v>
      </c>
      <c r="B126" s="170"/>
      <c r="C126" s="758">
        <v>0</v>
      </c>
      <c r="D126" s="763">
        <v>0</v>
      </c>
      <c r="E126" s="743">
        <v>0</v>
      </c>
      <c r="F126" s="743">
        <v>0</v>
      </c>
      <c r="G126" s="743">
        <v>0</v>
      </c>
      <c r="H126" s="743">
        <f t="shared" si="27"/>
        <v>0</v>
      </c>
      <c r="I126" s="45">
        <f t="shared" si="1"/>
        <v>0</v>
      </c>
      <c r="J126" s="125" t="str">
        <f t="shared" si="2"/>
        <v/>
      </c>
      <c r="K126" s="745">
        <f t="shared" si="28"/>
        <v>0</v>
      </c>
    </row>
    <row r="127" spans="1:11" ht="12.75" customHeight="1" x14ac:dyDescent="0.2">
      <c r="A127" s="583" t="s">
        <v>1344</v>
      </c>
      <c r="B127" s="170"/>
      <c r="C127" s="758">
        <v>0</v>
      </c>
      <c r="D127" s="763">
        <v>0</v>
      </c>
      <c r="E127" s="743">
        <v>0</v>
      </c>
      <c r="F127" s="743">
        <v>0</v>
      </c>
      <c r="G127" s="743">
        <v>0</v>
      </c>
      <c r="H127" s="743">
        <f t="shared" si="27"/>
        <v>0</v>
      </c>
      <c r="I127" s="45">
        <f t="shared" si="1"/>
        <v>0</v>
      </c>
      <c r="J127" s="125" t="str">
        <f t="shared" si="2"/>
        <v/>
      </c>
      <c r="K127" s="745">
        <f t="shared" si="28"/>
        <v>0</v>
      </c>
    </row>
    <row r="128" spans="1:11" ht="12.75" customHeight="1" x14ac:dyDescent="0.2">
      <c r="A128" s="583" t="s">
        <v>1345</v>
      </c>
      <c r="B128" s="170"/>
      <c r="C128" s="758">
        <v>0</v>
      </c>
      <c r="D128" s="763">
        <v>0</v>
      </c>
      <c r="E128" s="743">
        <v>0</v>
      </c>
      <c r="F128" s="743">
        <v>0</v>
      </c>
      <c r="G128" s="743">
        <v>0</v>
      </c>
      <c r="H128" s="743">
        <f t="shared" si="27"/>
        <v>0</v>
      </c>
      <c r="I128" s="45">
        <f t="shared" si="1"/>
        <v>0</v>
      </c>
      <c r="J128" s="125" t="str">
        <f t="shared" si="2"/>
        <v/>
      </c>
      <c r="K128" s="745">
        <f t="shared" si="28"/>
        <v>0</v>
      </c>
    </row>
    <row r="129" spans="1:11" ht="12.75" customHeight="1" x14ac:dyDescent="0.2">
      <c r="A129" s="583" t="s">
        <v>1256</v>
      </c>
      <c r="B129" s="170"/>
      <c r="C129" s="758">
        <v>0</v>
      </c>
      <c r="D129" s="763">
        <v>0</v>
      </c>
      <c r="E129" s="743">
        <v>0</v>
      </c>
      <c r="F129" s="743">
        <v>0</v>
      </c>
      <c r="G129" s="743">
        <v>0</v>
      </c>
      <c r="H129" s="743">
        <f t="shared" si="27"/>
        <v>0</v>
      </c>
      <c r="I129" s="45">
        <f t="shared" si="1"/>
        <v>0</v>
      </c>
      <c r="J129" s="125" t="str">
        <f t="shared" si="2"/>
        <v/>
      </c>
      <c r="K129" s="745">
        <f t="shared" si="28"/>
        <v>0</v>
      </c>
    </row>
    <row r="130" spans="1:11" ht="12.75" customHeight="1" x14ac:dyDescent="0.2">
      <c r="A130" s="521" t="s">
        <v>733</v>
      </c>
      <c r="B130" s="170"/>
      <c r="C130" s="657">
        <f t="shared" ref="C130:H130" si="29">SUM(C131:C133)</f>
        <v>0</v>
      </c>
      <c r="D130" s="658">
        <f t="shared" si="29"/>
        <v>0</v>
      </c>
      <c r="E130" s="411">
        <f t="shared" si="29"/>
        <v>0</v>
      </c>
      <c r="F130" s="411">
        <f t="shared" si="29"/>
        <v>0</v>
      </c>
      <c r="G130" s="411">
        <f t="shared" si="29"/>
        <v>0</v>
      </c>
      <c r="H130" s="411">
        <f t="shared" si="29"/>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0">SUM(C136:C136)</f>
        <v>0</v>
      </c>
      <c r="D135" s="586">
        <f t="shared" si="30"/>
        <v>0</v>
      </c>
      <c r="E135" s="587">
        <f t="shared" si="30"/>
        <v>0</v>
      </c>
      <c r="F135" s="587">
        <f t="shared" si="30"/>
        <v>0</v>
      </c>
      <c r="G135" s="587">
        <f t="shared" si="30"/>
        <v>0</v>
      </c>
      <c r="H135" s="587">
        <f t="shared" si="30"/>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1">IF(I137=0,"",I137/H137)</f>
        <v/>
      </c>
      <c r="K137" s="145"/>
    </row>
    <row r="138" spans="1:11" s="101" customFormat="1" ht="12.75" customHeight="1" x14ac:dyDescent="0.2">
      <c r="A138" s="553" t="s">
        <v>1349</v>
      </c>
      <c r="B138" s="172"/>
      <c r="C138" s="952">
        <f t="shared" ref="C138:H138" si="32">SUM(C139:C140)</f>
        <v>2027116.9139999999</v>
      </c>
      <c r="D138" s="953">
        <f t="shared" si="32"/>
        <v>0</v>
      </c>
      <c r="E138" s="954">
        <f t="shared" si="32"/>
        <v>0</v>
      </c>
      <c r="F138" s="954">
        <f t="shared" si="32"/>
        <v>0</v>
      </c>
      <c r="G138" s="954">
        <f t="shared" si="32"/>
        <v>0</v>
      </c>
      <c r="H138" s="954">
        <f t="shared" si="32"/>
        <v>0</v>
      </c>
      <c r="I138" s="954">
        <f t="shared" ref="I138:I146" si="33">H138-G138</f>
        <v>0</v>
      </c>
      <c r="J138" s="327" t="str">
        <f t="shared" si="31"/>
        <v/>
      </c>
      <c r="K138" s="955">
        <f>SUM(K139:K140)</f>
        <v>0</v>
      </c>
    </row>
    <row r="139" spans="1:11" ht="12.75" customHeight="1" x14ac:dyDescent="0.2">
      <c r="A139" s="520" t="s">
        <v>1350</v>
      </c>
      <c r="B139" s="170"/>
      <c r="C139" s="758">
        <v>0</v>
      </c>
      <c r="D139" s="763">
        <v>0</v>
      </c>
      <c r="E139" s="743">
        <v>0</v>
      </c>
      <c r="F139" s="743">
        <v>0</v>
      </c>
      <c r="G139" s="743">
        <v>0</v>
      </c>
      <c r="H139" s="743">
        <v>0</v>
      </c>
      <c r="I139" s="45">
        <f t="shared" si="33"/>
        <v>0</v>
      </c>
      <c r="J139" s="125" t="str">
        <f t="shared" si="31"/>
        <v/>
      </c>
      <c r="K139" s="745">
        <v>0</v>
      </c>
    </row>
    <row r="140" spans="1:11" ht="12.75" customHeight="1" x14ac:dyDescent="0.2">
      <c r="A140" s="520" t="s">
        <v>1351</v>
      </c>
      <c r="B140" s="170"/>
      <c r="C140" s="657">
        <f t="shared" ref="C140:H140" si="34">SUM(C141:C146)</f>
        <v>2027116.9139999999</v>
      </c>
      <c r="D140" s="658">
        <f t="shared" si="34"/>
        <v>0</v>
      </c>
      <c r="E140" s="411">
        <f t="shared" si="34"/>
        <v>0</v>
      </c>
      <c r="F140" s="411">
        <f t="shared" si="34"/>
        <v>0</v>
      </c>
      <c r="G140" s="411">
        <f t="shared" si="34"/>
        <v>0</v>
      </c>
      <c r="H140" s="411">
        <f t="shared" si="34"/>
        <v>0</v>
      </c>
      <c r="I140" s="259">
        <f t="shared" si="33"/>
        <v>0</v>
      </c>
      <c r="J140" s="584" t="str">
        <f t="shared" si="31"/>
        <v/>
      </c>
      <c r="K140" s="651">
        <f>SUM(K141:K146)</f>
        <v>0</v>
      </c>
    </row>
    <row r="141" spans="1:11" ht="12.75" customHeight="1" x14ac:dyDescent="0.2">
      <c r="A141" s="583" t="s">
        <v>1352</v>
      </c>
      <c r="B141" s="170"/>
      <c r="C141" s="758">
        <v>0</v>
      </c>
      <c r="D141" s="763">
        <v>0</v>
      </c>
      <c r="E141" s="743">
        <v>0</v>
      </c>
      <c r="F141" s="743">
        <v>0</v>
      </c>
      <c r="G141" s="743">
        <v>0</v>
      </c>
      <c r="H141" s="743">
        <v>0</v>
      </c>
      <c r="I141" s="45">
        <f t="shared" si="33"/>
        <v>0</v>
      </c>
      <c r="J141" s="125" t="str">
        <f t="shared" si="31"/>
        <v/>
      </c>
      <c r="K141" s="745">
        <f t="shared" ref="K141:K146" si="35">D141</f>
        <v>0</v>
      </c>
    </row>
    <row r="142" spans="1:11" ht="12.75" customHeight="1" x14ac:dyDescent="0.2">
      <c r="A142" s="583" t="s">
        <v>1353</v>
      </c>
      <c r="B142" s="170"/>
      <c r="C142" s="758">
        <v>0</v>
      </c>
      <c r="D142" s="763">
        <v>0</v>
      </c>
      <c r="E142" s="743">
        <v>0</v>
      </c>
      <c r="F142" s="743">
        <v>0</v>
      </c>
      <c r="G142" s="743">
        <v>0</v>
      </c>
      <c r="H142" s="743">
        <v>0</v>
      </c>
      <c r="I142" s="45">
        <f t="shared" si="33"/>
        <v>0</v>
      </c>
      <c r="J142" s="125" t="str">
        <f t="shared" si="31"/>
        <v/>
      </c>
      <c r="K142" s="745">
        <f t="shared" si="35"/>
        <v>0</v>
      </c>
    </row>
    <row r="143" spans="1:11" ht="12.75" customHeight="1" x14ac:dyDescent="0.2">
      <c r="A143" s="583" t="s">
        <v>1354</v>
      </c>
      <c r="B143" s="170"/>
      <c r="C143" s="758">
        <v>0</v>
      </c>
      <c r="D143" s="763">
        <v>0</v>
      </c>
      <c r="E143" s="743">
        <v>0</v>
      </c>
      <c r="F143" s="743">
        <v>0</v>
      </c>
      <c r="G143" s="743">
        <v>0</v>
      </c>
      <c r="H143" s="743">
        <v>0</v>
      </c>
      <c r="I143" s="45">
        <f t="shared" si="33"/>
        <v>0</v>
      </c>
      <c r="J143" s="125" t="str">
        <f t="shared" si="31"/>
        <v/>
      </c>
      <c r="K143" s="745">
        <f t="shared" si="35"/>
        <v>0</v>
      </c>
    </row>
    <row r="144" spans="1:11" ht="12.75" customHeight="1" x14ac:dyDescent="0.2">
      <c r="A144" s="583" t="s">
        <v>1355</v>
      </c>
      <c r="B144" s="170"/>
      <c r="C144" s="758">
        <v>2027116.9139999999</v>
      </c>
      <c r="D144" s="763">
        <v>0</v>
      </c>
      <c r="E144" s="743">
        <v>0</v>
      </c>
      <c r="F144" s="763">
        <v>0</v>
      </c>
      <c r="G144" s="743">
        <v>0</v>
      </c>
      <c r="H144" s="763">
        <v>0</v>
      </c>
      <c r="I144" s="45">
        <f t="shared" si="33"/>
        <v>0</v>
      </c>
      <c r="J144" s="125" t="str">
        <f t="shared" si="31"/>
        <v/>
      </c>
      <c r="K144" s="745">
        <f t="shared" si="35"/>
        <v>0</v>
      </c>
    </row>
    <row r="145" spans="1:12" ht="12.75" customHeight="1" x14ac:dyDescent="0.2">
      <c r="A145" s="583" t="s">
        <v>1356</v>
      </c>
      <c r="B145" s="170"/>
      <c r="C145" s="758">
        <v>0</v>
      </c>
      <c r="D145" s="763">
        <v>0</v>
      </c>
      <c r="E145" s="743">
        <v>0</v>
      </c>
      <c r="F145" s="763">
        <v>0</v>
      </c>
      <c r="G145" s="743">
        <v>0</v>
      </c>
      <c r="H145" s="763">
        <v>0</v>
      </c>
      <c r="I145" s="45">
        <f t="shared" si="33"/>
        <v>0</v>
      </c>
      <c r="J145" s="125" t="str">
        <f t="shared" si="31"/>
        <v/>
      </c>
      <c r="K145" s="745">
        <f t="shared" si="35"/>
        <v>0</v>
      </c>
    </row>
    <row r="146" spans="1:12" ht="12.75" customHeight="1" x14ac:dyDescent="0.2">
      <c r="A146" s="583" t="s">
        <v>1357</v>
      </c>
      <c r="B146" s="170"/>
      <c r="C146" s="758">
        <v>0</v>
      </c>
      <c r="D146" s="763">
        <v>0</v>
      </c>
      <c r="E146" s="743">
        <v>0</v>
      </c>
      <c r="F146" s="763">
        <v>0</v>
      </c>
      <c r="G146" s="743">
        <v>0</v>
      </c>
      <c r="H146" s="763">
        <v>0</v>
      </c>
      <c r="I146" s="45">
        <f t="shared" si="33"/>
        <v>0</v>
      </c>
      <c r="J146" s="125" t="str">
        <f t="shared" si="31"/>
        <v/>
      </c>
      <c r="K146" s="745">
        <f t="shared" si="3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6">SUM(C149:C149)</f>
        <v>0</v>
      </c>
      <c r="D148" s="586">
        <f t="shared" si="36"/>
        <v>7000000</v>
      </c>
      <c r="E148" s="587">
        <f t="shared" si="36"/>
        <v>4000000</v>
      </c>
      <c r="F148" s="587">
        <f t="shared" si="36"/>
        <v>0</v>
      </c>
      <c r="G148" s="587">
        <f t="shared" si="36"/>
        <v>2462781.35</v>
      </c>
      <c r="H148" s="587">
        <f t="shared" si="36"/>
        <v>4000000</v>
      </c>
      <c r="I148" s="587">
        <f>H148-G148</f>
        <v>1537218.65</v>
      </c>
      <c r="J148" s="327">
        <f>IF(I148=0,"",I148/H148)</f>
        <v>0.38430466249999995</v>
      </c>
      <c r="K148" s="589">
        <f>SUM(K149)</f>
        <v>4000000</v>
      </c>
    </row>
    <row r="149" spans="1:12" ht="12.75" customHeight="1" x14ac:dyDescent="0.2">
      <c r="A149" s="521" t="s">
        <v>1358</v>
      </c>
      <c r="B149" s="170"/>
      <c r="C149" s="758">
        <v>0</v>
      </c>
      <c r="D149" s="763">
        <v>7000000</v>
      </c>
      <c r="E149" s="743">
        <v>4000000</v>
      </c>
      <c r="F149" s="743"/>
      <c r="G149" s="743">
        <v>2462781.35</v>
      </c>
      <c r="H149" s="743">
        <f>E149</f>
        <v>4000000</v>
      </c>
      <c r="I149" s="45">
        <f>H149-G149</f>
        <v>1537218.65</v>
      </c>
      <c r="J149" s="125">
        <f>IF(I149=0,"",I149/H149)</f>
        <v>0.38430466249999995</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7">SUM(C152:C152)</f>
        <v>0</v>
      </c>
      <c r="D151" s="586">
        <f t="shared" si="37"/>
        <v>0</v>
      </c>
      <c r="E151" s="587">
        <f t="shared" si="37"/>
        <v>0</v>
      </c>
      <c r="F151" s="587">
        <f t="shared" si="37"/>
        <v>0</v>
      </c>
      <c r="G151" s="587">
        <f t="shared" si="37"/>
        <v>0</v>
      </c>
      <c r="H151" s="587">
        <f t="shared" si="37"/>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8">SUM(C155:C155)</f>
        <v>0</v>
      </c>
      <c r="D154" s="586">
        <f t="shared" si="38"/>
        <v>0</v>
      </c>
      <c r="E154" s="587">
        <f t="shared" si="38"/>
        <v>0</v>
      </c>
      <c r="F154" s="587">
        <f t="shared" si="38"/>
        <v>0</v>
      </c>
      <c r="G154" s="587">
        <f t="shared" si="38"/>
        <v>0</v>
      </c>
      <c r="H154" s="587">
        <f t="shared" si="38"/>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9">SUM(C158:C158)</f>
        <v>0</v>
      </c>
      <c r="D157" s="586">
        <f t="shared" si="39"/>
        <v>0</v>
      </c>
      <c r="E157" s="587">
        <f t="shared" si="39"/>
        <v>0</v>
      </c>
      <c r="F157" s="587">
        <f t="shared" si="39"/>
        <v>0</v>
      </c>
      <c r="G157" s="587">
        <f t="shared" si="39"/>
        <v>0</v>
      </c>
      <c r="H157" s="587">
        <f t="shared" si="39"/>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0">SUM(C161:C161)</f>
        <v>0</v>
      </c>
      <c r="D160" s="586">
        <f t="shared" si="40"/>
        <v>0</v>
      </c>
      <c r="E160" s="587">
        <f t="shared" si="40"/>
        <v>0</v>
      </c>
      <c r="F160" s="587">
        <f t="shared" si="40"/>
        <v>0</v>
      </c>
      <c r="G160" s="587">
        <f t="shared" si="40"/>
        <v>0</v>
      </c>
      <c r="H160" s="587">
        <f t="shared" si="40"/>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1">SUM(C164:C164)</f>
        <v>0</v>
      </c>
      <c r="D163" s="586">
        <f t="shared" si="41"/>
        <v>0</v>
      </c>
      <c r="E163" s="587">
        <f t="shared" si="41"/>
        <v>0</v>
      </c>
      <c r="F163" s="587">
        <f t="shared" si="41"/>
        <v>0</v>
      </c>
      <c r="G163" s="587">
        <f t="shared" si="41"/>
        <v>0</v>
      </c>
      <c r="H163" s="587">
        <f t="shared" si="41"/>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2">C7+C75+C103+C110+C117+C135+C138+C148+C151+C154+C157+C160+C163</f>
        <v>170516160.05991518</v>
      </c>
      <c r="D166" s="272">
        <f t="shared" si="42"/>
        <v>215439500</v>
      </c>
      <c r="E166" s="56">
        <f t="shared" si="42"/>
        <v>186827725</v>
      </c>
      <c r="F166" s="56">
        <f t="shared" si="42"/>
        <v>23983756.471499998</v>
      </c>
      <c r="G166" s="56">
        <f t="shared" si="42"/>
        <v>116274177.31799996</v>
      </c>
      <c r="H166" s="56">
        <f t="shared" si="42"/>
        <v>186827725</v>
      </c>
      <c r="I166" s="56">
        <f>H166-G166</f>
        <v>70553547.682000041</v>
      </c>
      <c r="J166" s="293">
        <f>IF(I166=0,"",I166/H166)</f>
        <v>0.37763960184175044</v>
      </c>
      <c r="K166" s="236">
        <f>K7+K75+K103+K110+K117+K135+K138+K148+K151+K154+K157+K160+K163</f>
        <v>186827725</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-854073681.47323358</v>
      </c>
      <c r="D171" s="136">
        <f>D166+SC13a!D166+SC13b!D166-'C5-Capex'!D40</f>
        <v>300776329</v>
      </c>
      <c r="E171" s="136">
        <f>E166+SC13a!E166+SC13b!E166-'C5-Capex'!E40</f>
        <v>1077365083.5699999</v>
      </c>
      <c r="F171" s="136">
        <f>F166+SC13a!F166+SC13b!F166-'C5-Capex'!F40</f>
        <v>70114919.303131998</v>
      </c>
      <c r="G171" s="136">
        <f>G166+SC13a!G166+SC13b!G166-'C5-Capex'!G40</f>
        <v>974798706.34004498</v>
      </c>
      <c r="H171" s="136">
        <f>H166+SC13a!H166+SC13b!H166-'C5-Capex'!H40</f>
        <v>919932908.23666668</v>
      </c>
      <c r="I171" s="136"/>
      <c r="J171" s="136"/>
      <c r="K171" s="136">
        <f>K166+SC13a!K166+SC13b!K166-'C5-Capex'!K40</f>
        <v>-523460420.43000007</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109" workbookViewId="0">
      <selection activeCell="U126" sqref="U126"/>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0</v>
      </c>
      <c r="E3" s="46">
        <f>'SC12'!E6</f>
        <v>85297669.120000005</v>
      </c>
      <c r="F3" s="44"/>
      <c r="G3" s="44"/>
      <c r="H3" s="44"/>
      <c r="I3" s="44"/>
      <c r="J3" s="44"/>
      <c r="K3" s="44"/>
    </row>
    <row r="4" spans="1:11" x14ac:dyDescent="0.2">
      <c r="A4" s="43" t="str">
        <f>LEFT('SC12'!A7,3)</f>
        <v>Aug</v>
      </c>
      <c r="B4" s="44">
        <f>'SC12'!B7</f>
        <v>114658356.07565999</v>
      </c>
      <c r="C4" s="44">
        <f>'SC12'!C7</f>
        <v>52927000</v>
      </c>
      <c r="D4" s="44">
        <f>'SC12'!D7</f>
        <v>0</v>
      </c>
      <c r="E4" s="46">
        <f>'SC12'!E7</f>
        <v>0</v>
      </c>
      <c r="F4" s="44"/>
      <c r="G4" s="44"/>
      <c r="H4" s="44"/>
      <c r="I4" s="44"/>
      <c r="J4" s="44"/>
      <c r="K4" s="44"/>
    </row>
    <row r="5" spans="1:11" x14ac:dyDescent="0.2">
      <c r="A5" s="43" t="str">
        <f>LEFT('SC12'!A8,3)</f>
        <v>Sep</v>
      </c>
      <c r="B5" s="44">
        <f>'SC12'!B8</f>
        <v>81613647.633128002</v>
      </c>
      <c r="C5" s="44">
        <f>'SC12'!C8</f>
        <v>87521000</v>
      </c>
      <c r="D5" s="44">
        <f>'SC12'!D8</f>
        <v>0</v>
      </c>
      <c r="E5" s="46">
        <f>'SC12'!E8</f>
        <v>0</v>
      </c>
      <c r="F5" s="44"/>
      <c r="G5" s="44"/>
      <c r="H5" s="44"/>
      <c r="I5" s="44"/>
      <c r="J5" s="44"/>
      <c r="K5" s="44"/>
    </row>
    <row r="6" spans="1:11" x14ac:dyDescent="0.2">
      <c r="A6" s="43" t="str">
        <f>LEFT('SC12'!A9,3)</f>
        <v>Oct</v>
      </c>
      <c r="B6" s="44">
        <f>'SC12'!B9</f>
        <v>125253452.40719202</v>
      </c>
      <c r="C6" s="44">
        <f>'SC12'!C9</f>
        <v>116093000</v>
      </c>
      <c r="D6" s="44">
        <f>'SC12'!D9</f>
        <v>0</v>
      </c>
      <c r="E6" s="46">
        <f>'SC12'!E9</f>
        <v>0</v>
      </c>
      <c r="F6" s="44"/>
      <c r="G6" s="44"/>
      <c r="H6" s="44"/>
      <c r="I6" s="44"/>
      <c r="J6" s="44"/>
      <c r="K6" s="44"/>
    </row>
    <row r="7" spans="1:11" x14ac:dyDescent="0.2">
      <c r="A7" s="43" t="str">
        <f>LEFT('SC12'!A10,3)</f>
        <v>Nov</v>
      </c>
      <c r="B7" s="44">
        <f>'SC12'!B10</f>
        <v>117057421.92475198</v>
      </c>
      <c r="C7" s="44">
        <f>'SC12'!C10</f>
        <v>116300000</v>
      </c>
      <c r="D7" s="44">
        <f>'SC12'!D10</f>
        <v>0</v>
      </c>
      <c r="E7" s="46">
        <f>'SC12'!E10</f>
        <v>0</v>
      </c>
      <c r="F7" s="44"/>
      <c r="G7" s="44"/>
      <c r="H7" s="44"/>
      <c r="I7" s="44"/>
      <c r="J7" s="44"/>
      <c r="K7" s="44"/>
    </row>
    <row r="8" spans="1:11" x14ac:dyDescent="0.2">
      <c r="A8" s="43" t="str">
        <f>LEFT('SC12'!A11,3)</f>
        <v>Dec</v>
      </c>
      <c r="B8" s="44">
        <f>'SC12'!B11</f>
        <v>123680771.70764397</v>
      </c>
      <c r="C8" s="44">
        <f>'SC12'!C11</f>
        <v>132266000</v>
      </c>
      <c r="D8" s="44">
        <f>'SC12'!D11</f>
        <v>0</v>
      </c>
      <c r="E8" s="46">
        <f>'SC12'!E11</f>
        <v>0</v>
      </c>
      <c r="F8" s="44"/>
      <c r="G8" s="44"/>
      <c r="H8" s="44"/>
      <c r="I8" s="44"/>
      <c r="J8" s="44"/>
      <c r="K8" s="44"/>
    </row>
    <row r="9" spans="1:11" x14ac:dyDescent="0.2">
      <c r="A9" s="43" t="str">
        <f>LEFT('SC12'!A12,3)</f>
        <v>Jan</v>
      </c>
      <c r="B9" s="44">
        <f>'SC12'!B12</f>
        <v>56304819.371612005</v>
      </c>
      <c r="C9" s="44">
        <f>'SC12'!C12</f>
        <v>132336000</v>
      </c>
      <c r="D9" s="44">
        <f>'SC12'!D12</f>
        <v>0</v>
      </c>
      <c r="E9" s="46">
        <f>'SC12'!E12</f>
        <v>0</v>
      </c>
      <c r="F9" s="44"/>
      <c r="G9" s="44"/>
      <c r="H9" s="44"/>
      <c r="I9" s="44"/>
      <c r="J9" s="44"/>
      <c r="K9" s="44"/>
    </row>
    <row r="10" spans="1:11" x14ac:dyDescent="0.2">
      <c r="A10" s="43" t="str">
        <f>LEFT('SC12'!A13,3)</f>
        <v>Feb</v>
      </c>
      <c r="B10" s="44">
        <f>'SC12'!B13</f>
        <v>29352943.087880004</v>
      </c>
      <c r="C10" s="44">
        <f>'SC12'!C13</f>
        <v>132336000</v>
      </c>
      <c r="D10" s="44">
        <f>'SC12'!D13</f>
        <v>0</v>
      </c>
      <c r="E10" s="46">
        <f>'SC12'!E13</f>
        <v>0</v>
      </c>
      <c r="F10" s="44"/>
      <c r="G10" s="44"/>
      <c r="H10" s="44"/>
      <c r="I10" s="44"/>
      <c r="J10" s="44"/>
      <c r="K10" s="44"/>
    </row>
    <row r="11" spans="1:11" x14ac:dyDescent="0.2">
      <c r="A11" s="43" t="str">
        <f>LEFT('SC12'!A14,3)</f>
        <v>Mar</v>
      </c>
      <c r="B11" s="44">
        <f>'SC12'!B14</f>
        <v>152645868.564648</v>
      </c>
      <c r="C11" s="44">
        <f>'SC12'!C14</f>
        <v>199883000</v>
      </c>
      <c r="D11" s="44">
        <f>'SC12'!D14</f>
        <v>0</v>
      </c>
      <c r="E11" s="46">
        <f>'SC12'!E14</f>
        <v>0</v>
      </c>
      <c r="F11" s="44"/>
      <c r="G11" s="44"/>
      <c r="H11" s="44"/>
      <c r="I11" s="44"/>
      <c r="J11" s="44"/>
      <c r="K11" s="44"/>
    </row>
    <row r="12" spans="1:11" x14ac:dyDescent="0.2">
      <c r="A12" s="43" t="str">
        <f>LEFT('SC12'!A15,3)</f>
        <v>Apr</v>
      </c>
      <c r="B12" s="44">
        <f>'SC12'!B15</f>
        <v>67570203.105097041</v>
      </c>
      <c r="C12" s="44">
        <f>'SC12'!C15</f>
        <v>227676000</v>
      </c>
      <c r="D12" s="44">
        <f>'SC12'!D15</f>
        <v>0</v>
      </c>
      <c r="E12" s="46">
        <f>'SC12'!E15</f>
        <v>0</v>
      </c>
      <c r="F12" s="44"/>
      <c r="G12" s="44"/>
      <c r="H12" s="44"/>
      <c r="I12" s="44"/>
      <c r="J12" s="44"/>
      <c r="K12" s="44"/>
    </row>
    <row r="13" spans="1:11" x14ac:dyDescent="0.2">
      <c r="A13" s="43" t="str">
        <f>LEFT('SC12'!A16,3)</f>
        <v>May</v>
      </c>
      <c r="B13" s="44">
        <f>'SC12'!B16</f>
        <v>36486409.166999996</v>
      </c>
      <c r="C13" s="44">
        <f>'SC12'!C16</f>
        <v>297703000</v>
      </c>
      <c r="D13" s="44">
        <f>'SC12'!D16</f>
        <v>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0</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38885000</v>
      </c>
      <c r="D28" s="44"/>
      <c r="E28" s="44"/>
      <c r="F28" s="44"/>
      <c r="G28" s="44"/>
      <c r="H28" s="44"/>
      <c r="I28" s="44"/>
    </row>
    <row r="29" spans="1:10" x14ac:dyDescent="0.2">
      <c r="A29" s="43" t="str">
        <f>LEFT('SC12'!A7,3)</f>
        <v>Aug</v>
      </c>
      <c r="B29" s="44" t="str">
        <f>'SC12'!F7</f>
        <v/>
      </c>
      <c r="C29" s="46">
        <f>'SC12'!G7</f>
        <v>91812000</v>
      </c>
      <c r="D29" s="44"/>
      <c r="E29" s="44"/>
      <c r="F29" s="44"/>
      <c r="G29" s="44"/>
      <c r="H29" s="44"/>
      <c r="I29" s="44"/>
    </row>
    <row r="30" spans="1:10" x14ac:dyDescent="0.2">
      <c r="A30" s="43" t="str">
        <f>LEFT('SC12'!A8,3)</f>
        <v>Sep</v>
      </c>
      <c r="B30" s="44" t="str">
        <f>'SC12'!F8</f>
        <v/>
      </c>
      <c r="C30" s="46">
        <f>'SC12'!G8</f>
        <v>179333000</v>
      </c>
      <c r="D30" s="44"/>
      <c r="E30" s="44"/>
      <c r="F30" s="44"/>
      <c r="G30" s="44"/>
      <c r="H30" s="44"/>
      <c r="I30" s="44"/>
    </row>
    <row r="31" spans="1:10" x14ac:dyDescent="0.2">
      <c r="A31" s="43" t="str">
        <f>LEFT('SC12'!A9,3)</f>
        <v>Oct</v>
      </c>
      <c r="B31" s="44" t="str">
        <f>'SC12'!F9</f>
        <v/>
      </c>
      <c r="C31" s="46">
        <f>'SC12'!G9</f>
        <v>295426000</v>
      </c>
      <c r="D31" s="44"/>
      <c r="E31" s="44"/>
      <c r="F31" s="44"/>
      <c r="G31" s="44"/>
      <c r="H31" s="44"/>
      <c r="I31" s="44"/>
    </row>
    <row r="32" spans="1:10" x14ac:dyDescent="0.2">
      <c r="A32" s="43" t="str">
        <f>LEFT('SC12'!A10,3)</f>
        <v>Nov</v>
      </c>
      <c r="B32" s="44" t="str">
        <f>'SC12'!F10</f>
        <v/>
      </c>
      <c r="C32" s="46">
        <f>'SC12'!G10</f>
        <v>411726000</v>
      </c>
      <c r="D32" s="44"/>
      <c r="E32" s="44"/>
      <c r="F32" s="44"/>
      <c r="G32" s="44"/>
      <c r="H32" s="44"/>
      <c r="I32" s="44"/>
    </row>
    <row r="33" spans="1:9" x14ac:dyDescent="0.2">
      <c r="A33" s="43" t="str">
        <f>LEFT('SC12'!A11,3)</f>
        <v>Dec</v>
      </c>
      <c r="B33" s="44" t="str">
        <f>'SC12'!F11</f>
        <v/>
      </c>
      <c r="C33" s="46">
        <f>'SC12'!G11</f>
        <v>543992000</v>
      </c>
      <c r="D33" s="44"/>
      <c r="E33" s="44"/>
      <c r="F33" s="44"/>
      <c r="G33" s="44"/>
      <c r="H33" s="44"/>
      <c r="I33" s="44"/>
    </row>
    <row r="34" spans="1:9" x14ac:dyDescent="0.2">
      <c r="A34" s="43" t="str">
        <f>LEFT('SC12'!A12,3)</f>
        <v>Jan</v>
      </c>
      <c r="B34" s="44" t="str">
        <f>'SC12'!F12</f>
        <v/>
      </c>
      <c r="C34" s="46">
        <f>'SC12'!G12</f>
        <v>676328000</v>
      </c>
      <c r="D34" s="44"/>
      <c r="E34" s="44"/>
      <c r="F34" s="44"/>
      <c r="G34" s="44"/>
      <c r="H34" s="44"/>
      <c r="I34" s="44"/>
    </row>
    <row r="35" spans="1:9" x14ac:dyDescent="0.2">
      <c r="A35" s="43" t="str">
        <f>LEFT('SC12'!A13,3)</f>
        <v>Feb</v>
      </c>
      <c r="B35" s="44" t="str">
        <f>'SC12'!F13</f>
        <v/>
      </c>
      <c r="C35" s="46">
        <f>'SC12'!G13</f>
        <v>808664000</v>
      </c>
      <c r="D35" s="44"/>
      <c r="E35" s="44"/>
      <c r="F35" s="44"/>
      <c r="G35" s="44"/>
      <c r="H35" s="44"/>
      <c r="I35" s="44"/>
    </row>
    <row r="36" spans="1:9" x14ac:dyDescent="0.2">
      <c r="A36" s="43" t="str">
        <f>LEFT('SC12'!A14,3)</f>
        <v>Mar</v>
      </c>
      <c r="B36" s="44" t="str">
        <f>'SC12'!F14</f>
        <v/>
      </c>
      <c r="C36" s="46">
        <f>'SC12'!G14</f>
        <v>1008547000</v>
      </c>
      <c r="D36" s="44"/>
      <c r="E36" s="44"/>
      <c r="F36" s="44"/>
      <c r="G36" s="44"/>
      <c r="H36" s="44"/>
      <c r="I36" s="44"/>
    </row>
    <row r="37" spans="1:9" x14ac:dyDescent="0.2">
      <c r="A37" s="43" t="str">
        <f>LEFT('SC12'!A15,3)</f>
        <v>Apr</v>
      </c>
      <c r="B37" s="44" t="str">
        <f>'SC12'!F15</f>
        <v/>
      </c>
      <c r="C37" s="46">
        <f>'SC12'!G15</f>
        <v>1236223000</v>
      </c>
      <c r="D37" s="44"/>
      <c r="E37" s="44"/>
      <c r="F37" s="44"/>
      <c r="G37" s="44"/>
      <c r="H37" s="44"/>
      <c r="I37" s="44"/>
    </row>
    <row r="38" spans="1:9" x14ac:dyDescent="0.2">
      <c r="A38" s="43" t="str">
        <f>LEFT('SC12'!A16,3)</f>
        <v>May</v>
      </c>
      <c r="B38" s="44" t="str">
        <f>'SC12'!F16</f>
        <v/>
      </c>
      <c r="C38" s="46">
        <f>'SC12'!G16</f>
        <v>1533926000</v>
      </c>
      <c r="D38" s="44"/>
      <c r="E38" s="44"/>
      <c r="F38" s="44"/>
      <c r="G38" s="44"/>
      <c r="H38" s="44"/>
      <c r="I38" s="44"/>
    </row>
    <row r="39" spans="1:9" x14ac:dyDescent="0.2">
      <c r="A39" s="92" t="str">
        <f>LEFT('SC12'!A17,3)</f>
        <v>Jun</v>
      </c>
      <c r="B39" s="359" t="str">
        <f>'SC12'!F17</f>
        <v/>
      </c>
      <c r="C39" s="360">
        <f>'SC12'!G17</f>
        <v>1889185999.5999999</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142667460</v>
      </c>
      <c r="C53" s="44">
        <f>'SC3'!D14</f>
        <v>19033220</v>
      </c>
      <c r="D53" s="44">
        <f>'SC3'!E14</f>
        <v>43004421</v>
      </c>
      <c r="E53" s="44">
        <f>'SC3'!F14</f>
        <v>31038730</v>
      </c>
      <c r="F53" s="44">
        <f>'SC3'!G14</f>
        <v>26349847</v>
      </c>
      <c r="G53" s="44">
        <f>'SC3'!H14</f>
        <v>28208855</v>
      </c>
      <c r="H53" s="44">
        <f>'SC3'!I14</f>
        <v>123071133</v>
      </c>
      <c r="I53" s="44">
        <f>'SC3'!J14</f>
        <v>819335746</v>
      </c>
    </row>
    <row r="54" spans="1:9" x14ac:dyDescent="0.2">
      <c r="A54" s="62" t="str">
        <f>Head1</f>
        <v>2018/19</v>
      </c>
      <c r="B54" s="44">
        <f>'SC3'!C15</f>
        <v>9774314.6899999958</v>
      </c>
      <c r="C54" s="44">
        <f>'SC3'!D15</f>
        <v>51932577.530000001</v>
      </c>
      <c r="D54" s="44">
        <f>'SC3'!E15</f>
        <v>112976705.56</v>
      </c>
      <c r="E54" s="44">
        <f>'SC3'!F15</f>
        <v>31075597.170000002</v>
      </c>
      <c r="F54" s="44">
        <f>'SC3'!G15</f>
        <v>23156396.690000005</v>
      </c>
      <c r="G54" s="44">
        <f>'SC3'!H15</f>
        <v>20564553.580000002</v>
      </c>
      <c r="H54" s="44">
        <f>'SC3'!I15</f>
        <v>99693556.989999995</v>
      </c>
      <c r="I54" s="44">
        <f>'SC3'!J15</f>
        <v>640786620.23000002</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114310773.25999999</v>
      </c>
      <c r="C78" s="44">
        <f>'SC3'!K17</f>
        <v>117846158</v>
      </c>
      <c r="D78" s="44"/>
      <c r="E78" s="44"/>
      <c r="F78" s="44"/>
      <c r="G78" s="44"/>
      <c r="H78" s="44"/>
      <c r="I78" s="44"/>
      <c r="J78" s="44"/>
    </row>
    <row r="79" spans="1:10" x14ac:dyDescent="0.2">
      <c r="A79" s="62" t="str">
        <f>'SC3'!A18</f>
        <v>Commercial</v>
      </c>
      <c r="B79" s="44">
        <f>C79*0.97</f>
        <v>281233048.65999997</v>
      </c>
      <c r="C79" s="44">
        <f>'SC3'!K18</f>
        <v>289930978</v>
      </c>
      <c r="D79" s="44"/>
      <c r="E79" s="44"/>
      <c r="F79" s="44"/>
      <c r="G79" s="44"/>
      <c r="H79" s="44"/>
      <c r="I79" s="44"/>
      <c r="J79" s="44"/>
    </row>
    <row r="80" spans="1:10" x14ac:dyDescent="0.2">
      <c r="A80" s="62" t="str">
        <f>'SC3'!A19</f>
        <v>Households</v>
      </c>
      <c r="B80" s="44">
        <f>C80*0.97</f>
        <v>800184307.72000003</v>
      </c>
      <c r="C80" s="44">
        <f>'SC3'!K19</f>
        <v>824932276</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68222563.709999993</v>
      </c>
      <c r="C103" s="408">
        <f>'SC4'!L7</f>
        <v>17731421.079999998</v>
      </c>
      <c r="D103" s="408">
        <f>'SC4'!L8</f>
        <v>0</v>
      </c>
      <c r="E103" s="408">
        <f>'SC4'!L9</f>
        <v>0</v>
      </c>
      <c r="F103" s="408">
        <f>'SC4'!L10</f>
        <v>0</v>
      </c>
      <c r="G103" s="408">
        <f>'SC4'!L11</f>
        <v>0</v>
      </c>
      <c r="H103" s="408">
        <f>'SC4'!L12</f>
        <v>93064646.700000003</v>
      </c>
      <c r="I103" s="408">
        <f>'SC4'!L13</f>
        <v>0</v>
      </c>
      <c r="J103" s="408">
        <f>'SC4'!L14</f>
        <v>0</v>
      </c>
    </row>
    <row r="104" spans="1:10" x14ac:dyDescent="0.2">
      <c r="A104" s="62" t="str">
        <f>A53</f>
        <v>Budget Year 2019/20</v>
      </c>
      <c r="B104" s="44">
        <f>'SC4'!K6</f>
        <v>103685109.11</v>
      </c>
      <c r="C104" s="44">
        <f>'SC4'!K7</f>
        <v>21024027.260000002</v>
      </c>
      <c r="D104" s="44">
        <f>'SC4'!K8</f>
        <v>0</v>
      </c>
      <c r="E104" s="44">
        <f>'SC4'!K9</f>
        <v>0</v>
      </c>
      <c r="F104" s="44">
        <f>'SC4'!K10</f>
        <v>0</v>
      </c>
      <c r="G104" s="44">
        <f>'SC4'!K11</f>
        <v>0</v>
      </c>
      <c r="H104" s="44">
        <f>'SC4'!K12</f>
        <v>60769506.629999988</v>
      </c>
      <c r="I104" s="44">
        <f>'SC4'!K13</f>
        <v>0</v>
      </c>
      <c r="J104" s="44">
        <f>'SC4'!K14</f>
        <v>0</v>
      </c>
    </row>
    <row r="106" spans="1:10" ht="12" customHeight="1" x14ac:dyDescent="0.2">
      <c r="A106" s="62"/>
      <c r="B106" s="44"/>
      <c r="C106" s="44"/>
    </row>
  </sheetData>
  <sheetProtection selectLockedCells="1" selectUnlockedCells="1"/>
  <phoneticPr fontId="8"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5" t="s">
        <v>190</v>
      </c>
      <c r="C28" s="1" t="s">
        <v>191</v>
      </c>
    </row>
    <row r="29" spans="1:3" ht="13.2" x14ac:dyDescent="0.25">
      <c r="B29" s="896" t="s">
        <v>1085</v>
      </c>
      <c r="C29" s="897" t="s">
        <v>1130</v>
      </c>
    </row>
    <row r="30" spans="1:3" ht="13.2" x14ac:dyDescent="0.25">
      <c r="B30" s="896" t="s">
        <v>1086</v>
      </c>
      <c r="C30" s="898" t="s">
        <v>1130</v>
      </c>
    </row>
    <row r="31" spans="1:3" ht="13.2" x14ac:dyDescent="0.25">
      <c r="B31" s="896" t="s">
        <v>1139</v>
      </c>
      <c r="C31" s="897" t="s">
        <v>1130</v>
      </c>
    </row>
    <row r="32" spans="1:3" ht="13.2" x14ac:dyDescent="0.25">
      <c r="B32" s="896" t="s">
        <v>227</v>
      </c>
      <c r="C32" s="897" t="s">
        <v>1130</v>
      </c>
    </row>
    <row r="33" spans="2:3" ht="13.2" x14ac:dyDescent="0.25">
      <c r="B33" s="896" t="s">
        <v>228</v>
      </c>
      <c r="C33" s="897" t="s">
        <v>1130</v>
      </c>
    </row>
    <row r="34" spans="2:3" ht="13.2" x14ac:dyDescent="0.25">
      <c r="B34" s="896" t="s">
        <v>229</v>
      </c>
      <c r="C34" s="897" t="s">
        <v>1130</v>
      </c>
    </row>
    <row r="35" spans="2:3" ht="13.2" x14ac:dyDescent="0.25">
      <c r="B35" s="896" t="s">
        <v>230</v>
      </c>
      <c r="C35" s="897" t="s">
        <v>1130</v>
      </c>
    </row>
    <row r="36" spans="2:3" ht="13.2" x14ac:dyDescent="0.25">
      <c r="B36" s="896" t="s">
        <v>231</v>
      </c>
      <c r="C36" s="898" t="s">
        <v>1130</v>
      </c>
    </row>
    <row r="37" spans="2:3" ht="13.2" x14ac:dyDescent="0.25">
      <c r="B37" s="896" t="s">
        <v>1006</v>
      </c>
      <c r="C37" s="897" t="s">
        <v>1130</v>
      </c>
    </row>
    <row r="38" spans="2:3" ht="13.2" x14ac:dyDescent="0.25">
      <c r="B38" s="896" t="s">
        <v>1121</v>
      </c>
      <c r="C38" s="899" t="s">
        <v>1130</v>
      </c>
    </row>
    <row r="39" spans="2:3" ht="13.2" x14ac:dyDescent="0.25">
      <c r="B39" s="896" t="s">
        <v>232</v>
      </c>
      <c r="C39" s="899" t="s">
        <v>1130</v>
      </c>
    </row>
    <row r="40" spans="2:3" ht="13.2" x14ac:dyDescent="0.25">
      <c r="B40" s="896" t="s">
        <v>233</v>
      </c>
      <c r="C40" s="900" t="s">
        <v>1130</v>
      </c>
    </row>
    <row r="41" spans="2:3" ht="13.2" x14ac:dyDescent="0.25">
      <c r="B41" s="896" t="s">
        <v>234</v>
      </c>
      <c r="C41" s="900" t="s">
        <v>1130</v>
      </c>
    </row>
    <row r="42" spans="2:3" ht="13.2" x14ac:dyDescent="0.25">
      <c r="B42" s="896" t="s">
        <v>235</v>
      </c>
      <c r="C42" s="900" t="s">
        <v>1130</v>
      </c>
    </row>
    <row r="43" spans="2:3" ht="13.2" x14ac:dyDescent="0.25">
      <c r="B43" s="896" t="s">
        <v>236</v>
      </c>
      <c r="C43" s="900" t="s">
        <v>1130</v>
      </c>
    </row>
    <row r="44" spans="2:3" ht="13.2" x14ac:dyDescent="0.25">
      <c r="B44" s="926" t="s">
        <v>1140</v>
      </c>
      <c r="C44" s="900" t="s">
        <v>1130</v>
      </c>
    </row>
    <row r="45" spans="2:3" ht="13.2" x14ac:dyDescent="0.25">
      <c r="B45" s="896" t="s">
        <v>193</v>
      </c>
      <c r="C45" s="900" t="s">
        <v>1130</v>
      </c>
    </row>
    <row r="46" spans="2:3" ht="13.2" x14ac:dyDescent="0.25">
      <c r="B46" s="896" t="s">
        <v>237</v>
      </c>
      <c r="C46" s="900" t="s">
        <v>1130</v>
      </c>
    </row>
    <row r="47" spans="2:3" ht="13.2" x14ac:dyDescent="0.25">
      <c r="B47" s="896" t="s">
        <v>238</v>
      </c>
      <c r="C47" s="900" t="s">
        <v>1130</v>
      </c>
    </row>
    <row r="48" spans="2:3" ht="13.2" x14ac:dyDescent="0.25">
      <c r="B48" s="896" t="s">
        <v>239</v>
      </c>
      <c r="C48" s="900" t="s">
        <v>1130</v>
      </c>
    </row>
    <row r="49" spans="2:3" ht="13.2" x14ac:dyDescent="0.25">
      <c r="B49" s="896" t="s">
        <v>240</v>
      </c>
      <c r="C49" s="900" t="s">
        <v>1130</v>
      </c>
    </row>
    <row r="50" spans="2:3" ht="13.2" x14ac:dyDescent="0.25">
      <c r="B50" s="896" t="s">
        <v>241</v>
      </c>
      <c r="C50" s="899" t="s">
        <v>1130</v>
      </c>
    </row>
    <row r="51" spans="2:3" ht="13.2" x14ac:dyDescent="0.25">
      <c r="B51" s="926" t="s">
        <v>1141</v>
      </c>
      <c r="C51" s="899" t="s">
        <v>1130</v>
      </c>
    </row>
    <row r="52" spans="2:3" ht="13.2" x14ac:dyDescent="0.25">
      <c r="B52" s="896" t="s">
        <v>194</v>
      </c>
      <c r="C52" s="899" t="s">
        <v>1130</v>
      </c>
    </row>
    <row r="53" spans="2:3" ht="13.2" x14ac:dyDescent="0.25">
      <c r="B53" s="896" t="s">
        <v>242</v>
      </c>
      <c r="C53" s="899" t="s">
        <v>1130</v>
      </c>
    </row>
    <row r="54" spans="2:3" ht="13.2" x14ac:dyDescent="0.25">
      <c r="B54" s="896" t="s">
        <v>243</v>
      </c>
      <c r="C54" s="899" t="s">
        <v>1130</v>
      </c>
    </row>
    <row r="55" spans="2:3" ht="13.2" x14ac:dyDescent="0.25">
      <c r="B55" s="926" t="s">
        <v>1142</v>
      </c>
      <c r="C55" s="899" t="s">
        <v>1130</v>
      </c>
    </row>
    <row r="56" spans="2:3" ht="13.2" x14ac:dyDescent="0.25">
      <c r="B56" s="896" t="s">
        <v>1004</v>
      </c>
      <c r="C56" s="899" t="s">
        <v>1130</v>
      </c>
    </row>
    <row r="57" spans="2:3" ht="13.2" x14ac:dyDescent="0.25">
      <c r="B57" s="896" t="s">
        <v>244</v>
      </c>
      <c r="C57" s="655" t="s">
        <v>1130</v>
      </c>
    </row>
    <row r="58" spans="2:3" ht="13.2" x14ac:dyDescent="0.25">
      <c r="B58" s="896" t="s">
        <v>245</v>
      </c>
      <c r="C58" s="655" t="s">
        <v>1130</v>
      </c>
    </row>
    <row r="59" spans="2:3" ht="13.2" x14ac:dyDescent="0.25">
      <c r="B59" s="896" t="s">
        <v>246</v>
      </c>
      <c r="C59" s="899" t="s">
        <v>1130</v>
      </c>
    </row>
    <row r="60" spans="2:3" ht="13.2" x14ac:dyDescent="0.25">
      <c r="B60" s="896" t="s">
        <v>247</v>
      </c>
      <c r="C60" s="899" t="s">
        <v>1130</v>
      </c>
    </row>
    <row r="61" spans="2:3" ht="13.2" x14ac:dyDescent="0.25">
      <c r="B61" s="896" t="s">
        <v>248</v>
      </c>
      <c r="C61" s="899" t="s">
        <v>1130</v>
      </c>
    </row>
    <row r="62" spans="2:3" ht="13.2" x14ac:dyDescent="0.25">
      <c r="B62" s="896" t="s">
        <v>195</v>
      </c>
      <c r="C62" s="899" t="s">
        <v>1130</v>
      </c>
    </row>
    <row r="63" spans="2:3" ht="13.2" x14ac:dyDescent="0.25">
      <c r="B63" s="896" t="s">
        <v>249</v>
      </c>
      <c r="C63" s="900" t="s">
        <v>1130</v>
      </c>
    </row>
    <row r="64" spans="2:3" ht="13.2" x14ac:dyDescent="0.25">
      <c r="B64" s="896" t="s">
        <v>250</v>
      </c>
      <c r="C64" s="899" t="s">
        <v>1130</v>
      </c>
    </row>
    <row r="65" spans="2:3" ht="13.2" x14ac:dyDescent="0.25">
      <c r="B65" s="896" t="s">
        <v>1080</v>
      </c>
      <c r="C65" s="899" t="s">
        <v>1130</v>
      </c>
    </row>
    <row r="66" spans="2:3" ht="13.2" x14ac:dyDescent="0.25">
      <c r="B66" s="896" t="s">
        <v>1081</v>
      </c>
      <c r="C66" s="899" t="s">
        <v>1130</v>
      </c>
    </row>
    <row r="67" spans="2:3" ht="13.2" x14ac:dyDescent="0.25">
      <c r="B67" s="896" t="s">
        <v>222</v>
      </c>
      <c r="C67" s="899" t="s">
        <v>1130</v>
      </c>
    </row>
    <row r="68" spans="2:3" ht="13.2" x14ac:dyDescent="0.25">
      <c r="B68" s="896" t="s">
        <v>1087</v>
      </c>
      <c r="C68" s="899" t="s">
        <v>1131</v>
      </c>
    </row>
    <row r="69" spans="2:3" ht="13.2" x14ac:dyDescent="0.25">
      <c r="B69" s="896" t="s">
        <v>251</v>
      </c>
      <c r="C69" s="899" t="s">
        <v>1131</v>
      </c>
    </row>
    <row r="70" spans="2:3" ht="13.2" x14ac:dyDescent="0.25">
      <c r="B70" s="896" t="s">
        <v>252</v>
      </c>
      <c r="C70" s="899" t="s">
        <v>1131</v>
      </c>
    </row>
    <row r="71" spans="2:3" ht="13.2" x14ac:dyDescent="0.25">
      <c r="B71" s="896" t="s">
        <v>253</v>
      </c>
      <c r="C71" s="899" t="s">
        <v>1131</v>
      </c>
    </row>
    <row r="72" spans="2:3" ht="13.2" x14ac:dyDescent="0.25">
      <c r="B72" s="896" t="s">
        <v>196</v>
      </c>
      <c r="C72" s="899" t="s">
        <v>1131</v>
      </c>
    </row>
    <row r="73" spans="2:3" ht="13.2" x14ac:dyDescent="0.25">
      <c r="B73" s="896" t="s">
        <v>254</v>
      </c>
      <c r="C73" s="899" t="s">
        <v>1131</v>
      </c>
    </row>
    <row r="74" spans="2:3" ht="13.2" x14ac:dyDescent="0.25">
      <c r="B74" s="896" t="s">
        <v>255</v>
      </c>
      <c r="C74" s="899" t="s">
        <v>1131</v>
      </c>
    </row>
    <row r="75" spans="2:3" ht="13.2" x14ac:dyDescent="0.25">
      <c r="B75" s="896" t="s">
        <v>256</v>
      </c>
      <c r="C75" s="899" t="s">
        <v>1131</v>
      </c>
    </row>
    <row r="76" spans="2:3" ht="13.2" x14ac:dyDescent="0.25">
      <c r="B76" s="896" t="s">
        <v>257</v>
      </c>
      <c r="C76" s="899" t="s">
        <v>1131</v>
      </c>
    </row>
    <row r="77" spans="2:3" ht="13.2" x14ac:dyDescent="0.25">
      <c r="B77" s="896" t="s">
        <v>258</v>
      </c>
      <c r="C77" s="899" t="s">
        <v>1131</v>
      </c>
    </row>
    <row r="78" spans="2:3" ht="13.2" x14ac:dyDescent="0.25">
      <c r="B78" s="896" t="s">
        <v>197</v>
      </c>
      <c r="C78" s="899" t="s">
        <v>1131</v>
      </c>
    </row>
    <row r="79" spans="2:3" ht="13.2" x14ac:dyDescent="0.25">
      <c r="B79" s="896" t="s">
        <v>259</v>
      </c>
      <c r="C79" s="899" t="s">
        <v>1131</v>
      </c>
    </row>
    <row r="80" spans="2:3" ht="13.2" x14ac:dyDescent="0.25">
      <c r="B80" s="896" t="s">
        <v>260</v>
      </c>
      <c r="C80" s="899" t="s">
        <v>1131</v>
      </c>
    </row>
    <row r="81" spans="2:3" ht="13.2" x14ac:dyDescent="0.25">
      <c r="B81" s="896" t="s">
        <v>261</v>
      </c>
      <c r="C81" s="899" t="s">
        <v>1131</v>
      </c>
    </row>
    <row r="82" spans="2:3" ht="13.2" x14ac:dyDescent="0.25">
      <c r="B82" s="896" t="s">
        <v>262</v>
      </c>
      <c r="C82" s="899" t="s">
        <v>1131</v>
      </c>
    </row>
    <row r="83" spans="2:3" ht="13.2" x14ac:dyDescent="0.25">
      <c r="B83" s="896" t="s">
        <v>263</v>
      </c>
      <c r="C83" s="899" t="s">
        <v>1131</v>
      </c>
    </row>
    <row r="84" spans="2:3" ht="13.2" x14ac:dyDescent="0.25">
      <c r="B84" s="896" t="s">
        <v>1082</v>
      </c>
      <c r="C84" s="899" t="s">
        <v>1131</v>
      </c>
    </row>
    <row r="85" spans="2:3" ht="13.2" x14ac:dyDescent="0.25">
      <c r="B85" s="896" t="s">
        <v>198</v>
      </c>
      <c r="C85" s="899" t="s">
        <v>1131</v>
      </c>
    </row>
    <row r="86" spans="2:3" ht="13.2" x14ac:dyDescent="0.25">
      <c r="B86" s="896" t="s">
        <v>264</v>
      </c>
      <c r="C86" s="899" t="s">
        <v>1131</v>
      </c>
    </row>
    <row r="87" spans="2:3" ht="13.2" x14ac:dyDescent="0.25">
      <c r="B87" s="896" t="s">
        <v>265</v>
      </c>
      <c r="C87" s="899" t="s">
        <v>1131</v>
      </c>
    </row>
    <row r="88" spans="2:3" ht="13.2" x14ac:dyDescent="0.25">
      <c r="B88" s="896" t="s">
        <v>266</v>
      </c>
      <c r="C88" s="899" t="s">
        <v>1131</v>
      </c>
    </row>
    <row r="89" spans="2:3" ht="13.2" x14ac:dyDescent="0.25">
      <c r="B89" s="896" t="s">
        <v>267</v>
      </c>
      <c r="C89" s="899" t="s">
        <v>1131</v>
      </c>
    </row>
    <row r="90" spans="2:3" ht="13.2" x14ac:dyDescent="0.25">
      <c r="B90" s="896" t="s">
        <v>199</v>
      </c>
      <c r="C90" s="899" t="s">
        <v>1131</v>
      </c>
    </row>
    <row r="91" spans="2:3" ht="13.2" x14ac:dyDescent="0.25">
      <c r="B91" s="896" t="s">
        <v>1088</v>
      </c>
      <c r="C91" s="899" t="s">
        <v>1132</v>
      </c>
    </row>
    <row r="92" spans="2:3" ht="13.2" x14ac:dyDescent="0.25">
      <c r="B92" s="896" t="s">
        <v>1089</v>
      </c>
      <c r="C92" s="899" t="s">
        <v>1132</v>
      </c>
    </row>
    <row r="93" spans="2:3" ht="13.2" x14ac:dyDescent="0.25">
      <c r="B93" s="896" t="s">
        <v>1090</v>
      </c>
      <c r="C93" s="899" t="s">
        <v>1132</v>
      </c>
    </row>
    <row r="94" spans="2:3" ht="13.2" x14ac:dyDescent="0.25">
      <c r="B94" s="896" t="s">
        <v>268</v>
      </c>
      <c r="C94" s="899" t="s">
        <v>1132</v>
      </c>
    </row>
    <row r="95" spans="2:3" ht="13.2" x14ac:dyDescent="0.25">
      <c r="B95" s="896" t="s">
        <v>269</v>
      </c>
      <c r="C95" s="899" t="s">
        <v>1132</v>
      </c>
    </row>
    <row r="96" spans="2:3" ht="13.2" x14ac:dyDescent="0.25">
      <c r="B96" s="896" t="s">
        <v>270</v>
      </c>
      <c r="C96" s="899" t="s">
        <v>1132</v>
      </c>
    </row>
    <row r="97" spans="2:3" ht="13.2" x14ac:dyDescent="0.25">
      <c r="B97" s="896" t="s">
        <v>221</v>
      </c>
      <c r="C97" s="899" t="s">
        <v>1132</v>
      </c>
    </row>
    <row r="98" spans="2:3" ht="13.2" x14ac:dyDescent="0.25">
      <c r="B98" s="896" t="s">
        <v>271</v>
      </c>
      <c r="C98" s="899" t="s">
        <v>1132</v>
      </c>
    </row>
    <row r="99" spans="2:3" ht="13.2" x14ac:dyDescent="0.25">
      <c r="B99" s="896" t="s">
        <v>1007</v>
      </c>
      <c r="C99" s="899" t="s">
        <v>1132</v>
      </c>
    </row>
    <row r="100" spans="2:3" ht="13.2" x14ac:dyDescent="0.25">
      <c r="B100" s="927" t="s">
        <v>1122</v>
      </c>
      <c r="C100" s="899" t="s">
        <v>1132</v>
      </c>
    </row>
    <row r="101" spans="2:3" ht="13.2" x14ac:dyDescent="0.25">
      <c r="B101" s="896" t="s">
        <v>223</v>
      </c>
      <c r="C101" s="899" t="s">
        <v>1132</v>
      </c>
    </row>
    <row r="102" spans="2:3" ht="13.2" x14ac:dyDescent="0.25">
      <c r="B102" s="896" t="s">
        <v>1091</v>
      </c>
      <c r="C102" s="899" t="s">
        <v>1133</v>
      </c>
    </row>
    <row r="103" spans="2:3" ht="13.2" x14ac:dyDescent="0.25">
      <c r="B103" s="896" t="s">
        <v>272</v>
      </c>
      <c r="C103" s="899" t="s">
        <v>1133</v>
      </c>
    </row>
    <row r="104" spans="2:3" ht="13.2" x14ac:dyDescent="0.25">
      <c r="B104" s="896" t="s">
        <v>273</v>
      </c>
      <c r="C104" s="899" t="s">
        <v>1133</v>
      </c>
    </row>
    <row r="105" spans="2:3" ht="13.2" x14ac:dyDescent="0.25">
      <c r="B105" s="896" t="s">
        <v>274</v>
      </c>
      <c r="C105" s="899" t="s">
        <v>1133</v>
      </c>
    </row>
    <row r="106" spans="2:3" ht="13.2" x14ac:dyDescent="0.25">
      <c r="B106" s="896" t="s">
        <v>1150</v>
      </c>
      <c r="C106" s="899" t="s">
        <v>1133</v>
      </c>
    </row>
    <row r="107" spans="2:3" ht="13.2" x14ac:dyDescent="0.25">
      <c r="B107" s="896" t="s">
        <v>200</v>
      </c>
      <c r="C107" s="899" t="s">
        <v>1133</v>
      </c>
    </row>
    <row r="108" spans="2:3" ht="13.2" x14ac:dyDescent="0.25">
      <c r="B108" s="896" t="s">
        <v>275</v>
      </c>
      <c r="C108" s="899" t="s">
        <v>1133</v>
      </c>
    </row>
    <row r="109" spans="2:3" ht="13.2" x14ac:dyDescent="0.25">
      <c r="B109" s="896" t="s">
        <v>276</v>
      </c>
      <c r="C109" s="899" t="s">
        <v>1133</v>
      </c>
    </row>
    <row r="110" spans="2:3" ht="13.2" x14ac:dyDescent="0.25">
      <c r="B110" s="896" t="s">
        <v>277</v>
      </c>
      <c r="C110" s="899" t="s">
        <v>1133</v>
      </c>
    </row>
    <row r="111" spans="2:3" ht="13.2" x14ac:dyDescent="0.25">
      <c r="B111" s="896" t="s">
        <v>278</v>
      </c>
      <c r="C111" s="899" t="s">
        <v>1133</v>
      </c>
    </row>
    <row r="112" spans="2:3" ht="13.2" x14ac:dyDescent="0.25">
      <c r="B112" s="896" t="s">
        <v>279</v>
      </c>
      <c r="C112" s="897" t="s">
        <v>1133</v>
      </c>
    </row>
    <row r="113" spans="2:3" ht="13.2" x14ac:dyDescent="0.25">
      <c r="B113" s="896" t="s">
        <v>280</v>
      </c>
      <c r="C113" s="897" t="s">
        <v>1133</v>
      </c>
    </row>
    <row r="114" spans="2:3" ht="13.2" x14ac:dyDescent="0.25">
      <c r="B114" s="896" t="s">
        <v>281</v>
      </c>
      <c r="C114" s="897" t="s">
        <v>1133</v>
      </c>
    </row>
    <row r="115" spans="2:3" ht="13.2" x14ac:dyDescent="0.25">
      <c r="B115" s="896" t="s">
        <v>201</v>
      </c>
      <c r="C115" s="897" t="s">
        <v>1133</v>
      </c>
    </row>
    <row r="116" spans="2:3" ht="13.2" x14ac:dyDescent="0.25">
      <c r="B116" s="896" t="s">
        <v>282</v>
      </c>
      <c r="C116" s="897" t="s">
        <v>1133</v>
      </c>
    </row>
    <row r="117" spans="2:3" ht="13.2" x14ac:dyDescent="0.25">
      <c r="B117" s="926" t="s">
        <v>1143</v>
      </c>
      <c r="C117" s="897" t="s">
        <v>1133</v>
      </c>
    </row>
    <row r="118" spans="2:3" ht="13.2" x14ac:dyDescent="0.25">
      <c r="B118" s="926" t="s">
        <v>1144</v>
      </c>
      <c r="C118" s="897" t="s">
        <v>1133</v>
      </c>
    </row>
    <row r="119" spans="2:3" ht="13.2" x14ac:dyDescent="0.25">
      <c r="B119" s="896" t="s">
        <v>202</v>
      </c>
      <c r="C119" s="897" t="s">
        <v>1133</v>
      </c>
    </row>
    <row r="120" spans="2:3" ht="13.2" x14ac:dyDescent="0.25">
      <c r="B120" s="896" t="s">
        <v>283</v>
      </c>
      <c r="C120" s="897" t="s">
        <v>1133</v>
      </c>
    </row>
    <row r="121" spans="2:3" ht="13.2" x14ac:dyDescent="0.25">
      <c r="B121" s="896" t="s">
        <v>284</v>
      </c>
      <c r="C121" s="897" t="s">
        <v>1133</v>
      </c>
    </row>
    <row r="122" spans="2:3" ht="13.2" x14ac:dyDescent="0.25">
      <c r="B122" s="896" t="s">
        <v>285</v>
      </c>
      <c r="C122" s="897" t="s">
        <v>1133</v>
      </c>
    </row>
    <row r="123" spans="2:3" ht="13.2" x14ac:dyDescent="0.25">
      <c r="B123" s="896" t="s">
        <v>287</v>
      </c>
      <c r="C123" s="897" t="s">
        <v>1133</v>
      </c>
    </row>
    <row r="124" spans="2:3" ht="13.2" x14ac:dyDescent="0.25">
      <c r="B124" s="896" t="s">
        <v>203</v>
      </c>
      <c r="C124" s="897" t="s">
        <v>1133</v>
      </c>
    </row>
    <row r="125" spans="2:3" ht="13.2" x14ac:dyDescent="0.25">
      <c r="B125" s="896" t="s">
        <v>288</v>
      </c>
      <c r="C125" s="897" t="s">
        <v>1133</v>
      </c>
    </row>
    <row r="126" spans="2:3" ht="13.2" x14ac:dyDescent="0.25">
      <c r="B126" s="896" t="s">
        <v>289</v>
      </c>
      <c r="C126" s="897" t="s">
        <v>1133</v>
      </c>
    </row>
    <row r="127" spans="2:3" ht="13.2" x14ac:dyDescent="0.25">
      <c r="B127" s="896" t="s">
        <v>290</v>
      </c>
      <c r="C127" s="897" t="s">
        <v>1133</v>
      </c>
    </row>
    <row r="128" spans="2:3" ht="13.2" x14ac:dyDescent="0.25">
      <c r="B128" s="896" t="s">
        <v>204</v>
      </c>
      <c r="C128" s="897" t="s">
        <v>1133</v>
      </c>
    </row>
    <row r="129" spans="2:3" ht="13.2" x14ac:dyDescent="0.25">
      <c r="B129" s="896" t="s">
        <v>291</v>
      </c>
      <c r="C129" s="897" t="s">
        <v>1133</v>
      </c>
    </row>
    <row r="130" spans="2:3" ht="13.2" x14ac:dyDescent="0.25">
      <c r="B130" s="896" t="s">
        <v>292</v>
      </c>
      <c r="C130" s="897" t="s">
        <v>1133</v>
      </c>
    </row>
    <row r="131" spans="2:3" ht="13.2" x14ac:dyDescent="0.25">
      <c r="B131" s="896" t="s">
        <v>293</v>
      </c>
      <c r="C131" s="897" t="s">
        <v>1133</v>
      </c>
    </row>
    <row r="132" spans="2:3" ht="13.2" x14ac:dyDescent="0.25">
      <c r="B132" s="896" t="s">
        <v>294</v>
      </c>
      <c r="C132" s="899" t="s">
        <v>1133</v>
      </c>
    </row>
    <row r="133" spans="2:3" ht="13.2" x14ac:dyDescent="0.25">
      <c r="B133" s="896" t="s">
        <v>295</v>
      </c>
      <c r="C133" s="899" t="s">
        <v>1133</v>
      </c>
    </row>
    <row r="134" spans="2:3" ht="13.2" x14ac:dyDescent="0.25">
      <c r="B134" s="896" t="s">
        <v>205</v>
      </c>
      <c r="C134" s="899" t="s">
        <v>1133</v>
      </c>
    </row>
    <row r="135" spans="2:3" ht="13.2" x14ac:dyDescent="0.25">
      <c r="B135" s="896" t="s">
        <v>296</v>
      </c>
      <c r="C135" s="899" t="s">
        <v>1133</v>
      </c>
    </row>
    <row r="136" spans="2:3" ht="13.2" x14ac:dyDescent="0.25">
      <c r="B136" s="896" t="s">
        <v>297</v>
      </c>
      <c r="C136" s="899" t="s">
        <v>1133</v>
      </c>
    </row>
    <row r="137" spans="2:3" ht="13.2" x14ac:dyDescent="0.25">
      <c r="B137" s="896" t="s">
        <v>298</v>
      </c>
      <c r="C137" s="899" t="s">
        <v>1133</v>
      </c>
    </row>
    <row r="138" spans="2:3" ht="13.2" x14ac:dyDescent="0.25">
      <c r="B138" s="926" t="s">
        <v>1145</v>
      </c>
      <c r="C138" s="899" t="s">
        <v>1133</v>
      </c>
    </row>
    <row r="139" spans="2:3" ht="13.2" x14ac:dyDescent="0.25">
      <c r="B139" s="896" t="s">
        <v>206</v>
      </c>
      <c r="C139" s="899" t="s">
        <v>1133</v>
      </c>
    </row>
    <row r="140" spans="2:3" ht="13.2" x14ac:dyDescent="0.25">
      <c r="B140" s="896" t="s">
        <v>1008</v>
      </c>
      <c r="C140" s="899" t="s">
        <v>1133</v>
      </c>
    </row>
    <row r="141" spans="2:3" ht="13.2" x14ac:dyDescent="0.25">
      <c r="B141" s="896" t="s">
        <v>299</v>
      </c>
      <c r="C141" s="899" t="s">
        <v>1133</v>
      </c>
    </row>
    <row r="142" spans="2:3" ht="13.2" x14ac:dyDescent="0.25">
      <c r="B142" s="896" t="s">
        <v>1009</v>
      </c>
      <c r="C142" s="900" t="s">
        <v>1133</v>
      </c>
    </row>
    <row r="143" spans="2:3" ht="13.2" x14ac:dyDescent="0.25">
      <c r="B143" s="896" t="s">
        <v>300</v>
      </c>
      <c r="C143" s="900" t="s">
        <v>1133</v>
      </c>
    </row>
    <row r="144" spans="2:3" ht="13.2" x14ac:dyDescent="0.25">
      <c r="B144" s="896" t="s">
        <v>301</v>
      </c>
      <c r="C144" s="900" t="s">
        <v>1133</v>
      </c>
    </row>
    <row r="145" spans="2:3" ht="13.2" x14ac:dyDescent="0.25">
      <c r="B145" s="896" t="s">
        <v>1146</v>
      </c>
      <c r="C145" s="900" t="s">
        <v>1133</v>
      </c>
    </row>
    <row r="146" spans="2:3" ht="13.2" x14ac:dyDescent="0.25">
      <c r="B146" s="896" t="s">
        <v>302</v>
      </c>
      <c r="C146" s="900" t="s">
        <v>1133</v>
      </c>
    </row>
    <row r="147" spans="2:3" ht="13.2" x14ac:dyDescent="0.25">
      <c r="B147" s="896" t="s">
        <v>303</v>
      </c>
      <c r="C147" s="900" t="s">
        <v>1133</v>
      </c>
    </row>
    <row r="148" spans="2:3" ht="13.2" x14ac:dyDescent="0.25">
      <c r="B148" s="896" t="s">
        <v>304</v>
      </c>
      <c r="C148" s="900" t="s">
        <v>1133</v>
      </c>
    </row>
    <row r="149" spans="2:3" ht="13.2" x14ac:dyDescent="0.25">
      <c r="B149" s="896" t="s">
        <v>305</v>
      </c>
      <c r="C149" s="900" t="s">
        <v>1133</v>
      </c>
    </row>
    <row r="150" spans="2:3" ht="13.2" x14ac:dyDescent="0.25">
      <c r="B150" s="896" t="s">
        <v>207</v>
      </c>
      <c r="C150" s="900" t="s">
        <v>1133</v>
      </c>
    </row>
    <row r="151" spans="2:3" ht="13.2" x14ac:dyDescent="0.25">
      <c r="B151" s="896" t="s">
        <v>306</v>
      </c>
      <c r="C151" s="900" t="s">
        <v>1133</v>
      </c>
    </row>
    <row r="152" spans="2:3" ht="13.2" x14ac:dyDescent="0.25">
      <c r="B152" s="896" t="s">
        <v>307</v>
      </c>
      <c r="C152" s="900" t="s">
        <v>1133</v>
      </c>
    </row>
    <row r="153" spans="2:3" ht="13.2" x14ac:dyDescent="0.25">
      <c r="B153" s="896" t="s">
        <v>308</v>
      </c>
      <c r="C153" s="900" t="s">
        <v>1133</v>
      </c>
    </row>
    <row r="154" spans="2:3" ht="13.2" x14ac:dyDescent="0.25">
      <c r="B154" s="926" t="s">
        <v>1147</v>
      </c>
      <c r="C154" s="900" t="s">
        <v>1133</v>
      </c>
    </row>
    <row r="155" spans="2:3" ht="13.2" x14ac:dyDescent="0.25">
      <c r="B155" s="896" t="s">
        <v>1123</v>
      </c>
      <c r="C155" s="900" t="s">
        <v>1133</v>
      </c>
    </row>
    <row r="156" spans="2:3" ht="13.2" x14ac:dyDescent="0.25">
      <c r="B156" s="896" t="s">
        <v>309</v>
      </c>
      <c r="C156" s="900" t="s">
        <v>1134</v>
      </c>
    </row>
    <row r="157" spans="2:3" ht="13.2" x14ac:dyDescent="0.25">
      <c r="B157" s="896" t="s">
        <v>310</v>
      </c>
      <c r="C157" s="900" t="s">
        <v>1134</v>
      </c>
    </row>
    <row r="158" spans="2:3" ht="13.2" x14ac:dyDescent="0.25">
      <c r="B158" s="896" t="s">
        <v>311</v>
      </c>
      <c r="C158" s="900" t="s">
        <v>1134</v>
      </c>
    </row>
    <row r="159" spans="2:3" ht="13.2" x14ac:dyDescent="0.25">
      <c r="B159" s="896" t="s">
        <v>312</v>
      </c>
      <c r="C159" s="900" t="s">
        <v>1134</v>
      </c>
    </row>
    <row r="160" spans="2:3" ht="13.2" x14ac:dyDescent="0.25">
      <c r="B160" s="896" t="s">
        <v>313</v>
      </c>
      <c r="C160" s="900" t="s">
        <v>1134</v>
      </c>
    </row>
    <row r="161" spans="2:3" ht="13.2" x14ac:dyDescent="0.25">
      <c r="B161" s="896" t="s">
        <v>212</v>
      </c>
      <c r="C161" s="900" t="s">
        <v>1134</v>
      </c>
    </row>
    <row r="162" spans="2:3" ht="13.2" x14ac:dyDescent="0.25">
      <c r="B162" s="896" t="s">
        <v>314</v>
      </c>
      <c r="C162" s="900" t="s">
        <v>1134</v>
      </c>
    </row>
    <row r="163" spans="2:3" ht="13.2" x14ac:dyDescent="0.25">
      <c r="B163" s="896" t="s">
        <v>315</v>
      </c>
      <c r="C163" s="900" t="s">
        <v>1134</v>
      </c>
    </row>
    <row r="164" spans="2:3" ht="13.2" x14ac:dyDescent="0.25">
      <c r="B164" s="896" t="s">
        <v>316</v>
      </c>
      <c r="C164" s="900" t="s">
        <v>1134</v>
      </c>
    </row>
    <row r="165" spans="2:3" ht="13.2" x14ac:dyDescent="0.25">
      <c r="B165" s="927" t="s">
        <v>1124</v>
      </c>
      <c r="C165" s="900" t="s">
        <v>1134</v>
      </c>
    </row>
    <row r="166" spans="2:3" ht="13.2" x14ac:dyDescent="0.25">
      <c r="B166" s="896" t="s">
        <v>213</v>
      </c>
      <c r="C166" s="900" t="s">
        <v>1134</v>
      </c>
    </row>
    <row r="167" spans="2:3" ht="13.2" x14ac:dyDescent="0.25">
      <c r="B167" s="896" t="s">
        <v>317</v>
      </c>
      <c r="C167" s="900" t="s">
        <v>1134</v>
      </c>
    </row>
    <row r="168" spans="2:3" ht="13.2" x14ac:dyDescent="0.25">
      <c r="B168" s="896" t="s">
        <v>318</v>
      </c>
      <c r="C168" s="900" t="s">
        <v>1134</v>
      </c>
    </row>
    <row r="169" spans="2:3" ht="13.2" x14ac:dyDescent="0.25">
      <c r="B169" s="896" t="s">
        <v>319</v>
      </c>
      <c r="C169" s="900" t="s">
        <v>1134</v>
      </c>
    </row>
    <row r="170" spans="2:3" ht="13.2" x14ac:dyDescent="0.25">
      <c r="B170" s="896" t="s">
        <v>320</v>
      </c>
      <c r="C170" s="900" t="s">
        <v>1134</v>
      </c>
    </row>
    <row r="171" spans="2:3" ht="13.2" x14ac:dyDescent="0.25">
      <c r="B171" s="896" t="s">
        <v>214</v>
      </c>
      <c r="C171" s="900" t="s">
        <v>1134</v>
      </c>
    </row>
    <row r="172" spans="2:3" ht="13.2" x14ac:dyDescent="0.25">
      <c r="B172" s="896" t="s">
        <v>321</v>
      </c>
      <c r="C172" s="900" t="s">
        <v>1134</v>
      </c>
    </row>
    <row r="173" spans="2:3" ht="13.2" x14ac:dyDescent="0.25">
      <c r="B173" s="896" t="s">
        <v>322</v>
      </c>
      <c r="C173" s="900" t="s">
        <v>1134</v>
      </c>
    </row>
    <row r="174" spans="2:3" ht="13.2" x14ac:dyDescent="0.25">
      <c r="B174" s="896" t="s">
        <v>323</v>
      </c>
      <c r="C174" s="900" t="s">
        <v>1134</v>
      </c>
    </row>
    <row r="175" spans="2:3" ht="13.2" x14ac:dyDescent="0.25">
      <c r="B175" s="896" t="s">
        <v>324</v>
      </c>
      <c r="C175" s="900" t="s">
        <v>1134</v>
      </c>
    </row>
    <row r="176" spans="2:3" ht="13.2" x14ac:dyDescent="0.25">
      <c r="B176" s="927" t="s">
        <v>1125</v>
      </c>
      <c r="C176" s="900" t="s">
        <v>1134</v>
      </c>
    </row>
    <row r="177" spans="2:3" ht="13.2" x14ac:dyDescent="0.25">
      <c r="B177" s="896" t="s">
        <v>215</v>
      </c>
      <c r="C177" s="900" t="s">
        <v>1134</v>
      </c>
    </row>
    <row r="178" spans="2:3" ht="13.2" x14ac:dyDescent="0.25">
      <c r="B178" s="896" t="s">
        <v>1010</v>
      </c>
      <c r="C178" s="900" t="s">
        <v>1134</v>
      </c>
    </row>
    <row r="179" spans="2:3" ht="13.2" x14ac:dyDescent="0.25">
      <c r="B179" s="896" t="s">
        <v>325</v>
      </c>
      <c r="C179" s="900" t="s">
        <v>1134</v>
      </c>
    </row>
    <row r="180" spans="2:3" ht="13.2" x14ac:dyDescent="0.25">
      <c r="B180" s="896" t="s">
        <v>1011</v>
      </c>
      <c r="C180" s="900" t="s">
        <v>1134</v>
      </c>
    </row>
    <row r="181" spans="2:3" ht="13.2" x14ac:dyDescent="0.25">
      <c r="B181" s="927" t="s">
        <v>1126</v>
      </c>
      <c r="C181" s="900" t="s">
        <v>1134</v>
      </c>
    </row>
    <row r="182" spans="2:3" ht="13.2" x14ac:dyDescent="0.25">
      <c r="B182" s="896" t="s">
        <v>1078</v>
      </c>
      <c r="C182" s="900" t="s">
        <v>1134</v>
      </c>
    </row>
    <row r="183" spans="2:3" ht="13.2" x14ac:dyDescent="0.25">
      <c r="B183" s="896" t="s">
        <v>326</v>
      </c>
      <c r="C183" s="900" t="s">
        <v>1135</v>
      </c>
    </row>
    <row r="184" spans="2:3" ht="13.2" x14ac:dyDescent="0.25">
      <c r="B184" s="896" t="s">
        <v>327</v>
      </c>
      <c r="C184" s="900" t="s">
        <v>1135</v>
      </c>
    </row>
    <row r="185" spans="2:3" ht="13.2" x14ac:dyDescent="0.25">
      <c r="B185" s="896" t="s">
        <v>328</v>
      </c>
      <c r="C185" s="900" t="s">
        <v>1135</v>
      </c>
    </row>
    <row r="186" spans="2:3" ht="13.2" x14ac:dyDescent="0.25">
      <c r="B186" s="896" t="s">
        <v>1012</v>
      </c>
      <c r="C186" s="900" t="s">
        <v>1135</v>
      </c>
    </row>
    <row r="187" spans="2:3" ht="13.2" x14ac:dyDescent="0.25">
      <c r="B187" s="896" t="s">
        <v>329</v>
      </c>
      <c r="C187" s="900" t="s">
        <v>1135</v>
      </c>
    </row>
    <row r="188" spans="2:3" ht="13.2" x14ac:dyDescent="0.25">
      <c r="B188" s="896" t="s">
        <v>330</v>
      </c>
      <c r="C188" s="900" t="s">
        <v>1135</v>
      </c>
    </row>
    <row r="189" spans="2:3" ht="13.2" x14ac:dyDescent="0.25">
      <c r="B189" s="896" t="s">
        <v>331</v>
      </c>
      <c r="C189" s="900" t="s">
        <v>1135</v>
      </c>
    </row>
    <row r="190" spans="2:3" ht="13.2" x14ac:dyDescent="0.25">
      <c r="B190" s="896" t="s">
        <v>209</v>
      </c>
      <c r="C190" s="900" t="s">
        <v>1135</v>
      </c>
    </row>
    <row r="191" spans="2:3" ht="13.2" x14ac:dyDescent="0.25">
      <c r="B191" s="896" t="s">
        <v>1013</v>
      </c>
      <c r="C191" s="900" t="s">
        <v>1135</v>
      </c>
    </row>
    <row r="192" spans="2:3" ht="13.2" x14ac:dyDescent="0.25">
      <c r="B192" s="896" t="s">
        <v>1083</v>
      </c>
      <c r="C192" s="900" t="s">
        <v>1135</v>
      </c>
    </row>
    <row r="193" spans="2:3" ht="13.2" x14ac:dyDescent="0.25">
      <c r="B193" s="896" t="s">
        <v>332</v>
      </c>
      <c r="C193" s="899" t="s">
        <v>1135</v>
      </c>
    </row>
    <row r="194" spans="2:3" ht="13.2" x14ac:dyDescent="0.25">
      <c r="B194" s="896" t="s">
        <v>333</v>
      </c>
      <c r="C194" s="899" t="s">
        <v>1135</v>
      </c>
    </row>
    <row r="195" spans="2:3" ht="13.2" x14ac:dyDescent="0.25">
      <c r="B195" s="896" t="s">
        <v>1084</v>
      </c>
      <c r="C195" s="899" t="s">
        <v>1135</v>
      </c>
    </row>
    <row r="196" spans="2:3" ht="13.2" x14ac:dyDescent="0.25">
      <c r="B196" s="896" t="s">
        <v>334</v>
      </c>
      <c r="C196" s="899" t="s">
        <v>1135</v>
      </c>
    </row>
    <row r="197" spans="2:3" ht="13.2" x14ac:dyDescent="0.25">
      <c r="B197" s="896" t="s">
        <v>210</v>
      </c>
      <c r="C197" s="899" t="s">
        <v>1135</v>
      </c>
    </row>
    <row r="198" spans="2:3" ht="13.2" x14ac:dyDescent="0.25">
      <c r="B198" s="896" t="s">
        <v>335</v>
      </c>
      <c r="C198" s="899" t="s">
        <v>1135</v>
      </c>
    </row>
    <row r="199" spans="2:3" ht="13.2" x14ac:dyDescent="0.25">
      <c r="B199" s="896" t="s">
        <v>336</v>
      </c>
      <c r="C199" s="899" t="s">
        <v>1135</v>
      </c>
    </row>
    <row r="200" spans="2:3" ht="13.2" x14ac:dyDescent="0.25">
      <c r="B200" s="896" t="s">
        <v>337</v>
      </c>
      <c r="C200" s="899" t="s">
        <v>1135</v>
      </c>
    </row>
    <row r="201" spans="2:3" ht="13.2" x14ac:dyDescent="0.25">
      <c r="B201" s="926" t="s">
        <v>1148</v>
      </c>
      <c r="C201" s="899" t="s">
        <v>1135</v>
      </c>
    </row>
    <row r="202" spans="2:3" ht="13.2" x14ac:dyDescent="0.25">
      <c r="B202" s="896" t="s">
        <v>211</v>
      </c>
      <c r="C202" s="899" t="s">
        <v>1135</v>
      </c>
    </row>
    <row r="203" spans="2:3" ht="13.2" x14ac:dyDescent="0.25">
      <c r="B203" s="896" t="s">
        <v>1014</v>
      </c>
      <c r="C203" s="899" t="s">
        <v>1136</v>
      </c>
    </row>
    <row r="204" spans="2:3" ht="13.2" x14ac:dyDescent="0.25">
      <c r="B204" s="896" t="s">
        <v>394</v>
      </c>
      <c r="C204" s="899" t="s">
        <v>1136</v>
      </c>
    </row>
    <row r="205" spans="2:3" ht="13.2" x14ac:dyDescent="0.25">
      <c r="B205" s="896" t="s">
        <v>395</v>
      </c>
      <c r="C205" s="899" t="s">
        <v>1136</v>
      </c>
    </row>
    <row r="206" spans="2:3" ht="13.2" x14ac:dyDescent="0.25">
      <c r="B206" s="896" t="s">
        <v>1005</v>
      </c>
      <c r="C206" s="899" t="s">
        <v>1136</v>
      </c>
    </row>
    <row r="207" spans="2:3" ht="13.2" x14ac:dyDescent="0.25">
      <c r="B207" s="896" t="s">
        <v>338</v>
      </c>
      <c r="C207" s="899" t="s">
        <v>1136</v>
      </c>
    </row>
    <row r="208" spans="2:3" ht="13.2" x14ac:dyDescent="0.25">
      <c r="B208" s="896" t="s">
        <v>339</v>
      </c>
      <c r="C208" s="899" t="s">
        <v>1136</v>
      </c>
    </row>
    <row r="209" spans="2:3" ht="13.2" x14ac:dyDescent="0.25">
      <c r="B209" s="896" t="s">
        <v>340</v>
      </c>
      <c r="C209" s="899" t="s">
        <v>1136</v>
      </c>
    </row>
    <row r="210" spans="2:3" ht="13.2" x14ac:dyDescent="0.25">
      <c r="B210" s="896" t="s">
        <v>341</v>
      </c>
      <c r="C210" s="899" t="s">
        <v>1136</v>
      </c>
    </row>
    <row r="211" spans="2:3" ht="13.2" x14ac:dyDescent="0.25">
      <c r="B211" s="896" t="s">
        <v>342</v>
      </c>
      <c r="C211" s="899" t="s">
        <v>1136</v>
      </c>
    </row>
    <row r="212" spans="2:3" ht="13.2" x14ac:dyDescent="0.25">
      <c r="B212" s="896" t="s">
        <v>343</v>
      </c>
      <c r="C212" s="899" t="s">
        <v>1136</v>
      </c>
    </row>
    <row r="213" spans="2:3" ht="13.2" x14ac:dyDescent="0.25">
      <c r="B213" s="896" t="s">
        <v>225</v>
      </c>
      <c r="C213" s="899" t="s">
        <v>1136</v>
      </c>
    </row>
    <row r="214" spans="2:3" ht="13.2" x14ac:dyDescent="0.25">
      <c r="B214" s="896" t="s">
        <v>344</v>
      </c>
      <c r="C214" s="899" t="s">
        <v>1136</v>
      </c>
    </row>
    <row r="215" spans="2:3" ht="13.2" x14ac:dyDescent="0.25">
      <c r="B215" s="896" t="s">
        <v>345</v>
      </c>
      <c r="C215" s="899" t="s">
        <v>1136</v>
      </c>
    </row>
    <row r="216" spans="2:3" ht="13.2" x14ac:dyDescent="0.25">
      <c r="B216" s="896" t="s">
        <v>346</v>
      </c>
      <c r="C216" s="899" t="s">
        <v>1136</v>
      </c>
    </row>
    <row r="217" spans="2:3" ht="13.2" x14ac:dyDescent="0.25">
      <c r="B217" s="896" t="s">
        <v>381</v>
      </c>
      <c r="C217" s="899" t="s">
        <v>1136</v>
      </c>
    </row>
    <row r="218" spans="2:3" ht="13.2" x14ac:dyDescent="0.25">
      <c r="B218" s="896" t="s">
        <v>382</v>
      </c>
      <c r="C218" s="899" t="s">
        <v>1136</v>
      </c>
    </row>
    <row r="219" spans="2:3" ht="13.2" x14ac:dyDescent="0.25">
      <c r="B219" s="896" t="s">
        <v>383</v>
      </c>
      <c r="C219" s="899" t="s">
        <v>1136</v>
      </c>
    </row>
    <row r="220" spans="2:3" ht="13.2" x14ac:dyDescent="0.25">
      <c r="B220" s="896" t="s">
        <v>384</v>
      </c>
      <c r="C220" s="899" t="s">
        <v>1136</v>
      </c>
    </row>
    <row r="221" spans="2:3" ht="13.2" x14ac:dyDescent="0.25">
      <c r="B221" s="896" t="s">
        <v>385</v>
      </c>
      <c r="C221" s="899" t="s">
        <v>1136</v>
      </c>
    </row>
    <row r="222" spans="2:3" ht="13.2" x14ac:dyDescent="0.25">
      <c r="B222" s="896" t="s">
        <v>1079</v>
      </c>
      <c r="C222" s="899" t="s">
        <v>1136</v>
      </c>
    </row>
    <row r="223" spans="2:3" ht="13.2" x14ac:dyDescent="0.25">
      <c r="B223" s="896" t="s">
        <v>386</v>
      </c>
      <c r="C223" s="899" t="s">
        <v>1136</v>
      </c>
    </row>
    <row r="224" spans="2:3" ht="13.2" x14ac:dyDescent="0.25">
      <c r="B224" s="896" t="s">
        <v>387</v>
      </c>
      <c r="C224" s="899" t="s">
        <v>1136</v>
      </c>
    </row>
    <row r="225" spans="2:3" ht="13.2" x14ac:dyDescent="0.25">
      <c r="B225" s="896" t="s">
        <v>388</v>
      </c>
      <c r="C225" s="899" t="s">
        <v>1136</v>
      </c>
    </row>
    <row r="226" spans="2:3" ht="13.2" x14ac:dyDescent="0.25">
      <c r="B226" s="896" t="s">
        <v>389</v>
      </c>
      <c r="C226" s="899" t="s">
        <v>1136</v>
      </c>
    </row>
    <row r="227" spans="2:3" ht="13.2" x14ac:dyDescent="0.25">
      <c r="B227" s="926" t="s">
        <v>1149</v>
      </c>
      <c r="C227" s="899" t="s">
        <v>1136</v>
      </c>
    </row>
    <row r="228" spans="2:3" ht="13.2" x14ac:dyDescent="0.25">
      <c r="B228" s="896" t="s">
        <v>1127</v>
      </c>
      <c r="C228" s="899" t="s">
        <v>1136</v>
      </c>
    </row>
    <row r="229" spans="2:3" ht="13.2" x14ac:dyDescent="0.25">
      <c r="B229" s="896" t="s">
        <v>390</v>
      </c>
      <c r="C229" s="899" t="s">
        <v>1136</v>
      </c>
    </row>
    <row r="230" spans="2:3" ht="13.2" x14ac:dyDescent="0.25">
      <c r="B230" s="896" t="s">
        <v>391</v>
      </c>
      <c r="C230" s="899" t="s">
        <v>1136</v>
      </c>
    </row>
    <row r="231" spans="2:3" ht="13.2" x14ac:dyDescent="0.25">
      <c r="B231" s="896" t="s">
        <v>392</v>
      </c>
      <c r="C231" s="899" t="s">
        <v>1136</v>
      </c>
    </row>
    <row r="232" spans="2:3" ht="13.2" x14ac:dyDescent="0.25">
      <c r="B232" s="896" t="s">
        <v>393</v>
      </c>
      <c r="C232" s="899" t="s">
        <v>1136</v>
      </c>
    </row>
    <row r="233" spans="2:3" ht="13.2" x14ac:dyDescent="0.25">
      <c r="B233" s="896" t="s">
        <v>226</v>
      </c>
      <c r="C233" s="899" t="s">
        <v>1136</v>
      </c>
    </row>
    <row r="234" spans="2:3" ht="13.2" x14ac:dyDescent="0.25">
      <c r="B234" s="896" t="s">
        <v>396</v>
      </c>
      <c r="C234" s="899" t="s">
        <v>1137</v>
      </c>
    </row>
    <row r="235" spans="2:3" ht="13.2" x14ac:dyDescent="0.25">
      <c r="B235" s="896" t="s">
        <v>397</v>
      </c>
      <c r="C235" s="899" t="s">
        <v>1137</v>
      </c>
    </row>
    <row r="236" spans="2:3" ht="13.2" x14ac:dyDescent="0.25">
      <c r="B236" s="896" t="s">
        <v>398</v>
      </c>
      <c r="C236" s="899" t="s">
        <v>1137</v>
      </c>
    </row>
    <row r="237" spans="2:3" ht="13.2" x14ac:dyDescent="0.25">
      <c r="B237" s="896" t="s">
        <v>399</v>
      </c>
      <c r="C237" s="899" t="s">
        <v>1137</v>
      </c>
    </row>
    <row r="238" spans="2:3" ht="13.2" x14ac:dyDescent="0.25">
      <c r="B238" s="896" t="s">
        <v>400</v>
      </c>
      <c r="C238" s="899" t="s">
        <v>1137</v>
      </c>
    </row>
    <row r="239" spans="2:3" ht="13.2" x14ac:dyDescent="0.25">
      <c r="B239" s="896" t="s">
        <v>216</v>
      </c>
      <c r="C239" s="899" t="s">
        <v>1137</v>
      </c>
    </row>
    <row r="240" spans="2:3" ht="13.2" x14ac:dyDescent="0.25">
      <c r="B240" s="896" t="s">
        <v>401</v>
      </c>
      <c r="C240" s="899" t="s">
        <v>1137</v>
      </c>
    </row>
    <row r="241" spans="2:3" ht="13.2" x14ac:dyDescent="0.25">
      <c r="B241" s="896" t="s">
        <v>402</v>
      </c>
      <c r="C241" s="899" t="s">
        <v>1137</v>
      </c>
    </row>
    <row r="242" spans="2:3" ht="13.2" x14ac:dyDescent="0.25">
      <c r="B242" s="896" t="s">
        <v>403</v>
      </c>
      <c r="C242" s="899" t="s">
        <v>1137</v>
      </c>
    </row>
    <row r="243" spans="2:3" ht="13.2" x14ac:dyDescent="0.25">
      <c r="B243" s="896" t="s">
        <v>404</v>
      </c>
      <c r="C243" s="899" t="s">
        <v>1137</v>
      </c>
    </row>
    <row r="244" spans="2:3" ht="13.2" x14ac:dyDescent="0.25">
      <c r="B244" s="896" t="s">
        <v>405</v>
      </c>
      <c r="C244" s="899" t="s">
        <v>1137</v>
      </c>
    </row>
    <row r="245" spans="2:3" ht="13.2" x14ac:dyDescent="0.25">
      <c r="B245" s="896" t="s">
        <v>217</v>
      </c>
      <c r="C245" s="899" t="s">
        <v>1137</v>
      </c>
    </row>
    <row r="246" spans="2:3" ht="13.2" x14ac:dyDescent="0.25">
      <c r="B246" s="896" t="s">
        <v>406</v>
      </c>
      <c r="C246" s="899" t="s">
        <v>1137</v>
      </c>
    </row>
    <row r="247" spans="2:3" ht="13.2" x14ac:dyDescent="0.25">
      <c r="B247" s="896" t="s">
        <v>407</v>
      </c>
      <c r="C247" s="899" t="s">
        <v>1137</v>
      </c>
    </row>
    <row r="248" spans="2:3" ht="13.2" x14ac:dyDescent="0.25">
      <c r="B248" s="896" t="s">
        <v>408</v>
      </c>
      <c r="C248" s="899" t="s">
        <v>1137</v>
      </c>
    </row>
    <row r="249" spans="2:3" ht="13.2" x14ac:dyDescent="0.25">
      <c r="B249" s="896" t="s">
        <v>409</v>
      </c>
      <c r="C249" s="899" t="s">
        <v>1137</v>
      </c>
    </row>
    <row r="250" spans="2:3" ht="13.2" x14ac:dyDescent="0.25">
      <c r="B250" s="896" t="s">
        <v>1128</v>
      </c>
      <c r="C250" s="899" t="s">
        <v>1137</v>
      </c>
    </row>
    <row r="251" spans="2:3" ht="13.2" x14ac:dyDescent="0.25">
      <c r="B251" s="896" t="s">
        <v>218</v>
      </c>
      <c r="C251" s="899" t="s">
        <v>1137</v>
      </c>
    </row>
    <row r="252" spans="2:3" ht="13.2" x14ac:dyDescent="0.25">
      <c r="B252" s="896" t="s">
        <v>410</v>
      </c>
      <c r="C252" s="899" t="s">
        <v>1137</v>
      </c>
    </row>
    <row r="253" spans="2:3" ht="13.2" x14ac:dyDescent="0.25">
      <c r="B253" s="896" t="s">
        <v>411</v>
      </c>
      <c r="C253" s="899" t="s">
        <v>1137</v>
      </c>
    </row>
    <row r="254" spans="2:3" ht="13.2" x14ac:dyDescent="0.25">
      <c r="B254" s="927" t="s">
        <v>1129</v>
      </c>
      <c r="C254" s="899" t="s">
        <v>1137</v>
      </c>
    </row>
    <row r="255" spans="2:3" ht="13.2" x14ac:dyDescent="0.25">
      <c r="B255" s="896" t="s">
        <v>220</v>
      </c>
      <c r="C255" s="899" t="s">
        <v>1137</v>
      </c>
    </row>
    <row r="256" spans="2:3" ht="13.2" x14ac:dyDescent="0.25">
      <c r="B256" s="896" t="s">
        <v>1092</v>
      </c>
      <c r="C256" s="899" t="s">
        <v>1138</v>
      </c>
    </row>
    <row r="257" spans="2:3" ht="13.2" x14ac:dyDescent="0.25">
      <c r="B257" s="896" t="s">
        <v>412</v>
      </c>
      <c r="C257" s="899" t="s">
        <v>1138</v>
      </c>
    </row>
    <row r="258" spans="2:3" ht="13.2" x14ac:dyDescent="0.25">
      <c r="B258" s="896" t="s">
        <v>413</v>
      </c>
      <c r="C258" s="899" t="s">
        <v>1138</v>
      </c>
    </row>
    <row r="259" spans="2:3" ht="13.2" x14ac:dyDescent="0.25">
      <c r="B259" s="896" t="s">
        <v>414</v>
      </c>
      <c r="C259" s="899" t="s">
        <v>1138</v>
      </c>
    </row>
    <row r="260" spans="2:3" ht="13.2" x14ac:dyDescent="0.25">
      <c r="B260" s="896" t="s">
        <v>415</v>
      </c>
      <c r="C260" s="899" t="s">
        <v>1138</v>
      </c>
    </row>
    <row r="261" spans="2:3" ht="13.2" x14ac:dyDescent="0.25">
      <c r="B261" s="896" t="s">
        <v>416</v>
      </c>
      <c r="C261" s="899" t="s">
        <v>1138</v>
      </c>
    </row>
    <row r="262" spans="2:3" ht="13.2" x14ac:dyDescent="0.25">
      <c r="B262" s="896" t="s">
        <v>192</v>
      </c>
      <c r="C262" s="899" t="s">
        <v>1138</v>
      </c>
    </row>
    <row r="263" spans="2:3" ht="13.2" x14ac:dyDescent="0.25">
      <c r="B263" s="896" t="s">
        <v>417</v>
      </c>
      <c r="C263" s="899" t="s">
        <v>1138</v>
      </c>
    </row>
    <row r="264" spans="2:3" ht="13.2" x14ac:dyDescent="0.25">
      <c r="B264" s="896" t="s">
        <v>418</v>
      </c>
      <c r="C264" s="899" t="s">
        <v>1138</v>
      </c>
    </row>
    <row r="265" spans="2:3" ht="13.2" x14ac:dyDescent="0.25">
      <c r="B265" s="896" t="s">
        <v>419</v>
      </c>
      <c r="C265" s="899" t="s">
        <v>1138</v>
      </c>
    </row>
    <row r="266" spans="2:3" ht="13.2" x14ac:dyDescent="0.25">
      <c r="B266" s="896" t="s">
        <v>420</v>
      </c>
      <c r="C266" s="899" t="s">
        <v>1138</v>
      </c>
    </row>
    <row r="267" spans="2:3" ht="13.2" x14ac:dyDescent="0.25">
      <c r="B267" s="896" t="s">
        <v>1015</v>
      </c>
      <c r="C267" s="899" t="s">
        <v>1138</v>
      </c>
    </row>
    <row r="268" spans="2:3" ht="13.2" x14ac:dyDescent="0.25">
      <c r="B268" s="896" t="s">
        <v>1077</v>
      </c>
      <c r="C268" s="899" t="s">
        <v>1138</v>
      </c>
    </row>
    <row r="269" spans="2:3" ht="13.2" x14ac:dyDescent="0.25">
      <c r="B269" s="896" t="s">
        <v>421</v>
      </c>
      <c r="C269" s="899" t="s">
        <v>1138</v>
      </c>
    </row>
    <row r="270" spans="2:3" ht="13.2" x14ac:dyDescent="0.25">
      <c r="B270" s="896" t="s">
        <v>422</v>
      </c>
      <c r="C270" s="899" t="s">
        <v>1138</v>
      </c>
    </row>
    <row r="271" spans="2:3" ht="13.2" x14ac:dyDescent="0.25">
      <c r="B271" s="896" t="s">
        <v>423</v>
      </c>
      <c r="C271" s="899" t="s">
        <v>1138</v>
      </c>
    </row>
    <row r="272" spans="2:3" ht="13.2" x14ac:dyDescent="0.25">
      <c r="B272" s="896" t="s">
        <v>424</v>
      </c>
      <c r="C272" s="899" t="s">
        <v>1138</v>
      </c>
    </row>
    <row r="273" spans="2:3" ht="13.2" x14ac:dyDescent="0.25">
      <c r="B273" s="896" t="s">
        <v>208</v>
      </c>
      <c r="C273" s="899" t="s">
        <v>1138</v>
      </c>
    </row>
    <row r="274" spans="2:3" ht="13.2" x14ac:dyDescent="0.25">
      <c r="B274" s="896" t="s">
        <v>425</v>
      </c>
      <c r="C274" s="899" t="s">
        <v>1138</v>
      </c>
    </row>
    <row r="275" spans="2:3" ht="13.2" x14ac:dyDescent="0.25">
      <c r="B275" s="896" t="s">
        <v>426</v>
      </c>
      <c r="C275" s="899" t="s">
        <v>1138</v>
      </c>
    </row>
    <row r="276" spans="2:3" ht="13.2" x14ac:dyDescent="0.25">
      <c r="B276" s="896" t="s">
        <v>427</v>
      </c>
      <c r="C276" s="899" t="s">
        <v>1138</v>
      </c>
    </row>
    <row r="277" spans="2:3" ht="13.2" x14ac:dyDescent="0.25">
      <c r="B277" s="896" t="s">
        <v>428</v>
      </c>
      <c r="C277" s="899" t="s">
        <v>1138</v>
      </c>
    </row>
    <row r="278" spans="2:3" ht="13.2" x14ac:dyDescent="0.25">
      <c r="B278" s="896" t="s">
        <v>429</v>
      </c>
      <c r="C278" s="899" t="s">
        <v>1138</v>
      </c>
    </row>
    <row r="279" spans="2:3" ht="13.2" x14ac:dyDescent="0.25">
      <c r="B279" s="896" t="s">
        <v>430</v>
      </c>
      <c r="C279" s="899" t="s">
        <v>1138</v>
      </c>
    </row>
    <row r="280" spans="2:3" ht="13.2" x14ac:dyDescent="0.25">
      <c r="B280" s="896" t="s">
        <v>431</v>
      </c>
      <c r="C280" s="899" t="s">
        <v>1138</v>
      </c>
    </row>
    <row r="281" spans="2:3" ht="13.2" x14ac:dyDescent="0.25">
      <c r="B281" s="896" t="s">
        <v>219</v>
      </c>
      <c r="C281" s="899" t="s">
        <v>1138</v>
      </c>
    </row>
    <row r="282" spans="2:3" ht="13.2" x14ac:dyDescent="0.25">
      <c r="B282" s="896" t="s">
        <v>432</v>
      </c>
      <c r="C282" s="899" t="s">
        <v>1138</v>
      </c>
    </row>
    <row r="283" spans="2:3" ht="13.2" x14ac:dyDescent="0.25">
      <c r="B283" s="896" t="s">
        <v>433</v>
      </c>
      <c r="C283" s="899" t="s">
        <v>1138</v>
      </c>
    </row>
    <row r="284" spans="2:3" ht="13.2" x14ac:dyDescent="0.25">
      <c r="B284" s="896" t="s">
        <v>434</v>
      </c>
      <c r="C284" s="899" t="s">
        <v>1138</v>
      </c>
    </row>
    <row r="285" spans="2:3" ht="13.2" x14ac:dyDescent="0.25">
      <c r="B285" s="896" t="s">
        <v>224</v>
      </c>
      <c r="C285" s="899" t="s">
        <v>1138</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8"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87" zoomScaleNormal="100" workbookViewId="0">
      <selection activeCell="C97" sqref="C97"/>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1063</v>
      </c>
      <c r="B1" s="818"/>
      <c r="C1" s="817" t="s">
        <v>1062</v>
      </c>
      <c r="E1" s="816" t="s">
        <v>1061</v>
      </c>
    </row>
    <row r="2" spans="1:5" x14ac:dyDescent="0.2">
      <c r="A2" s="806" t="s">
        <v>1470</v>
      </c>
      <c r="B2" s="814" t="s">
        <v>838</v>
      </c>
      <c r="C2" s="812" t="s">
        <v>1481</v>
      </c>
      <c r="E2" s="815"/>
    </row>
    <row r="3" spans="1:5" x14ac:dyDescent="0.2">
      <c r="A3" s="806" t="s">
        <v>1471</v>
      </c>
      <c r="B3" s="811">
        <v>1.1000000000000001</v>
      </c>
      <c r="C3" s="810" t="s">
        <v>1482</v>
      </c>
      <c r="D3" s="806" t="str">
        <f t="shared" ref="D3:D12" si="0">CONCATENATE(B3, " - ", C3)</f>
        <v>1.1 - Chef Operations Office (administration)</v>
      </c>
      <c r="E3" s="809" t="s">
        <v>1549</v>
      </c>
    </row>
    <row r="4" spans="1:5" x14ac:dyDescent="0.2">
      <c r="A4" s="806" t="s">
        <v>1472</v>
      </c>
      <c r="B4" s="811">
        <v>1.2</v>
      </c>
      <c r="C4" s="810" t="s">
        <v>1483</v>
      </c>
      <c r="D4" s="806" t="str">
        <f t="shared" si="0"/>
        <v>1.2 - Legislative support</v>
      </c>
      <c r="E4" s="809" t="s">
        <v>1550</v>
      </c>
    </row>
    <row r="5" spans="1:5" x14ac:dyDescent="0.2">
      <c r="A5" s="806" t="s">
        <v>1473</v>
      </c>
      <c r="B5" s="811">
        <v>1.3</v>
      </c>
      <c r="C5" s="810" t="s">
        <v>1165</v>
      </c>
      <c r="D5" s="806" t="str">
        <f t="shared" si="0"/>
        <v>1.3 - Legal Services</v>
      </c>
      <c r="E5" s="809" t="s">
        <v>1551</v>
      </c>
    </row>
    <row r="6" spans="1:5" x14ac:dyDescent="0.2">
      <c r="A6" s="806" t="s">
        <v>1474</v>
      </c>
      <c r="B6" s="811">
        <v>1.4</v>
      </c>
      <c r="C6" s="810" t="s">
        <v>1484</v>
      </c>
      <c r="D6" s="806" t="str">
        <f t="shared" si="0"/>
        <v>1.4 - IDP</v>
      </c>
      <c r="E6" s="809" t="s">
        <v>1552</v>
      </c>
    </row>
    <row r="7" spans="1:5" x14ac:dyDescent="0.2">
      <c r="A7" s="806" t="s">
        <v>1475</v>
      </c>
      <c r="B7" s="811">
        <v>1.5</v>
      </c>
      <c r="C7" s="810" t="s">
        <v>1374</v>
      </c>
      <c r="D7" s="806" t="str">
        <f t="shared" si="0"/>
        <v>1.5 - Communications and Marketing</v>
      </c>
      <c r="E7" s="809" t="s">
        <v>1553</v>
      </c>
    </row>
    <row r="8" spans="1:5" x14ac:dyDescent="0.2">
      <c r="A8" s="806" t="s">
        <v>1476</v>
      </c>
      <c r="B8" s="811">
        <v>1.6</v>
      </c>
      <c r="C8" s="810" t="s">
        <v>1215</v>
      </c>
      <c r="D8" s="806" t="str">
        <f t="shared" si="0"/>
        <v>1.6 - Project Management Unit</v>
      </c>
      <c r="E8" s="809" t="s">
        <v>1554</v>
      </c>
    </row>
    <row r="9" spans="1:5" x14ac:dyDescent="0.2">
      <c r="A9" s="806" t="s">
        <v>1477</v>
      </c>
      <c r="B9" s="811">
        <v>1.7</v>
      </c>
      <c r="C9" s="810" t="s">
        <v>1485</v>
      </c>
      <c r="D9" s="806" t="str">
        <f t="shared" si="0"/>
        <v>1.7 - Performance Management</v>
      </c>
      <c r="E9" s="809" t="s">
        <v>1555</v>
      </c>
    </row>
    <row r="10" spans="1:5" x14ac:dyDescent="0.2">
      <c r="A10" s="806" t="s">
        <v>1478</v>
      </c>
      <c r="B10" s="811">
        <v>1.8</v>
      </c>
      <c r="C10" s="810" t="s">
        <v>1486</v>
      </c>
      <c r="D10" s="806" t="str">
        <f t="shared" si="0"/>
        <v>1.8 - Cluster Offices</v>
      </c>
      <c r="E10" s="809" t="s">
        <v>1556</v>
      </c>
    </row>
    <row r="11" spans="1:5" x14ac:dyDescent="0.2">
      <c r="A11" s="806" t="s">
        <v>1479</v>
      </c>
      <c r="B11" s="811">
        <v>1.9</v>
      </c>
      <c r="C11" s="810" t="s">
        <v>1487</v>
      </c>
      <c r="D11" s="806" t="str">
        <f t="shared" si="0"/>
        <v>1.9 - Executive Support</v>
      </c>
      <c r="E11" s="809" t="s">
        <v>1557</v>
      </c>
    </row>
    <row r="12" spans="1:5" x14ac:dyDescent="0.2">
      <c r="A12" s="806" t="s">
        <v>1480</v>
      </c>
      <c r="B12" s="811" t="s">
        <v>1060</v>
      </c>
      <c r="C12" s="810"/>
      <c r="D12" s="806" t="str">
        <f t="shared" si="0"/>
        <v xml:space="preserve">1.10 - </v>
      </c>
      <c r="E12" s="809"/>
    </row>
    <row r="13" spans="1:5" x14ac:dyDescent="0.2">
      <c r="A13" s="806" t="str">
        <f>B123&amp;" - "&amp;C123</f>
        <v xml:space="preserve">Vote 12 - </v>
      </c>
      <c r="B13" s="814" t="s">
        <v>837</v>
      </c>
      <c r="C13" s="812" t="s">
        <v>1488</v>
      </c>
      <c r="E13" s="815"/>
    </row>
    <row r="14" spans="1:5" x14ac:dyDescent="0.2">
      <c r="A14" s="806" t="str">
        <f>B134&amp;" - "&amp;C134</f>
        <v xml:space="preserve">Vote 13 - </v>
      </c>
      <c r="B14" s="811">
        <v>2.1</v>
      </c>
      <c r="C14" s="810" t="s">
        <v>1370</v>
      </c>
      <c r="D14" s="806" t="str">
        <f t="shared" ref="D14:D23" si="1">CONCATENATE(B14, " - ", C14)</f>
        <v>2.1 - COUNCIL</v>
      </c>
      <c r="E14" s="809" t="s">
        <v>1558</v>
      </c>
    </row>
    <row r="15" spans="1:5" x14ac:dyDescent="0.2">
      <c r="A15" s="806" t="str">
        <f>B145&amp;" - "&amp;C145</f>
        <v>Vote 14 - [NAME OF VOTE 14]</v>
      </c>
      <c r="B15" s="811">
        <v>2.2000000000000002</v>
      </c>
      <c r="C15" s="810" t="s">
        <v>1489</v>
      </c>
      <c r="D15" s="806" t="str">
        <f t="shared" si="1"/>
        <v>2.2 - Municipal Manager</v>
      </c>
      <c r="E15" s="809" t="s">
        <v>1559</v>
      </c>
    </row>
    <row r="16" spans="1:5" x14ac:dyDescent="0.2">
      <c r="A16" s="806" t="str">
        <f>B156&amp;" - "&amp;C156</f>
        <v>Vote 15 - [NAME OF VOTE 15]</v>
      </c>
      <c r="B16" s="811">
        <v>2.2999999999999998</v>
      </c>
      <c r="C16" s="810" t="s">
        <v>1167</v>
      </c>
      <c r="D16" s="806" t="str">
        <f t="shared" si="1"/>
        <v>2.3 - Risk Management</v>
      </c>
      <c r="E16" s="809" t="s">
        <v>1560</v>
      </c>
    </row>
    <row r="17" spans="1:5" x14ac:dyDescent="0.2">
      <c r="B17" s="811">
        <v>2.4</v>
      </c>
      <c r="C17" s="810" t="s">
        <v>1490</v>
      </c>
      <c r="D17" s="806" t="str">
        <f t="shared" si="1"/>
        <v>2.4 - Internal Audit</v>
      </c>
      <c r="E17" s="809" t="s">
        <v>1561</v>
      </c>
    </row>
    <row r="18" spans="1:5" x14ac:dyDescent="0.2">
      <c r="B18" s="811">
        <v>2.5</v>
      </c>
      <c r="C18" s="810"/>
      <c r="D18" s="806" t="str">
        <f t="shared" si="1"/>
        <v xml:space="preserve">2.5 - </v>
      </c>
      <c r="E18" s="809"/>
    </row>
    <row r="19" spans="1:5" x14ac:dyDescent="0.2">
      <c r="B19" s="811">
        <v>2.6</v>
      </c>
      <c r="C19" s="810"/>
      <c r="D19" s="806" t="str">
        <f t="shared" si="1"/>
        <v xml:space="preserve">2.6 - </v>
      </c>
      <c r="E19" s="809"/>
    </row>
    <row r="20" spans="1:5" x14ac:dyDescent="0.2">
      <c r="B20" s="811">
        <v>2.7</v>
      </c>
      <c r="C20" s="810"/>
      <c r="D20" s="806" t="str">
        <f t="shared" si="1"/>
        <v xml:space="preserve">2.7 - </v>
      </c>
      <c r="E20" s="809"/>
    </row>
    <row r="21" spans="1:5" x14ac:dyDescent="0.2">
      <c r="A21" s="815"/>
      <c r="B21" s="811">
        <v>2.8</v>
      </c>
      <c r="C21" s="810"/>
      <c r="D21" s="806" t="str">
        <f t="shared" si="1"/>
        <v xml:space="preserve">2.8 - </v>
      </c>
      <c r="E21" s="809"/>
    </row>
    <row r="22" spans="1:5" x14ac:dyDescent="0.2">
      <c r="B22" s="811">
        <v>2.9</v>
      </c>
      <c r="C22" s="810"/>
      <c r="D22" s="806" t="str">
        <f t="shared" si="1"/>
        <v xml:space="preserve">2.9 - </v>
      </c>
      <c r="E22" s="809"/>
    </row>
    <row r="23" spans="1:5" x14ac:dyDescent="0.2">
      <c r="B23" s="811" t="s">
        <v>1059</v>
      </c>
      <c r="C23" s="810"/>
      <c r="D23" s="806" t="str">
        <f t="shared" si="1"/>
        <v xml:space="preserve">2.10 - </v>
      </c>
      <c r="E23" s="809"/>
    </row>
    <row r="24" spans="1:5" x14ac:dyDescent="0.2">
      <c r="B24" s="814" t="s">
        <v>836</v>
      </c>
      <c r="C24" s="812" t="s">
        <v>1491</v>
      </c>
      <c r="E24" s="809"/>
    </row>
    <row r="25" spans="1:5" x14ac:dyDescent="0.2">
      <c r="B25" s="811">
        <v>3.1</v>
      </c>
      <c r="C25" s="810" t="s">
        <v>1492</v>
      </c>
      <c r="D25" s="806" t="str">
        <f t="shared" ref="D25:D34" si="2">CONCATENATE(B25, " - ", C25)</f>
        <v>3.1 - Water and sanitation admin</v>
      </c>
      <c r="E25" s="809" t="s">
        <v>1562</v>
      </c>
    </row>
    <row r="26" spans="1:5" x14ac:dyDescent="0.2">
      <c r="B26" s="811">
        <v>3.2</v>
      </c>
      <c r="C26" s="810" t="s">
        <v>1493</v>
      </c>
      <c r="D26" s="806" t="str">
        <f t="shared" si="2"/>
        <v>3.2 - Reticulation, Distribution and Maitenance, Water Demand and Coservation</v>
      </c>
      <c r="E26" s="809" t="s">
        <v>1563</v>
      </c>
    </row>
    <row r="27" spans="1:5" x14ac:dyDescent="0.2">
      <c r="B27" s="811">
        <v>3.3</v>
      </c>
      <c r="C27" s="810" t="s">
        <v>1494</v>
      </c>
      <c r="D27" s="806" t="str">
        <f t="shared" si="2"/>
        <v>3.3 - Operations, Water and Waste Water, Quality Management and Laboratory Services</v>
      </c>
      <c r="E27" s="809" t="s">
        <v>1564</v>
      </c>
    </row>
    <row r="28" spans="1:5" x14ac:dyDescent="0.2">
      <c r="B28" s="811">
        <v>3.4</v>
      </c>
      <c r="C28" s="810" t="s">
        <v>1495</v>
      </c>
      <c r="D28" s="806" t="str">
        <f t="shared" si="2"/>
        <v>3.4 - Quality Monitoring Services</v>
      </c>
      <c r="E28" s="809" t="s">
        <v>1565</v>
      </c>
    </row>
    <row r="29" spans="1:5" x14ac:dyDescent="0.2">
      <c r="B29" s="811">
        <v>3.5</v>
      </c>
      <c r="C29" s="810" t="s">
        <v>1496</v>
      </c>
      <c r="D29" s="806" t="str">
        <f t="shared" si="2"/>
        <v>3.5 - Infrastructure Development, Planning and Reticulation Design</v>
      </c>
      <c r="E29" s="809" t="s">
        <v>1566</v>
      </c>
    </row>
    <row r="30" spans="1:5" x14ac:dyDescent="0.2">
      <c r="B30" s="811">
        <v>3.6</v>
      </c>
      <c r="C30" s="810"/>
      <c r="D30" s="806" t="str">
        <f t="shared" si="2"/>
        <v xml:space="preserve">3.6 - </v>
      </c>
      <c r="E30" s="809"/>
    </row>
    <row r="31" spans="1:5" x14ac:dyDescent="0.2">
      <c r="B31" s="811">
        <v>3.7</v>
      </c>
      <c r="C31" s="810"/>
      <c r="D31" s="806" t="str">
        <f t="shared" si="2"/>
        <v xml:space="preserve">3.7 - </v>
      </c>
      <c r="E31" s="809"/>
    </row>
    <row r="32" spans="1:5" x14ac:dyDescent="0.2">
      <c r="B32" s="811">
        <v>3.8</v>
      </c>
      <c r="C32" s="810"/>
      <c r="D32" s="806" t="str">
        <f t="shared" si="2"/>
        <v xml:space="preserve">3.8 - </v>
      </c>
      <c r="E32" s="809"/>
    </row>
    <row r="33" spans="2:5" x14ac:dyDescent="0.2">
      <c r="B33" s="811">
        <v>3.9</v>
      </c>
      <c r="C33" s="810"/>
      <c r="D33" s="806" t="str">
        <f t="shared" si="2"/>
        <v xml:space="preserve">3.9 - </v>
      </c>
      <c r="E33" s="809"/>
    </row>
    <row r="34" spans="2:5" x14ac:dyDescent="0.2">
      <c r="B34" s="811" t="s">
        <v>1058</v>
      </c>
      <c r="C34" s="810"/>
      <c r="D34" s="806" t="str">
        <f t="shared" si="2"/>
        <v xml:space="preserve">3.10 - </v>
      </c>
      <c r="E34" s="809"/>
    </row>
    <row r="35" spans="2:5" x14ac:dyDescent="0.2">
      <c r="B35" s="814" t="s">
        <v>835</v>
      </c>
      <c r="C35" s="812" t="s">
        <v>1497</v>
      </c>
      <c r="E35" s="809"/>
    </row>
    <row r="36" spans="2:5" x14ac:dyDescent="0.2">
      <c r="B36" s="811">
        <v>4.0999999999999996</v>
      </c>
      <c r="C36" s="810" t="s">
        <v>1498</v>
      </c>
      <c r="D36" s="806" t="str">
        <f t="shared" ref="D36:D45" si="3">CONCATENATE(B36, " - ", C36)</f>
        <v>4.1 - Energy Services Admin</v>
      </c>
      <c r="E36" s="809" t="s">
        <v>1567</v>
      </c>
    </row>
    <row r="37" spans="2:5" x14ac:dyDescent="0.2">
      <c r="B37" s="811">
        <v>4.2</v>
      </c>
      <c r="C37" s="810" t="s">
        <v>1499</v>
      </c>
      <c r="D37" s="806" t="str">
        <f t="shared" si="3"/>
        <v>4.2 - Energy Operation and Maintenance Admininstration</v>
      </c>
      <c r="E37" s="809" t="s">
        <v>1568</v>
      </c>
    </row>
    <row r="38" spans="2:5" x14ac:dyDescent="0.2">
      <c r="B38" s="811">
        <v>4.3</v>
      </c>
      <c r="C38" s="810" t="s">
        <v>1500</v>
      </c>
      <c r="D38" s="806" t="str">
        <f t="shared" si="3"/>
        <v>4.3 - Energy Services: 66KV Operations, Maitenance: Scada and Protection</v>
      </c>
      <c r="E38" s="809" t="s">
        <v>1569</v>
      </c>
    </row>
    <row r="39" spans="2:5" x14ac:dyDescent="0.2">
      <c r="B39" s="811">
        <v>4.4000000000000004</v>
      </c>
      <c r="C39" s="810" t="s">
        <v>1501</v>
      </c>
      <c r="D39" s="806" t="str">
        <f t="shared" si="3"/>
        <v>4.4 - Energy Services: 11KV Operations, Maitenance and Construction</v>
      </c>
      <c r="E39" s="809" t="s">
        <v>1570</v>
      </c>
    </row>
    <row r="40" spans="2:5" x14ac:dyDescent="0.2">
      <c r="B40" s="811">
        <v>4.5</v>
      </c>
      <c r="C40" s="810" t="s">
        <v>1502</v>
      </c>
      <c r="D40" s="806" t="str">
        <f t="shared" si="3"/>
        <v>4.5 - Energy Services: Planning and development</v>
      </c>
      <c r="E40" s="809" t="s">
        <v>1571</v>
      </c>
    </row>
    <row r="41" spans="2:5" x14ac:dyDescent="0.2">
      <c r="B41" s="811">
        <v>4.5999999999999996</v>
      </c>
      <c r="C41" s="810"/>
      <c r="D41" s="806" t="str">
        <f t="shared" si="3"/>
        <v xml:space="preserve">4.6 - </v>
      </c>
      <c r="E41" s="809" t="s">
        <v>1572</v>
      </c>
    </row>
    <row r="42" spans="2:5" x14ac:dyDescent="0.2">
      <c r="B42" s="811">
        <v>4.7</v>
      </c>
      <c r="C42" s="810"/>
      <c r="D42" s="806" t="str">
        <f t="shared" si="3"/>
        <v xml:space="preserve">4.7 - </v>
      </c>
      <c r="E42" s="809" t="s">
        <v>1573</v>
      </c>
    </row>
    <row r="43" spans="2:5" x14ac:dyDescent="0.2">
      <c r="B43" s="811">
        <v>4.8</v>
      </c>
      <c r="C43" s="810"/>
      <c r="D43" s="806" t="str">
        <f t="shared" si="3"/>
        <v xml:space="preserve">4.8 - </v>
      </c>
      <c r="E43" s="809" t="s">
        <v>1576</v>
      </c>
    </row>
    <row r="44" spans="2:5" x14ac:dyDescent="0.2">
      <c r="B44" s="811">
        <v>4.9000000000000004</v>
      </c>
      <c r="C44" s="810"/>
      <c r="D44" s="806" t="str">
        <f t="shared" si="3"/>
        <v xml:space="preserve">4.9 - </v>
      </c>
      <c r="E44" s="809" t="s">
        <v>1574</v>
      </c>
    </row>
    <row r="45" spans="2:5" x14ac:dyDescent="0.2">
      <c r="B45" s="811" t="s">
        <v>1057</v>
      </c>
      <c r="C45" s="810"/>
      <c r="D45" s="806" t="str">
        <f t="shared" si="3"/>
        <v xml:space="preserve">4.10 - </v>
      </c>
      <c r="E45" s="809" t="s">
        <v>1575</v>
      </c>
    </row>
    <row r="46" spans="2:5" x14ac:dyDescent="0.2">
      <c r="B46" s="814" t="s">
        <v>834</v>
      </c>
      <c r="C46" s="812" t="s">
        <v>1503</v>
      </c>
      <c r="E46" s="809"/>
    </row>
    <row r="47" spans="2:5" x14ac:dyDescent="0.2">
      <c r="B47" s="811">
        <v>5.0999999999999996</v>
      </c>
      <c r="C47" s="810" t="s">
        <v>1504</v>
      </c>
      <c r="D47" s="806" t="str">
        <f t="shared" ref="D47:D56" si="4">CONCATENATE(B47, " - ", C47)</f>
        <v>5.1 - Directorate Community Services</v>
      </c>
      <c r="E47" s="809" t="s">
        <v>1577</v>
      </c>
    </row>
    <row r="48" spans="2:5" x14ac:dyDescent="0.2">
      <c r="B48" s="811">
        <v>5.2</v>
      </c>
      <c r="C48" s="810" t="s">
        <v>793</v>
      </c>
      <c r="D48" s="806" t="str">
        <f t="shared" si="4"/>
        <v>5.2 - Sport and Recreation</v>
      </c>
      <c r="E48" s="809" t="s">
        <v>1578</v>
      </c>
    </row>
    <row r="49" spans="2:5" x14ac:dyDescent="0.2">
      <c r="B49" s="811">
        <v>5.3</v>
      </c>
      <c r="C49" s="810" t="s">
        <v>1505</v>
      </c>
      <c r="D49" s="806" t="str">
        <f t="shared" si="4"/>
        <v>5.3 - Sport and Facilities Maintenance</v>
      </c>
      <c r="E49" s="809" t="s">
        <v>1579</v>
      </c>
    </row>
    <row r="50" spans="2:5" x14ac:dyDescent="0.2">
      <c r="B50" s="811">
        <v>5.4</v>
      </c>
      <c r="C50" s="810" t="s">
        <v>1506</v>
      </c>
      <c r="D50" s="806" t="str">
        <f t="shared" si="4"/>
        <v>5.4 - Swimming Pools</v>
      </c>
      <c r="E50" s="809" t="s">
        <v>1580</v>
      </c>
    </row>
    <row r="51" spans="2:5" x14ac:dyDescent="0.2">
      <c r="B51" s="811">
        <v>5.5</v>
      </c>
      <c r="C51" s="810" t="s">
        <v>1186</v>
      </c>
      <c r="D51" s="806" t="str">
        <f t="shared" si="4"/>
        <v>5.5 - Museums and Art Galleries</v>
      </c>
      <c r="E51" s="809" t="s">
        <v>1581</v>
      </c>
    </row>
    <row r="52" spans="2:5" x14ac:dyDescent="0.2">
      <c r="B52" s="811">
        <v>5.6</v>
      </c>
      <c r="C52" s="810" t="s">
        <v>171</v>
      </c>
      <c r="D52" s="806" t="str">
        <f t="shared" si="4"/>
        <v>5.6 - Libraries and Archives</v>
      </c>
      <c r="E52" s="809" t="s">
        <v>1582</v>
      </c>
    </row>
    <row r="53" spans="2:5" x14ac:dyDescent="0.2">
      <c r="B53" s="811">
        <v>5.7</v>
      </c>
      <c r="C53" s="810" t="s">
        <v>1507</v>
      </c>
      <c r="D53" s="806" t="str">
        <f t="shared" si="4"/>
        <v>5.7 - Culture Services</v>
      </c>
      <c r="E53" s="809" t="s">
        <v>1583</v>
      </c>
    </row>
    <row r="54" spans="2:5" x14ac:dyDescent="0.2">
      <c r="B54" s="811">
        <v>5.8</v>
      </c>
      <c r="C54" s="810" t="s">
        <v>1508</v>
      </c>
      <c r="D54" s="806" t="str">
        <f t="shared" si="4"/>
        <v>5.8 - Cemetaries</v>
      </c>
      <c r="E54" s="809" t="s">
        <v>1584</v>
      </c>
    </row>
    <row r="55" spans="2:5" x14ac:dyDescent="0.2">
      <c r="B55" s="811">
        <v>5.9</v>
      </c>
      <c r="C55" s="810" t="s">
        <v>1509</v>
      </c>
      <c r="D55" s="806" t="str">
        <f t="shared" si="4"/>
        <v>5.9 - Waste Management</v>
      </c>
      <c r="E55" s="809" t="s">
        <v>1376</v>
      </c>
    </row>
    <row r="56" spans="2:5" x14ac:dyDescent="0.2">
      <c r="B56" s="811" t="s">
        <v>1056</v>
      </c>
      <c r="C56" s="810" t="s">
        <v>1510</v>
      </c>
      <c r="D56" s="806" t="str">
        <f t="shared" si="4"/>
        <v>5.10 - Other Community Services</v>
      </c>
      <c r="E56" s="809" t="s">
        <v>1377</v>
      </c>
    </row>
    <row r="57" spans="2:5" x14ac:dyDescent="0.2">
      <c r="B57" s="814" t="s">
        <v>833</v>
      </c>
      <c r="C57" s="812" t="s">
        <v>1511</v>
      </c>
      <c r="E57" s="809"/>
    </row>
    <row r="58" spans="2:5" x14ac:dyDescent="0.2">
      <c r="B58" s="811">
        <v>6.1</v>
      </c>
      <c r="C58" s="810" t="s">
        <v>1168</v>
      </c>
      <c r="D58" s="806" t="str">
        <f t="shared" ref="D58:D67" si="5">CONCATENATE(B58, " - ", C58)</f>
        <v>6.1 - Security Services</v>
      </c>
      <c r="E58" s="809" t="s">
        <v>1585</v>
      </c>
    </row>
    <row r="59" spans="2:5" x14ac:dyDescent="0.2">
      <c r="B59" s="811">
        <v>6.2</v>
      </c>
      <c r="C59" s="810" t="s">
        <v>1512</v>
      </c>
      <c r="D59" s="806" t="str">
        <f t="shared" si="5"/>
        <v>6.2 - Fire and Emergency Services</v>
      </c>
      <c r="E59" s="809" t="s">
        <v>1586</v>
      </c>
    </row>
    <row r="60" spans="2:5" x14ac:dyDescent="0.2">
      <c r="B60" s="811">
        <v>6.3</v>
      </c>
      <c r="C60" s="810" t="s">
        <v>1513</v>
      </c>
      <c r="D60" s="806" t="str">
        <f t="shared" si="5"/>
        <v>6.3 - Public Safety Administrative</v>
      </c>
      <c r="E60" s="809" t="s">
        <v>1587</v>
      </c>
    </row>
    <row r="61" spans="2:5" x14ac:dyDescent="0.2">
      <c r="B61" s="811">
        <v>6.4</v>
      </c>
      <c r="C61" s="810" t="s">
        <v>1514</v>
      </c>
      <c r="D61" s="806" t="str">
        <f t="shared" si="5"/>
        <v>6.4 - Licensing</v>
      </c>
      <c r="E61" s="809" t="s">
        <v>1588</v>
      </c>
    </row>
    <row r="62" spans="2:5" x14ac:dyDescent="0.2">
      <c r="B62" s="811">
        <v>6.5</v>
      </c>
      <c r="C62" s="810" t="s">
        <v>1515</v>
      </c>
      <c r="D62" s="806" t="str">
        <f t="shared" si="5"/>
        <v>6.5 - Vehicle Licensing and Testing</v>
      </c>
      <c r="E62" s="809" t="s">
        <v>1589</v>
      </c>
    </row>
    <row r="63" spans="2:5" x14ac:dyDescent="0.2">
      <c r="B63" s="811">
        <v>6.6</v>
      </c>
      <c r="C63" s="810" t="s">
        <v>1516</v>
      </c>
      <c r="D63" s="806" t="str">
        <f t="shared" si="5"/>
        <v>6.6 - Traffic</v>
      </c>
      <c r="E63" s="809" t="s">
        <v>1590</v>
      </c>
    </row>
    <row r="64" spans="2:5" x14ac:dyDescent="0.2">
      <c r="B64" s="811">
        <v>6.7</v>
      </c>
      <c r="C64" s="810" t="s">
        <v>1517</v>
      </c>
      <c r="D64" s="806" t="str">
        <f t="shared" si="5"/>
        <v>6.7 - By-Law Enforcement and Security (administration)</v>
      </c>
      <c r="E64" s="809" t="s">
        <v>1591</v>
      </c>
    </row>
    <row r="65" spans="2:5" x14ac:dyDescent="0.2">
      <c r="B65" s="811">
        <v>6.8</v>
      </c>
      <c r="C65" s="810" t="s">
        <v>1180</v>
      </c>
      <c r="D65" s="806" t="str">
        <f t="shared" si="5"/>
        <v>6.8 - Disaster Management</v>
      </c>
      <c r="E65" s="809" t="s">
        <v>1592</v>
      </c>
    </row>
    <row r="66" spans="2:5" x14ac:dyDescent="0.2">
      <c r="B66" s="811">
        <v>6.9</v>
      </c>
      <c r="C66" s="810" t="s">
        <v>1202</v>
      </c>
      <c r="D66" s="806" t="str">
        <f t="shared" si="5"/>
        <v>6.9 - Health Services</v>
      </c>
      <c r="E66" s="809" t="s">
        <v>1593</v>
      </c>
    </row>
    <row r="67" spans="2:5" x14ac:dyDescent="0.2">
      <c r="B67" s="811" t="s">
        <v>1055</v>
      </c>
      <c r="C67" s="810"/>
      <c r="D67" s="806" t="str">
        <f t="shared" si="5"/>
        <v xml:space="preserve">6.10 - </v>
      </c>
      <c r="E67" s="809" t="s">
        <v>1594</v>
      </c>
    </row>
    <row r="68" spans="2:5" x14ac:dyDescent="0.2">
      <c r="B68" s="813" t="s">
        <v>832</v>
      </c>
      <c r="C68" s="812" t="s">
        <v>1371</v>
      </c>
      <c r="E68" s="809"/>
    </row>
    <row r="69" spans="2:5" x14ac:dyDescent="0.2">
      <c r="B69" s="811">
        <v>7.1</v>
      </c>
      <c r="C69" s="810" t="s">
        <v>1518</v>
      </c>
      <c r="D69" s="806" t="str">
        <f t="shared" ref="D69:D78" si="6">CONCATENATE(B69, " - ", C69)</f>
        <v>7.1 - Corporate and Shared Services</v>
      </c>
      <c r="E69" s="809" t="s">
        <v>1595</v>
      </c>
    </row>
    <row r="70" spans="2:5" x14ac:dyDescent="0.2">
      <c r="B70" s="811">
        <v>7.2</v>
      </c>
      <c r="C70" s="810" t="s">
        <v>1519</v>
      </c>
      <c r="D70" s="806" t="str">
        <f t="shared" si="6"/>
        <v>7.2 - Information Services</v>
      </c>
      <c r="E70" s="809" t="s">
        <v>1596</v>
      </c>
    </row>
    <row r="71" spans="2:5" x14ac:dyDescent="0.2">
      <c r="B71" s="811">
        <v>7.3</v>
      </c>
      <c r="C71" s="810" t="s">
        <v>1520</v>
      </c>
      <c r="D71" s="806" t="str">
        <f t="shared" si="6"/>
        <v>7.3 - Occupational Health and Safety</v>
      </c>
      <c r="E71" s="809" t="s">
        <v>1597</v>
      </c>
    </row>
    <row r="72" spans="2:5" x14ac:dyDescent="0.2">
      <c r="B72" s="811">
        <v>7.4</v>
      </c>
      <c r="C72" s="810" t="s">
        <v>1164</v>
      </c>
      <c r="D72" s="806" t="str">
        <f t="shared" si="6"/>
        <v>7.4 - Fleet Management</v>
      </c>
      <c r="E72" s="809" t="s">
        <v>1598</v>
      </c>
    </row>
    <row r="73" spans="2:5" x14ac:dyDescent="0.2">
      <c r="B73" s="811">
        <v>7.5</v>
      </c>
      <c r="C73" s="810" t="s">
        <v>1521</v>
      </c>
      <c r="D73" s="806" t="str">
        <f t="shared" si="6"/>
        <v>7.5 - Human Resources Management</v>
      </c>
      <c r="E73" s="809" t="s">
        <v>1599</v>
      </c>
    </row>
    <row r="74" spans="2:5" x14ac:dyDescent="0.2">
      <c r="B74" s="811">
        <v>7.6</v>
      </c>
      <c r="C74" s="810" t="s">
        <v>1522</v>
      </c>
      <c r="D74" s="806" t="str">
        <f t="shared" si="6"/>
        <v>7.6 - Human Resources Admin</v>
      </c>
      <c r="E74" s="809" t="s">
        <v>1600</v>
      </c>
    </row>
    <row r="75" spans="2:5" x14ac:dyDescent="0.2">
      <c r="B75" s="811">
        <v>7.7</v>
      </c>
      <c r="C75" s="810" t="s">
        <v>1523</v>
      </c>
      <c r="D75" s="806" t="str">
        <f t="shared" si="6"/>
        <v>7.7 - Human Resources Development</v>
      </c>
      <c r="E75" s="809" t="s">
        <v>1601</v>
      </c>
    </row>
    <row r="76" spans="2:5" x14ac:dyDescent="0.2">
      <c r="B76" s="811">
        <v>7.8</v>
      </c>
      <c r="C76" s="810"/>
      <c r="D76" s="806" t="str">
        <f t="shared" si="6"/>
        <v xml:space="preserve">7.8 - </v>
      </c>
      <c r="E76" s="809" t="s">
        <v>1602</v>
      </c>
    </row>
    <row r="77" spans="2:5" x14ac:dyDescent="0.2">
      <c r="B77" s="811">
        <v>7.9</v>
      </c>
      <c r="C77" s="810"/>
      <c r="D77" s="806" t="str">
        <f t="shared" si="6"/>
        <v xml:space="preserve">7.9 - </v>
      </c>
      <c r="E77" s="809" t="s">
        <v>1603</v>
      </c>
    </row>
    <row r="78" spans="2:5" x14ac:dyDescent="0.2">
      <c r="B78" s="811" t="s">
        <v>1054</v>
      </c>
      <c r="C78" s="810"/>
      <c r="D78" s="806" t="str">
        <f t="shared" si="6"/>
        <v xml:space="preserve">7.10 - </v>
      </c>
      <c r="E78" s="809" t="s">
        <v>1604</v>
      </c>
    </row>
    <row r="79" spans="2:5" x14ac:dyDescent="0.2">
      <c r="B79" s="813" t="s">
        <v>831</v>
      </c>
      <c r="C79" s="812" t="s">
        <v>1372</v>
      </c>
      <c r="E79" s="809"/>
    </row>
    <row r="80" spans="2:5" x14ac:dyDescent="0.2">
      <c r="B80" s="811">
        <v>8.1</v>
      </c>
      <c r="C80" s="810" t="s">
        <v>1524</v>
      </c>
      <c r="D80" s="806" t="str">
        <f t="shared" ref="D80:D89" si="7">CONCATENATE(B80, " - ", C80)</f>
        <v>8.1 - Directorate Planning and Development</v>
      </c>
      <c r="E80" s="809" t="s">
        <v>1605</v>
      </c>
    </row>
    <row r="81" spans="2:5" x14ac:dyDescent="0.2">
      <c r="B81" s="811">
        <v>8.1999999999999993</v>
      </c>
      <c r="C81" s="810" t="s">
        <v>170</v>
      </c>
      <c r="D81" s="806" t="str">
        <f t="shared" si="7"/>
        <v>8.2 - Property Services</v>
      </c>
      <c r="E81" s="809" t="s">
        <v>1606</v>
      </c>
    </row>
    <row r="82" spans="2:5" x14ac:dyDescent="0.2">
      <c r="B82" s="811">
        <v>8.3000000000000007</v>
      </c>
      <c r="C82" s="810" t="s">
        <v>1525</v>
      </c>
      <c r="D82" s="806" t="str">
        <f t="shared" si="7"/>
        <v>8.3 - City and Regional Planning</v>
      </c>
      <c r="E82" s="809" t="s">
        <v>1607</v>
      </c>
    </row>
    <row r="83" spans="2:5" x14ac:dyDescent="0.2">
      <c r="B83" s="811">
        <v>8.4</v>
      </c>
      <c r="C83" s="810" t="s">
        <v>1526</v>
      </c>
      <c r="D83" s="806" t="str">
        <f t="shared" si="7"/>
        <v>8.4 - Corporate Geo Information</v>
      </c>
      <c r="E83" s="809" t="s">
        <v>1608</v>
      </c>
    </row>
    <row r="84" spans="2:5" x14ac:dyDescent="0.2">
      <c r="B84" s="811">
        <v>8.5</v>
      </c>
      <c r="C84" s="810" t="s">
        <v>1527</v>
      </c>
      <c r="D84" s="806" t="str">
        <f t="shared" si="7"/>
        <v>8.5 - Building Inspectorate</v>
      </c>
      <c r="E84" s="809" t="s">
        <v>1609</v>
      </c>
    </row>
    <row r="85" spans="2:5" x14ac:dyDescent="0.2">
      <c r="B85" s="811">
        <v>8.6</v>
      </c>
      <c r="C85" s="810" t="s">
        <v>1528</v>
      </c>
      <c r="D85" s="806" t="str">
        <f t="shared" si="7"/>
        <v>8.6 - Economic Development and Tourism</v>
      </c>
      <c r="E85" s="809" t="s">
        <v>1610</v>
      </c>
    </row>
    <row r="86" spans="2:5" x14ac:dyDescent="0.2">
      <c r="B86" s="811">
        <v>8.6999999999999993</v>
      </c>
      <c r="C86" s="810" t="s">
        <v>1529</v>
      </c>
      <c r="D86" s="806" t="str">
        <f t="shared" si="7"/>
        <v>8.7 - Local Economic Development</v>
      </c>
      <c r="E86" s="809" t="s">
        <v>1611</v>
      </c>
    </row>
    <row r="87" spans="2:5" x14ac:dyDescent="0.2">
      <c r="B87" s="811">
        <v>8.8000000000000007</v>
      </c>
      <c r="C87" s="810" t="s">
        <v>1530</v>
      </c>
      <c r="D87" s="806" t="str">
        <f t="shared" si="7"/>
        <v>8.8 - Investment Promotion</v>
      </c>
      <c r="E87" s="809" t="s">
        <v>1612</v>
      </c>
    </row>
    <row r="88" spans="2:5" x14ac:dyDescent="0.2">
      <c r="B88" s="811">
        <v>8.9</v>
      </c>
      <c r="C88" s="810" t="s">
        <v>1531</v>
      </c>
      <c r="D88" s="806" t="str">
        <f t="shared" si="7"/>
        <v>8.9 - LED (Economic Planning)</v>
      </c>
      <c r="E88" s="809" t="s">
        <v>1613</v>
      </c>
    </row>
    <row r="89" spans="2:5" x14ac:dyDescent="0.2">
      <c r="B89" s="811" t="s">
        <v>1053</v>
      </c>
      <c r="C89" s="810" t="s">
        <v>1532</v>
      </c>
      <c r="D89" s="806" t="str">
        <f t="shared" si="7"/>
        <v>8.10 - Other Planning and Economic Development</v>
      </c>
      <c r="E89" s="809" t="s">
        <v>1379</v>
      </c>
    </row>
    <row r="90" spans="2:5" x14ac:dyDescent="0.2">
      <c r="B90" s="813" t="s">
        <v>830</v>
      </c>
      <c r="C90" s="812" t="s">
        <v>1373</v>
      </c>
      <c r="E90" s="809"/>
    </row>
    <row r="91" spans="2:5" x14ac:dyDescent="0.2">
      <c r="B91" s="811">
        <v>9.1</v>
      </c>
      <c r="C91" s="810" t="s">
        <v>1533</v>
      </c>
      <c r="D91" s="806" t="str">
        <f t="shared" ref="D91:D100" si="8">CONCATENATE(B91, " - ", C91)</f>
        <v>9.1 - Budget and Treasury Office (Administration)</v>
      </c>
      <c r="E91" s="809" t="s">
        <v>1615</v>
      </c>
    </row>
    <row r="92" spans="2:5" x14ac:dyDescent="0.2">
      <c r="B92" s="811">
        <v>9.1999999999999993</v>
      </c>
      <c r="C92" s="810" t="s">
        <v>1534</v>
      </c>
      <c r="D92" s="806" t="str">
        <f t="shared" si="8"/>
        <v>9.2 - Expenditure</v>
      </c>
      <c r="E92" s="809" t="s">
        <v>1614</v>
      </c>
    </row>
    <row r="93" spans="2:5" x14ac:dyDescent="0.2">
      <c r="B93" s="811">
        <v>9.3000000000000007</v>
      </c>
      <c r="C93" s="810" t="s">
        <v>1535</v>
      </c>
      <c r="D93" s="806" t="str">
        <f t="shared" si="8"/>
        <v>9.3 - Revenue Management and Customer Care</v>
      </c>
      <c r="E93" s="809" t="s">
        <v>1616</v>
      </c>
    </row>
    <row r="94" spans="2:5" x14ac:dyDescent="0.2">
      <c r="B94" s="811">
        <v>9.4</v>
      </c>
      <c r="C94" s="810" t="s">
        <v>1378</v>
      </c>
      <c r="D94" s="806" t="str">
        <f t="shared" si="8"/>
        <v>9.4 - Supply Chain Management</v>
      </c>
      <c r="E94" s="809" t="s">
        <v>1617</v>
      </c>
    </row>
    <row r="95" spans="2:5" x14ac:dyDescent="0.2">
      <c r="B95" s="811">
        <v>9.5</v>
      </c>
      <c r="C95" s="810" t="s">
        <v>1161</v>
      </c>
      <c r="D95" s="806" t="str">
        <f t="shared" si="8"/>
        <v>9.5 - Asset Management</v>
      </c>
      <c r="E95" s="809" t="s">
        <v>1618</v>
      </c>
    </row>
    <row r="96" spans="2:5" x14ac:dyDescent="0.2">
      <c r="B96" s="811">
        <v>9.6</v>
      </c>
      <c r="C96" s="810" t="s">
        <v>1536</v>
      </c>
      <c r="D96" s="806" t="str">
        <f t="shared" si="8"/>
        <v>9.6 - Budget and Financial Reporting</v>
      </c>
      <c r="E96" s="809" t="s">
        <v>1619</v>
      </c>
    </row>
    <row r="97" spans="2:5" x14ac:dyDescent="0.2">
      <c r="B97" s="811">
        <v>9.6999999999999993</v>
      </c>
      <c r="C97" s="810" t="s">
        <v>1537</v>
      </c>
      <c r="D97" s="806" t="str">
        <f t="shared" si="8"/>
        <v>9.7 - Business and Financial Planning</v>
      </c>
      <c r="E97" s="809" t="s">
        <v>1620</v>
      </c>
    </row>
    <row r="98" spans="2:5" x14ac:dyDescent="0.2">
      <c r="B98" s="811">
        <v>9.8000000000000007</v>
      </c>
      <c r="C98" s="810"/>
      <c r="D98" s="806" t="str">
        <f t="shared" si="8"/>
        <v xml:space="preserve">9.8 - </v>
      </c>
      <c r="E98" s="809"/>
    </row>
    <row r="99" spans="2:5" x14ac:dyDescent="0.2">
      <c r="B99" s="811">
        <v>9.9</v>
      </c>
      <c r="C99" s="810"/>
      <c r="D99" s="806" t="str">
        <f t="shared" si="8"/>
        <v xml:space="preserve">9.9 - </v>
      </c>
      <c r="E99" s="809"/>
    </row>
    <row r="100" spans="2:5" x14ac:dyDescent="0.2">
      <c r="B100" s="811" t="s">
        <v>1052</v>
      </c>
      <c r="C100" s="810"/>
      <c r="D100" s="806" t="str">
        <f t="shared" si="8"/>
        <v xml:space="preserve">9.10 - </v>
      </c>
      <c r="E100" s="809"/>
    </row>
    <row r="101" spans="2:5" x14ac:dyDescent="0.2">
      <c r="B101" s="813" t="s">
        <v>829</v>
      </c>
      <c r="C101" s="812" t="s">
        <v>1538</v>
      </c>
      <c r="E101" s="809"/>
    </row>
    <row r="102" spans="2:5" x14ac:dyDescent="0.2">
      <c r="B102" s="811">
        <v>10.1</v>
      </c>
      <c r="C102" s="810" t="s">
        <v>1375</v>
      </c>
      <c r="D102" s="806" t="str">
        <f t="shared" ref="D102:D111" si="9">CONCATENATE(B102, " - ", C102)</f>
        <v>10.1 - Roads and streets</v>
      </c>
      <c r="E102" s="809" t="s">
        <v>1621</v>
      </c>
    </row>
    <row r="103" spans="2:5" x14ac:dyDescent="0.2">
      <c r="B103" s="811">
        <v>10.199999999999999</v>
      </c>
      <c r="C103" s="810" t="s">
        <v>1538</v>
      </c>
      <c r="D103" s="806" t="str">
        <f t="shared" si="9"/>
        <v>10.2 - Transport Services</v>
      </c>
      <c r="E103" s="809" t="s">
        <v>1622</v>
      </c>
    </row>
    <row r="104" spans="2:5" x14ac:dyDescent="0.2">
      <c r="B104" s="811">
        <v>10.3</v>
      </c>
      <c r="C104" s="810" t="s">
        <v>1539</v>
      </c>
      <c r="D104" s="806" t="str">
        <f t="shared" si="9"/>
        <v>10.3 - Transport Services (Planning and Operations)</v>
      </c>
      <c r="E104" s="809" t="s">
        <v>1623</v>
      </c>
    </row>
    <row r="105" spans="2:5" x14ac:dyDescent="0.2">
      <c r="B105" s="811">
        <v>10.4</v>
      </c>
      <c r="C105" s="810" t="s">
        <v>1540</v>
      </c>
      <c r="D105" s="806" t="str">
        <f t="shared" si="9"/>
        <v>10.4 - Transport Services (Intelligent Transport and Operations)</v>
      </c>
      <c r="E105" s="809" t="s">
        <v>1624</v>
      </c>
    </row>
    <row r="106" spans="2:5" x14ac:dyDescent="0.2">
      <c r="B106" s="811">
        <v>10.5</v>
      </c>
      <c r="C106" s="810" t="s">
        <v>1541</v>
      </c>
      <c r="D106" s="806" t="str">
        <f t="shared" si="9"/>
        <v>10.5 - Transport Services (Public Transport Regulation and Moitoring)</v>
      </c>
      <c r="E106" s="809" t="s">
        <v>1625</v>
      </c>
    </row>
    <row r="107" spans="2:5" x14ac:dyDescent="0.2">
      <c r="B107" s="811">
        <v>10.6</v>
      </c>
      <c r="C107" s="810" t="s">
        <v>1542</v>
      </c>
      <c r="D107" s="806" t="str">
        <f t="shared" si="9"/>
        <v>10.6 - Roads and Stormwater (administration)</v>
      </c>
      <c r="E107" s="809" t="s">
        <v>1626</v>
      </c>
    </row>
    <row r="108" spans="2:5" x14ac:dyDescent="0.2">
      <c r="B108" s="811">
        <v>10.7</v>
      </c>
      <c r="C108" s="810" t="s">
        <v>1543</v>
      </c>
      <c r="D108" s="806" t="str">
        <f t="shared" si="9"/>
        <v>10.7 - Storm Water Management and Traffic engineering</v>
      </c>
      <c r="E108" s="809" t="s">
        <v>1627</v>
      </c>
    </row>
    <row r="109" spans="2:5" x14ac:dyDescent="0.2">
      <c r="B109" s="811">
        <v>10.8</v>
      </c>
      <c r="C109" s="810" t="s">
        <v>1544</v>
      </c>
      <c r="D109" s="806" t="str">
        <f t="shared" si="9"/>
        <v>10.8 - Roads and Stormwater (Roads and Streets)</v>
      </c>
      <c r="E109" s="809" t="s">
        <v>1628</v>
      </c>
    </row>
    <row r="110" spans="2:5" x14ac:dyDescent="0.2">
      <c r="B110" s="811">
        <v>10.9</v>
      </c>
      <c r="C110" s="810" t="s">
        <v>1545</v>
      </c>
      <c r="D110" s="806" t="str">
        <f t="shared" si="9"/>
        <v>10.9 - Roads and Stormwater (Stormwater)</v>
      </c>
      <c r="E110" s="809" t="s">
        <v>1629</v>
      </c>
    </row>
    <row r="111" spans="2:5" x14ac:dyDescent="0.2">
      <c r="B111" s="811" t="s">
        <v>1051</v>
      </c>
      <c r="C111" s="810"/>
      <c r="D111" s="806" t="str">
        <f t="shared" si="9"/>
        <v xml:space="preserve">10.10 - </v>
      </c>
      <c r="E111" s="809"/>
    </row>
    <row r="112" spans="2:5" x14ac:dyDescent="0.2">
      <c r="B112" s="813" t="s">
        <v>828</v>
      </c>
      <c r="C112" s="812" t="s">
        <v>1546</v>
      </c>
      <c r="E112" s="809"/>
    </row>
    <row r="113" spans="2:5" x14ac:dyDescent="0.2">
      <c r="B113" s="811">
        <v>11.1</v>
      </c>
      <c r="C113" s="810" t="s">
        <v>1546</v>
      </c>
      <c r="D113" s="806" t="str">
        <f t="shared" ref="D113:D122" si="10">CONCATENATE(B113, " - ", C113)</f>
        <v>11.1 - Human Settlement</v>
      </c>
      <c r="E113" s="809" t="s">
        <v>1630</v>
      </c>
    </row>
    <row r="114" spans="2:5" x14ac:dyDescent="0.2">
      <c r="B114" s="811">
        <v>11.2</v>
      </c>
      <c r="C114" s="810" t="s">
        <v>1547</v>
      </c>
      <c r="D114" s="806" t="str">
        <f t="shared" si="10"/>
        <v>11.2 - Human Settlement - Housing Adimistration</v>
      </c>
      <c r="E114" s="809" t="s">
        <v>1631</v>
      </c>
    </row>
    <row r="115" spans="2:5" x14ac:dyDescent="0.2">
      <c r="B115" s="811">
        <v>11.3</v>
      </c>
      <c r="C115" s="810" t="s">
        <v>1548</v>
      </c>
      <c r="D115" s="806" t="str">
        <f t="shared" si="10"/>
        <v>11.3 - Human Settlement Rental Hosing and Programme Implemantation</v>
      </c>
      <c r="E115" s="809" t="s">
        <v>1632</v>
      </c>
    </row>
    <row r="116" spans="2:5" x14ac:dyDescent="0.2">
      <c r="B116" s="811">
        <v>11.4</v>
      </c>
      <c r="C116" s="810"/>
      <c r="D116" s="806" t="str">
        <f t="shared" si="10"/>
        <v xml:space="preserve">11.4 - </v>
      </c>
      <c r="E116" s="809"/>
    </row>
    <row r="117" spans="2:5" x14ac:dyDescent="0.2">
      <c r="B117" s="811">
        <v>11.5</v>
      </c>
      <c r="C117" s="810"/>
      <c r="D117" s="806" t="str">
        <f t="shared" si="10"/>
        <v xml:space="preserve">11.5 - </v>
      </c>
      <c r="E117" s="809"/>
    </row>
    <row r="118" spans="2:5" x14ac:dyDescent="0.2">
      <c r="B118" s="811">
        <v>11.6</v>
      </c>
      <c r="C118" s="810"/>
      <c r="D118" s="806" t="str">
        <f t="shared" si="10"/>
        <v xml:space="preserve">11.6 - </v>
      </c>
      <c r="E118" s="809"/>
    </row>
    <row r="119" spans="2:5" x14ac:dyDescent="0.2">
      <c r="B119" s="811">
        <v>11.7</v>
      </c>
      <c r="C119" s="810"/>
      <c r="D119" s="806" t="str">
        <f t="shared" si="10"/>
        <v xml:space="preserve">11.7 - </v>
      </c>
      <c r="E119" s="809"/>
    </row>
    <row r="120" spans="2:5" x14ac:dyDescent="0.2">
      <c r="B120" s="811">
        <v>11.8</v>
      </c>
      <c r="C120" s="810"/>
      <c r="D120" s="806" t="str">
        <f t="shared" si="10"/>
        <v xml:space="preserve">11.8 - </v>
      </c>
      <c r="E120" s="809"/>
    </row>
    <row r="121" spans="2:5" x14ac:dyDescent="0.2">
      <c r="B121" s="811">
        <v>11.9</v>
      </c>
      <c r="C121" s="810"/>
      <c r="D121" s="806" t="str">
        <f t="shared" si="10"/>
        <v xml:space="preserve">11.9 - </v>
      </c>
      <c r="E121" s="809"/>
    </row>
    <row r="122" spans="2:5" x14ac:dyDescent="0.2">
      <c r="B122" s="811" t="s">
        <v>1050</v>
      </c>
      <c r="C122" s="810"/>
      <c r="D122" s="806" t="str">
        <f t="shared" si="10"/>
        <v xml:space="preserve">11.10 - </v>
      </c>
      <c r="E122" s="809"/>
    </row>
    <row r="123" spans="2:5" x14ac:dyDescent="0.2">
      <c r="B123" s="813" t="s">
        <v>827</v>
      </c>
      <c r="C123" s="812"/>
      <c r="E123" s="809"/>
    </row>
    <row r="124" spans="2:5" x14ac:dyDescent="0.2">
      <c r="B124" s="811">
        <v>12.1</v>
      </c>
      <c r="C124" s="810"/>
      <c r="D124" s="806" t="str">
        <f t="shared" ref="D124:D133" si="11">CONCATENATE(B124, " - ", C124)</f>
        <v xml:space="preserve">12.1 - </v>
      </c>
      <c r="E124" s="809" t="s">
        <v>1049</v>
      </c>
    </row>
    <row r="125" spans="2:5" x14ac:dyDescent="0.2">
      <c r="B125" s="811">
        <v>12.2</v>
      </c>
      <c r="C125" s="810"/>
      <c r="D125" s="806" t="str">
        <f t="shared" si="11"/>
        <v xml:space="preserve">12.2 - </v>
      </c>
      <c r="E125" s="809"/>
    </row>
    <row r="126" spans="2:5" x14ac:dyDescent="0.2">
      <c r="B126" s="811">
        <v>12.3</v>
      </c>
      <c r="C126" s="810"/>
      <c r="D126" s="806" t="str">
        <f t="shared" si="11"/>
        <v xml:space="preserve">12.3 - </v>
      </c>
      <c r="E126" s="809"/>
    </row>
    <row r="127" spans="2:5" x14ac:dyDescent="0.2">
      <c r="B127" s="811">
        <v>12.4</v>
      </c>
      <c r="C127" s="810"/>
      <c r="D127" s="806" t="str">
        <f t="shared" si="11"/>
        <v xml:space="preserve">12.4 - </v>
      </c>
      <c r="E127" s="809"/>
    </row>
    <row r="128" spans="2:5" x14ac:dyDescent="0.2">
      <c r="B128" s="811">
        <v>12.5</v>
      </c>
      <c r="C128" s="810"/>
      <c r="D128" s="806" t="str">
        <f t="shared" si="11"/>
        <v xml:space="preserve">12.5 - </v>
      </c>
      <c r="E128" s="809"/>
    </row>
    <row r="129" spans="2:5" x14ac:dyDescent="0.2">
      <c r="B129" s="811">
        <v>12.6</v>
      </c>
      <c r="C129" s="810"/>
      <c r="D129" s="806" t="str">
        <f t="shared" si="11"/>
        <v xml:space="preserve">12.6 - </v>
      </c>
      <c r="E129" s="809"/>
    </row>
    <row r="130" spans="2:5" x14ac:dyDescent="0.2">
      <c r="B130" s="811">
        <v>12.7</v>
      </c>
      <c r="C130" s="810"/>
      <c r="D130" s="806" t="str">
        <f t="shared" si="11"/>
        <v xml:space="preserve">12.7 - </v>
      </c>
      <c r="E130" s="809"/>
    </row>
    <row r="131" spans="2:5" x14ac:dyDescent="0.2">
      <c r="B131" s="811">
        <v>12.8</v>
      </c>
      <c r="C131" s="810"/>
      <c r="D131" s="806" t="str">
        <f t="shared" si="11"/>
        <v xml:space="preserve">12.8 - </v>
      </c>
      <c r="E131" s="809"/>
    </row>
    <row r="132" spans="2:5" x14ac:dyDescent="0.2">
      <c r="B132" s="811">
        <v>12.9</v>
      </c>
      <c r="C132" s="810"/>
      <c r="D132" s="806" t="str">
        <f t="shared" si="11"/>
        <v xml:space="preserve">12.9 - </v>
      </c>
      <c r="E132" s="809"/>
    </row>
    <row r="133" spans="2:5" x14ac:dyDescent="0.2">
      <c r="B133" s="811" t="s">
        <v>1048</v>
      </c>
      <c r="C133" s="810"/>
      <c r="D133" s="806" t="str">
        <f t="shared" si="11"/>
        <v xml:space="preserve">12.10 - </v>
      </c>
      <c r="E133" s="809"/>
    </row>
    <row r="134" spans="2:5" x14ac:dyDescent="0.2">
      <c r="B134" s="813" t="s">
        <v>826</v>
      </c>
      <c r="C134" s="812"/>
      <c r="E134" s="809"/>
    </row>
    <row r="135" spans="2:5" x14ac:dyDescent="0.2">
      <c r="B135" s="811">
        <v>13.1</v>
      </c>
      <c r="C135" s="810"/>
      <c r="D135" s="806" t="str">
        <f t="shared" ref="D135:D144" si="12">CONCATENATE(B135, " - ", C135)</f>
        <v xml:space="preserve">13.1 - </v>
      </c>
      <c r="E135" s="809" t="s">
        <v>1047</v>
      </c>
    </row>
    <row r="136" spans="2:5" x14ac:dyDescent="0.2">
      <c r="B136" s="811">
        <v>13.2</v>
      </c>
      <c r="C136" s="810"/>
      <c r="D136" s="806" t="str">
        <f t="shared" si="12"/>
        <v xml:space="preserve">13.2 - </v>
      </c>
      <c r="E136" s="809"/>
    </row>
    <row r="137" spans="2:5" x14ac:dyDescent="0.2">
      <c r="B137" s="811">
        <v>13.3</v>
      </c>
      <c r="C137" s="810"/>
      <c r="D137" s="806" t="str">
        <f t="shared" si="12"/>
        <v xml:space="preserve">13.3 - </v>
      </c>
      <c r="E137" s="809"/>
    </row>
    <row r="138" spans="2:5" x14ac:dyDescent="0.2">
      <c r="B138" s="811">
        <v>13.4</v>
      </c>
      <c r="C138" s="810"/>
      <c r="D138" s="806" t="str">
        <f t="shared" si="12"/>
        <v xml:space="preserve">13.4 - </v>
      </c>
      <c r="E138" s="809"/>
    </row>
    <row r="139" spans="2:5" x14ac:dyDescent="0.2">
      <c r="B139" s="811">
        <v>13.5</v>
      </c>
      <c r="C139" s="810"/>
      <c r="D139" s="806" t="str">
        <f t="shared" si="12"/>
        <v xml:space="preserve">13.5 - </v>
      </c>
      <c r="E139" s="809"/>
    </row>
    <row r="140" spans="2:5" x14ac:dyDescent="0.2">
      <c r="B140" s="811">
        <v>13.6</v>
      </c>
      <c r="C140" s="810"/>
      <c r="D140" s="806" t="str">
        <f t="shared" si="12"/>
        <v xml:space="preserve">13.6 - </v>
      </c>
      <c r="E140" s="809"/>
    </row>
    <row r="141" spans="2:5" x14ac:dyDescent="0.2">
      <c r="B141" s="811">
        <v>13.7</v>
      </c>
      <c r="C141" s="810"/>
      <c r="D141" s="806" t="str">
        <f t="shared" si="12"/>
        <v xml:space="preserve">13.7 - </v>
      </c>
      <c r="E141" s="809"/>
    </row>
    <row r="142" spans="2:5" x14ac:dyDescent="0.2">
      <c r="B142" s="811">
        <v>13.8</v>
      </c>
      <c r="C142" s="810"/>
      <c r="D142" s="806" t="str">
        <f t="shared" si="12"/>
        <v xml:space="preserve">13.8 - </v>
      </c>
      <c r="E142" s="809"/>
    </row>
    <row r="143" spans="2:5" x14ac:dyDescent="0.2">
      <c r="B143" s="811">
        <v>13.9</v>
      </c>
      <c r="C143" s="810"/>
      <c r="D143" s="806" t="str">
        <f t="shared" si="12"/>
        <v xml:space="preserve">13.9 - </v>
      </c>
      <c r="E143" s="809"/>
    </row>
    <row r="144" spans="2:5" x14ac:dyDescent="0.2">
      <c r="B144" s="811" t="s">
        <v>1046</v>
      </c>
      <c r="C144" s="810"/>
      <c r="D144" s="806" t="str">
        <f t="shared" si="12"/>
        <v xml:space="preserve">13.10 - </v>
      </c>
      <c r="E144" s="809"/>
    </row>
    <row r="145" spans="2:5" x14ac:dyDescent="0.2">
      <c r="B145" s="813" t="s">
        <v>825</v>
      </c>
      <c r="C145" s="812" t="s">
        <v>1045</v>
      </c>
      <c r="E145" s="809"/>
    </row>
    <row r="146" spans="2:5" x14ac:dyDescent="0.2">
      <c r="B146" s="811">
        <v>14.1</v>
      </c>
      <c r="C146" s="810" t="s">
        <v>1039</v>
      </c>
      <c r="D146" s="806" t="str">
        <f t="shared" ref="D146:D155" si="13">CONCATENATE(B146, " - ", C146)</f>
        <v>14.1 - [Name of sub-vote]</v>
      </c>
      <c r="E146" s="809" t="s">
        <v>1044</v>
      </c>
    </row>
    <row r="147" spans="2:5" x14ac:dyDescent="0.2">
      <c r="B147" s="811">
        <v>14.2</v>
      </c>
      <c r="C147" s="810" t="s">
        <v>1039</v>
      </c>
      <c r="D147" s="806" t="str">
        <f t="shared" si="13"/>
        <v>14.2 - [Name of sub-vote]</v>
      </c>
      <c r="E147" s="809"/>
    </row>
    <row r="148" spans="2:5" x14ac:dyDescent="0.2">
      <c r="B148" s="811">
        <v>14.3</v>
      </c>
      <c r="C148" s="810" t="s">
        <v>1039</v>
      </c>
      <c r="D148" s="806" t="str">
        <f t="shared" si="13"/>
        <v>14.3 - [Name of sub-vote]</v>
      </c>
      <c r="E148" s="809"/>
    </row>
    <row r="149" spans="2:5" x14ac:dyDescent="0.2">
      <c r="B149" s="811">
        <v>14.4</v>
      </c>
      <c r="C149" s="810" t="s">
        <v>1039</v>
      </c>
      <c r="D149" s="806" t="str">
        <f t="shared" si="13"/>
        <v>14.4 - [Name of sub-vote]</v>
      </c>
      <c r="E149" s="809"/>
    </row>
    <row r="150" spans="2:5" x14ac:dyDescent="0.2">
      <c r="B150" s="811">
        <v>14.5</v>
      </c>
      <c r="C150" s="810" t="s">
        <v>1039</v>
      </c>
      <c r="D150" s="806" t="str">
        <f t="shared" si="13"/>
        <v>14.5 - [Name of sub-vote]</v>
      </c>
      <c r="E150" s="809"/>
    </row>
    <row r="151" spans="2:5" x14ac:dyDescent="0.2">
      <c r="B151" s="811">
        <v>14.6</v>
      </c>
      <c r="C151" s="810" t="s">
        <v>1039</v>
      </c>
      <c r="D151" s="806" t="str">
        <f t="shared" si="13"/>
        <v>14.6 - [Name of sub-vote]</v>
      </c>
      <c r="E151" s="809"/>
    </row>
    <row r="152" spans="2:5" x14ac:dyDescent="0.2">
      <c r="B152" s="811">
        <v>14.7</v>
      </c>
      <c r="C152" s="810" t="s">
        <v>1039</v>
      </c>
      <c r="D152" s="806" t="str">
        <f t="shared" si="13"/>
        <v>14.7 - [Name of sub-vote]</v>
      </c>
      <c r="E152" s="809"/>
    </row>
    <row r="153" spans="2:5" x14ac:dyDescent="0.2">
      <c r="B153" s="811">
        <v>14.8</v>
      </c>
      <c r="C153" s="810" t="s">
        <v>1039</v>
      </c>
      <c r="D153" s="806" t="str">
        <f t="shared" si="13"/>
        <v>14.8 - [Name of sub-vote]</v>
      </c>
      <c r="E153" s="809"/>
    </row>
    <row r="154" spans="2:5" x14ac:dyDescent="0.2">
      <c r="B154" s="811">
        <v>14.9</v>
      </c>
      <c r="C154" s="810" t="s">
        <v>1039</v>
      </c>
      <c r="D154" s="806" t="str">
        <f t="shared" si="13"/>
        <v>14.9 - [Name of sub-vote]</v>
      </c>
      <c r="E154" s="809"/>
    </row>
    <row r="155" spans="2:5" x14ac:dyDescent="0.2">
      <c r="B155" s="811" t="s">
        <v>1043</v>
      </c>
      <c r="C155" s="810" t="s">
        <v>1039</v>
      </c>
      <c r="D155" s="806" t="str">
        <f t="shared" si="13"/>
        <v>14.10 - [Name of sub-vote]</v>
      </c>
      <c r="E155" s="809"/>
    </row>
    <row r="156" spans="2:5" x14ac:dyDescent="0.2">
      <c r="B156" s="813" t="s">
        <v>824</v>
      </c>
      <c r="C156" s="812" t="s">
        <v>1042</v>
      </c>
      <c r="E156" s="809"/>
    </row>
    <row r="157" spans="2:5" x14ac:dyDescent="0.2">
      <c r="B157" s="811">
        <v>15.1</v>
      </c>
      <c r="C157" s="810" t="s">
        <v>1039</v>
      </c>
      <c r="D157" s="806" t="str">
        <f t="shared" ref="D157:D166" si="14">CONCATENATE(B157, " - ", C157)</f>
        <v>15.1 - [Name of sub-vote]</v>
      </c>
      <c r="E157" s="809" t="s">
        <v>1041</v>
      </c>
    </row>
    <row r="158" spans="2:5" x14ac:dyDescent="0.2">
      <c r="B158" s="811">
        <v>15.2</v>
      </c>
      <c r="C158" s="810" t="s">
        <v>1039</v>
      </c>
      <c r="D158" s="806" t="str">
        <f t="shared" si="14"/>
        <v>15.2 - [Name of sub-vote]</v>
      </c>
      <c r="E158" s="809"/>
    </row>
    <row r="159" spans="2:5" x14ac:dyDescent="0.2">
      <c r="B159" s="811">
        <v>15.3</v>
      </c>
      <c r="C159" s="810" t="s">
        <v>1039</v>
      </c>
      <c r="D159" s="806" t="str">
        <f t="shared" si="14"/>
        <v>15.3 - [Name of sub-vote]</v>
      </c>
      <c r="E159" s="809"/>
    </row>
    <row r="160" spans="2:5" x14ac:dyDescent="0.2">
      <c r="B160" s="811">
        <v>15.4</v>
      </c>
      <c r="C160" s="810" t="s">
        <v>1039</v>
      </c>
      <c r="D160" s="806" t="str">
        <f t="shared" si="14"/>
        <v>15.4 - [Name of sub-vote]</v>
      </c>
      <c r="E160" s="809"/>
    </row>
    <row r="161" spans="2:5" x14ac:dyDescent="0.2">
      <c r="B161" s="811">
        <v>15.5</v>
      </c>
      <c r="C161" s="810" t="s">
        <v>1039</v>
      </c>
      <c r="D161" s="806" t="str">
        <f t="shared" si="14"/>
        <v>15.5 - [Name of sub-vote]</v>
      </c>
      <c r="E161" s="809"/>
    </row>
    <row r="162" spans="2:5" x14ac:dyDescent="0.2">
      <c r="B162" s="811">
        <v>15.6</v>
      </c>
      <c r="C162" s="810" t="s">
        <v>1039</v>
      </c>
      <c r="D162" s="806" t="str">
        <f t="shared" si="14"/>
        <v>15.6 - [Name of sub-vote]</v>
      </c>
      <c r="E162" s="809"/>
    </row>
    <row r="163" spans="2:5" x14ac:dyDescent="0.2">
      <c r="B163" s="811">
        <v>15.7</v>
      </c>
      <c r="C163" s="810" t="s">
        <v>1039</v>
      </c>
      <c r="D163" s="806" t="str">
        <f t="shared" si="14"/>
        <v>15.7 - [Name of sub-vote]</v>
      </c>
      <c r="E163" s="809"/>
    </row>
    <row r="164" spans="2:5" x14ac:dyDescent="0.2">
      <c r="B164" s="811">
        <v>15.8</v>
      </c>
      <c r="C164" s="810" t="s">
        <v>1039</v>
      </c>
      <c r="D164" s="806" t="str">
        <f t="shared" si="14"/>
        <v>15.8 - [Name of sub-vote]</v>
      </c>
      <c r="E164" s="809"/>
    </row>
    <row r="165" spans="2:5" x14ac:dyDescent="0.2">
      <c r="B165" s="811">
        <v>15.9</v>
      </c>
      <c r="C165" s="810" t="s">
        <v>1039</v>
      </c>
      <c r="D165" s="806" t="str">
        <f t="shared" si="14"/>
        <v>15.9 - [Name of sub-vote]</v>
      </c>
      <c r="E165" s="809"/>
    </row>
    <row r="166" spans="2:5" x14ac:dyDescent="0.2">
      <c r="B166" s="811" t="s">
        <v>1040</v>
      </c>
      <c r="C166" s="810" t="s">
        <v>1039</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D10" sqref="D10"/>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347</v>
      </c>
      <c r="B3" s="827"/>
      <c r="C3" s="824"/>
      <c r="D3" s="824"/>
    </row>
    <row r="4" spans="1:17" ht="13.5" customHeight="1" thickTop="1" x14ac:dyDescent="0.3">
      <c r="A4" s="828" t="s">
        <v>348</v>
      </c>
      <c r="B4" s="829" t="str">
        <f>muni</f>
        <v>LIM354 Polokwane</v>
      </c>
      <c r="C4" s="830" t="s">
        <v>191</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349</v>
      </c>
      <c r="B6" s="841"/>
      <c r="C6" s="842" t="s">
        <v>350</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351</v>
      </c>
      <c r="B8" s="849" t="str">
        <f>IF(B4&gt;" ",VLOOKUP(B4,'Lookup and lists'!B28:C311,2, FALSE)," ")</f>
        <v>Limpopo</v>
      </c>
      <c r="C8" s="1001"/>
      <c r="D8" s="1001"/>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352</v>
      </c>
      <c r="B10" s="957" t="s">
        <v>1381</v>
      </c>
      <c r="C10" s="854"/>
      <c r="D10" s="855"/>
      <c r="F10" s="833"/>
      <c r="G10" s="832"/>
      <c r="H10" s="833"/>
      <c r="I10" s="833"/>
      <c r="J10" s="832"/>
      <c r="K10" s="834"/>
      <c r="L10" s="834"/>
      <c r="M10" s="834"/>
      <c r="N10" s="834"/>
      <c r="O10" s="834"/>
      <c r="P10" s="835"/>
      <c r="Q10" s="836"/>
    </row>
    <row r="11" spans="1:17" ht="13.5" customHeight="1" x14ac:dyDescent="0.3">
      <c r="A11" s="856"/>
      <c r="B11" s="857"/>
      <c r="C11" s="1002"/>
      <c r="D11" s="1003"/>
      <c r="F11" s="833"/>
      <c r="G11" s="832"/>
      <c r="H11" s="833"/>
      <c r="I11" s="833"/>
      <c r="J11" s="832"/>
      <c r="K11" s="834"/>
      <c r="L11" s="834"/>
      <c r="M11" s="834"/>
      <c r="N11" s="834"/>
      <c r="O11" s="834"/>
      <c r="P11" s="835"/>
      <c r="Q11" s="839"/>
    </row>
    <row r="12" spans="1:17" ht="13.5" customHeight="1" x14ac:dyDescent="0.3">
      <c r="A12" s="853" t="s">
        <v>353</v>
      </c>
      <c r="B12" s="858"/>
      <c r="C12" s="859"/>
      <c r="D12" s="859"/>
      <c r="F12" s="833"/>
      <c r="G12" s="833"/>
      <c r="H12" s="833"/>
      <c r="I12" s="833"/>
      <c r="J12" s="832"/>
      <c r="K12" s="834"/>
      <c r="L12" s="834"/>
      <c r="M12" s="834"/>
      <c r="N12" s="834"/>
      <c r="O12" s="834"/>
      <c r="P12" s="835"/>
      <c r="Q12" s="836"/>
    </row>
    <row r="13" spans="1:17" ht="13.5" customHeight="1" x14ac:dyDescent="0.3">
      <c r="A13" s="860"/>
      <c r="B13" s="861"/>
      <c r="C13" s="1004"/>
      <c r="D13" s="1004"/>
      <c r="F13" s="833"/>
      <c r="G13" s="833"/>
      <c r="H13" s="833"/>
      <c r="I13" s="862"/>
      <c r="J13" s="833"/>
      <c r="K13" s="834"/>
      <c r="L13" s="834"/>
      <c r="M13" s="834"/>
      <c r="N13" s="834"/>
      <c r="O13" s="834"/>
      <c r="P13" s="835"/>
    </row>
    <row r="14" spans="1:17" ht="13.5" customHeight="1" thickBot="1" x14ac:dyDescent="0.35">
      <c r="A14" s="1005" t="s">
        <v>354</v>
      </c>
      <c r="B14" s="1006"/>
      <c r="C14" s="844"/>
      <c r="D14" s="844"/>
      <c r="F14" s="833"/>
      <c r="G14" s="833"/>
      <c r="H14" s="862"/>
      <c r="I14" s="863"/>
      <c r="J14" s="833"/>
      <c r="K14" s="834"/>
      <c r="L14" s="834"/>
      <c r="M14" s="834"/>
      <c r="N14" s="834"/>
      <c r="O14" s="834"/>
      <c r="P14" s="835"/>
    </row>
    <row r="15" spans="1:17" ht="13.5" customHeight="1" thickTop="1" x14ac:dyDescent="0.3">
      <c r="A15" s="864" t="s">
        <v>355</v>
      </c>
      <c r="B15" s="865"/>
      <c r="F15" s="862"/>
      <c r="G15" s="833"/>
      <c r="H15" s="863"/>
      <c r="I15" s="863"/>
      <c r="J15" s="833"/>
      <c r="K15" s="834"/>
      <c r="L15" s="834"/>
      <c r="M15" s="834"/>
      <c r="N15" s="834"/>
      <c r="O15" s="834"/>
      <c r="P15" s="835"/>
    </row>
    <row r="16" spans="1:17" s="845" customFormat="1" ht="13.5" customHeight="1" x14ac:dyDescent="0.3">
      <c r="A16" s="866" t="s">
        <v>356</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357</v>
      </c>
      <c r="B17" s="929" t="s">
        <v>1380</v>
      </c>
      <c r="F17" s="863"/>
      <c r="G17" s="863"/>
      <c r="H17" s="863"/>
      <c r="I17" s="863"/>
      <c r="J17" s="862"/>
      <c r="K17" s="834"/>
      <c r="L17" s="834"/>
      <c r="M17" s="834"/>
      <c r="N17" s="834"/>
      <c r="O17" s="834"/>
      <c r="P17" s="835"/>
    </row>
    <row r="18" spans="1:17" ht="13.5" customHeight="1" x14ac:dyDescent="0.3">
      <c r="A18" s="868" t="s">
        <v>358</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359</v>
      </c>
      <c r="B20" s="872"/>
      <c r="F20" s="863"/>
      <c r="G20" s="863"/>
      <c r="H20" s="863"/>
      <c r="I20" s="863"/>
      <c r="J20" s="863"/>
      <c r="K20" s="834"/>
      <c r="L20" s="834"/>
      <c r="M20" s="834"/>
      <c r="N20" s="834"/>
      <c r="O20" s="834"/>
      <c r="P20" s="835"/>
    </row>
    <row r="21" spans="1:17" ht="13.5" customHeight="1" x14ac:dyDescent="0.3">
      <c r="A21" s="866" t="s">
        <v>360</v>
      </c>
      <c r="B21" s="929" t="s">
        <v>1382</v>
      </c>
      <c r="F21" s="863"/>
      <c r="G21" s="863"/>
      <c r="H21" s="863"/>
      <c r="I21" s="863"/>
      <c r="J21" s="863"/>
      <c r="K21" s="834"/>
      <c r="L21" s="834"/>
      <c r="M21" s="834"/>
      <c r="N21" s="834"/>
      <c r="O21" s="834"/>
      <c r="P21" s="835"/>
    </row>
    <row r="22" spans="1:17" ht="13.5" customHeight="1" x14ac:dyDescent="0.3">
      <c r="A22" s="866" t="s">
        <v>361</v>
      </c>
      <c r="B22" s="929" t="s">
        <v>1383</v>
      </c>
      <c r="F22" s="863"/>
      <c r="G22" s="863"/>
      <c r="H22" s="863"/>
      <c r="I22" s="863"/>
      <c r="J22" s="863"/>
      <c r="K22" s="834"/>
      <c r="L22" s="834"/>
      <c r="M22" s="834"/>
      <c r="N22" s="834"/>
      <c r="O22" s="834"/>
      <c r="P22" s="835"/>
    </row>
    <row r="23" spans="1:17" ht="13.5" customHeight="1" x14ac:dyDescent="0.3">
      <c r="A23" s="866" t="s">
        <v>357</v>
      </c>
      <c r="B23" s="929" t="s">
        <v>1380</v>
      </c>
      <c r="F23" s="863"/>
      <c r="G23" s="863"/>
      <c r="H23" s="863"/>
      <c r="I23" s="863"/>
      <c r="J23" s="863"/>
      <c r="K23" s="834"/>
      <c r="L23" s="834"/>
      <c r="M23" s="834"/>
      <c r="N23" s="834"/>
      <c r="O23" s="834"/>
      <c r="P23" s="835"/>
    </row>
    <row r="24" spans="1:17" ht="13.5" customHeight="1" x14ac:dyDescent="0.3">
      <c r="A24" s="868" t="s">
        <v>358</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362</v>
      </c>
      <c r="B26" s="874"/>
      <c r="F26" s="863"/>
      <c r="G26" s="863"/>
      <c r="H26" s="863"/>
      <c r="I26" s="863"/>
      <c r="J26" s="863"/>
      <c r="K26" s="834"/>
      <c r="L26" s="834"/>
      <c r="M26" s="834"/>
      <c r="N26" s="834"/>
      <c r="O26" s="834"/>
      <c r="P26" s="835"/>
    </row>
    <row r="27" spans="1:17" ht="13.5" customHeight="1" x14ac:dyDescent="0.3">
      <c r="A27" s="866" t="s">
        <v>363</v>
      </c>
      <c r="B27" s="929" t="s">
        <v>1384</v>
      </c>
      <c r="F27" s="863"/>
      <c r="G27" s="863"/>
      <c r="H27" s="863"/>
      <c r="I27" s="863"/>
      <c r="J27" s="863"/>
      <c r="K27" s="834"/>
      <c r="L27" s="834"/>
      <c r="M27" s="834"/>
      <c r="N27" s="834"/>
      <c r="O27" s="834"/>
      <c r="P27" s="835"/>
    </row>
    <row r="28" spans="1:17" ht="13.5" customHeight="1" x14ac:dyDescent="0.3">
      <c r="A28" s="868" t="s">
        <v>364</v>
      </c>
      <c r="B28" s="875"/>
      <c r="J28" s="863"/>
      <c r="K28" s="863"/>
      <c r="L28" s="863"/>
      <c r="M28" s="863"/>
      <c r="N28" s="863"/>
      <c r="O28" s="863"/>
      <c r="P28" s="835"/>
    </row>
    <row r="29" spans="1:17" ht="13.5" customHeight="1" x14ac:dyDescent="0.3">
      <c r="A29" s="869"/>
      <c r="B29" s="876"/>
      <c r="P29" s="835"/>
    </row>
    <row r="30" spans="1:17" ht="13.5" customHeight="1" thickBot="1" x14ac:dyDescent="0.35">
      <c r="A30" s="1007" t="s">
        <v>365</v>
      </c>
      <c r="B30" s="1008"/>
      <c r="C30" s="999"/>
      <c r="D30" s="1009"/>
      <c r="P30" s="835"/>
    </row>
    <row r="31" spans="1:17" ht="13.5" customHeight="1" thickTop="1" x14ac:dyDescent="0.3">
      <c r="A31" s="871" t="s">
        <v>366</v>
      </c>
      <c r="B31" s="872"/>
      <c r="C31" s="989" t="s">
        <v>367</v>
      </c>
      <c r="D31" s="995"/>
      <c r="P31" s="835"/>
    </row>
    <row r="32" spans="1:17" s="933" customFormat="1" ht="13.5" customHeight="1" x14ac:dyDescent="0.3">
      <c r="A32" s="928" t="s">
        <v>1151</v>
      </c>
      <c r="B32" s="929" t="s">
        <v>1385</v>
      </c>
      <c r="C32" s="928" t="s">
        <v>1151</v>
      </c>
      <c r="D32" s="929" t="s">
        <v>1398</v>
      </c>
      <c r="E32" s="930"/>
      <c r="F32" s="931"/>
      <c r="G32" s="931"/>
      <c r="H32" s="931"/>
      <c r="I32" s="655"/>
      <c r="J32" s="655"/>
      <c r="K32" s="655"/>
      <c r="L32" s="655"/>
      <c r="M32" s="655"/>
      <c r="N32" s="655"/>
      <c r="O32" s="655"/>
      <c r="P32" s="932"/>
      <c r="Q32" s="655"/>
    </row>
    <row r="33" spans="1:17" s="933" customFormat="1" ht="13.5" customHeight="1" x14ac:dyDescent="0.3">
      <c r="A33" s="928" t="s">
        <v>1152</v>
      </c>
      <c r="B33" s="929" t="s">
        <v>1386</v>
      </c>
      <c r="C33" s="928" t="s">
        <v>1152</v>
      </c>
      <c r="D33" s="929" t="s">
        <v>1386</v>
      </c>
      <c r="E33" s="930"/>
      <c r="F33" s="931"/>
      <c r="G33" s="931"/>
      <c r="H33" s="931"/>
      <c r="I33" s="655"/>
      <c r="J33" s="655"/>
      <c r="K33" s="655"/>
      <c r="L33" s="655"/>
      <c r="M33" s="655"/>
      <c r="N33" s="655"/>
      <c r="O33" s="655"/>
      <c r="P33" s="932"/>
      <c r="Q33" s="655"/>
    </row>
    <row r="34" spans="1:17" ht="13.5" customHeight="1" x14ac:dyDescent="0.3">
      <c r="A34" s="866" t="s">
        <v>368</v>
      </c>
      <c r="B34" s="929" t="s">
        <v>1387</v>
      </c>
      <c r="C34" s="866" t="s">
        <v>368</v>
      </c>
      <c r="D34" s="929" t="s">
        <v>1399</v>
      </c>
      <c r="P34" s="835"/>
    </row>
    <row r="35" spans="1:17" ht="13.5" customHeight="1" x14ac:dyDescent="0.3">
      <c r="A35" s="866" t="s">
        <v>363</v>
      </c>
      <c r="B35" s="929" t="s">
        <v>1388</v>
      </c>
      <c r="C35" s="866" t="s">
        <v>363</v>
      </c>
      <c r="D35" s="929" t="s">
        <v>1400</v>
      </c>
      <c r="F35" s="832"/>
      <c r="G35" s="834"/>
      <c r="P35" s="835"/>
    </row>
    <row r="36" spans="1:17" ht="13.5" customHeight="1" x14ac:dyDescent="0.3">
      <c r="A36" s="866" t="s">
        <v>369</v>
      </c>
      <c r="B36" s="929" t="s">
        <v>1389</v>
      </c>
      <c r="C36" s="866" t="s">
        <v>369</v>
      </c>
      <c r="D36" s="929" t="s">
        <v>1401</v>
      </c>
      <c r="F36" s="832"/>
      <c r="G36" s="834"/>
      <c r="P36" s="835"/>
    </row>
    <row r="37" spans="1:17" ht="13.5" customHeight="1" x14ac:dyDescent="0.3">
      <c r="A37" s="866" t="s">
        <v>364</v>
      </c>
      <c r="B37" s="929" t="s">
        <v>1390</v>
      </c>
      <c r="C37" s="866" t="s">
        <v>364</v>
      </c>
      <c r="D37" s="929" t="s">
        <v>1402</v>
      </c>
      <c r="F37" s="833"/>
      <c r="G37" s="834"/>
      <c r="P37" s="835"/>
    </row>
    <row r="38" spans="1:17" ht="13.5" customHeight="1" x14ac:dyDescent="0.3">
      <c r="A38" s="866" t="s">
        <v>370</v>
      </c>
      <c r="B38" s="929" t="s">
        <v>1391</v>
      </c>
      <c r="C38" s="866" t="s">
        <v>370</v>
      </c>
      <c r="D38" s="929" t="s">
        <v>1403</v>
      </c>
      <c r="F38" s="833"/>
      <c r="G38" s="834"/>
      <c r="P38" s="835"/>
    </row>
    <row r="39" spans="1:17" ht="13.5" customHeight="1" x14ac:dyDescent="0.3">
      <c r="A39" s="866"/>
      <c r="B39" s="877"/>
      <c r="C39" s="866"/>
      <c r="D39" s="877"/>
      <c r="F39" s="833"/>
      <c r="G39" s="834"/>
      <c r="P39" s="835"/>
    </row>
    <row r="40" spans="1:17" ht="13.5" customHeight="1" x14ac:dyDescent="0.3">
      <c r="A40" s="991" t="s">
        <v>371</v>
      </c>
      <c r="B40" s="996"/>
      <c r="C40" s="991" t="s">
        <v>372</v>
      </c>
      <c r="D40" s="996"/>
      <c r="F40" s="833"/>
      <c r="G40" s="834"/>
      <c r="P40" s="835"/>
    </row>
    <row r="41" spans="1:17" s="933" customFormat="1" ht="13.5" customHeight="1" x14ac:dyDescent="0.3">
      <c r="A41" s="928" t="s">
        <v>1151</v>
      </c>
      <c r="B41" s="929" t="s">
        <v>1392</v>
      </c>
      <c r="C41" s="928" t="s">
        <v>1151</v>
      </c>
      <c r="D41" s="929" t="s">
        <v>1404</v>
      </c>
      <c r="E41" s="930"/>
      <c r="F41" s="931"/>
      <c r="G41" s="931"/>
      <c r="H41" s="931"/>
      <c r="I41" s="655"/>
      <c r="J41" s="655"/>
      <c r="K41" s="655"/>
      <c r="L41" s="655"/>
      <c r="M41" s="655"/>
      <c r="N41" s="655"/>
      <c r="O41" s="655"/>
      <c r="P41" s="932"/>
      <c r="Q41" s="655"/>
    </row>
    <row r="42" spans="1:17" s="933" customFormat="1" ht="13.5" customHeight="1" x14ac:dyDescent="0.3">
      <c r="A42" s="928" t="s">
        <v>1152</v>
      </c>
      <c r="B42" s="929" t="s">
        <v>1393</v>
      </c>
      <c r="C42" s="928" t="s">
        <v>1152</v>
      </c>
      <c r="D42" s="929" t="s">
        <v>1393</v>
      </c>
      <c r="E42" s="930"/>
      <c r="F42" s="931"/>
      <c r="G42" s="931"/>
      <c r="H42" s="931"/>
      <c r="I42" s="655"/>
      <c r="J42" s="655"/>
      <c r="K42" s="655"/>
      <c r="L42" s="655"/>
      <c r="M42" s="655"/>
      <c r="N42" s="655"/>
      <c r="O42" s="655"/>
      <c r="P42" s="932"/>
      <c r="Q42" s="655"/>
    </row>
    <row r="43" spans="1:17" ht="13.5" customHeight="1" x14ac:dyDescent="0.3">
      <c r="A43" s="866" t="s">
        <v>368</v>
      </c>
      <c r="B43" s="929" t="s">
        <v>1394</v>
      </c>
      <c r="C43" s="866" t="s">
        <v>368</v>
      </c>
      <c r="D43" s="929" t="s">
        <v>1405</v>
      </c>
      <c r="F43" s="833"/>
      <c r="G43" s="834"/>
      <c r="P43" s="835"/>
    </row>
    <row r="44" spans="1:17" ht="13.5" customHeight="1" x14ac:dyDescent="0.3">
      <c r="A44" s="866" t="s">
        <v>363</v>
      </c>
      <c r="B44" s="929" t="s">
        <v>1395</v>
      </c>
      <c r="C44" s="866" t="s">
        <v>363</v>
      </c>
      <c r="D44" s="929" t="s">
        <v>1406</v>
      </c>
      <c r="F44" s="862"/>
      <c r="G44" s="834"/>
      <c r="P44" s="835"/>
    </row>
    <row r="45" spans="1:17" ht="13.5" customHeight="1" x14ac:dyDescent="0.3">
      <c r="A45" s="866" t="s">
        <v>369</v>
      </c>
      <c r="B45" s="929" t="s">
        <v>1396</v>
      </c>
      <c r="C45" s="866" t="s">
        <v>369</v>
      </c>
      <c r="D45" s="929" t="s">
        <v>1407</v>
      </c>
      <c r="F45" s="863"/>
      <c r="G45" s="834"/>
      <c r="P45" s="835"/>
    </row>
    <row r="46" spans="1:17" ht="13.5" customHeight="1" x14ac:dyDescent="0.3">
      <c r="A46" s="866" t="s">
        <v>364</v>
      </c>
      <c r="B46" s="929" t="s">
        <v>1390</v>
      </c>
      <c r="C46" s="866" t="s">
        <v>364</v>
      </c>
      <c r="D46" s="929" t="s">
        <v>1390</v>
      </c>
      <c r="F46" s="863"/>
      <c r="G46" s="834"/>
      <c r="P46" s="835"/>
    </row>
    <row r="47" spans="1:17" ht="13.5" customHeight="1" x14ac:dyDescent="0.3">
      <c r="A47" s="878" t="s">
        <v>370</v>
      </c>
      <c r="B47" s="958" t="s">
        <v>1397</v>
      </c>
      <c r="C47" s="878" t="s">
        <v>370</v>
      </c>
      <c r="D47" s="958" t="s">
        <v>1408</v>
      </c>
      <c r="F47" s="863"/>
      <c r="G47" s="834"/>
      <c r="P47" s="835"/>
    </row>
    <row r="48" spans="1:17" ht="13.5" customHeight="1" x14ac:dyDescent="0.3">
      <c r="A48" s="869"/>
      <c r="B48" s="876"/>
      <c r="C48" s="869"/>
      <c r="D48" s="876"/>
      <c r="F48" s="863"/>
      <c r="G48" s="834"/>
      <c r="P48" s="835"/>
    </row>
    <row r="49" spans="1:17" ht="13.5" customHeight="1" x14ac:dyDescent="0.3">
      <c r="A49" s="991" t="s">
        <v>373</v>
      </c>
      <c r="B49" s="996"/>
      <c r="C49" s="991" t="s">
        <v>374</v>
      </c>
      <c r="D49" s="996"/>
      <c r="F49" s="863"/>
      <c r="G49" s="834"/>
      <c r="P49" s="835"/>
    </row>
    <row r="50" spans="1:17" s="933" customFormat="1" ht="13.5" customHeight="1" x14ac:dyDescent="0.3">
      <c r="A50" s="928" t="s">
        <v>1151</v>
      </c>
      <c r="B50" s="929"/>
      <c r="C50" s="928" t="s">
        <v>1151</v>
      </c>
      <c r="D50" s="929"/>
      <c r="E50" s="930"/>
      <c r="F50" s="931"/>
      <c r="G50" s="931"/>
      <c r="H50" s="931"/>
      <c r="I50" s="655"/>
      <c r="J50" s="655"/>
      <c r="K50" s="655"/>
      <c r="L50" s="655"/>
      <c r="M50" s="655"/>
      <c r="N50" s="655"/>
      <c r="O50" s="655"/>
      <c r="P50" s="932"/>
      <c r="Q50" s="655"/>
    </row>
    <row r="51" spans="1:17" s="933" customFormat="1" ht="13.5" customHeight="1" x14ac:dyDescent="0.3">
      <c r="A51" s="928" t="s">
        <v>1152</v>
      </c>
      <c r="B51" s="929"/>
      <c r="C51" s="928" t="s">
        <v>1152</v>
      </c>
      <c r="D51" s="929"/>
      <c r="E51" s="930"/>
      <c r="F51" s="931"/>
      <c r="G51" s="931"/>
      <c r="H51" s="931"/>
      <c r="I51" s="655"/>
      <c r="J51" s="655"/>
      <c r="K51" s="655"/>
      <c r="L51" s="655"/>
      <c r="M51" s="655"/>
      <c r="N51" s="655"/>
      <c r="O51" s="655"/>
      <c r="P51" s="932"/>
      <c r="Q51" s="655"/>
    </row>
    <row r="52" spans="1:17" ht="13.5" customHeight="1" x14ac:dyDescent="0.3">
      <c r="A52" s="866" t="s">
        <v>368</v>
      </c>
      <c r="B52" s="867"/>
      <c r="C52" s="866" t="s">
        <v>368</v>
      </c>
      <c r="D52" s="867"/>
      <c r="F52" s="863"/>
      <c r="G52" s="834"/>
      <c r="P52" s="835"/>
    </row>
    <row r="53" spans="1:17" ht="13.5" customHeight="1" x14ac:dyDescent="0.3">
      <c r="A53" s="866" t="s">
        <v>363</v>
      </c>
      <c r="B53" s="867"/>
      <c r="C53" s="866" t="s">
        <v>363</v>
      </c>
      <c r="D53" s="867"/>
      <c r="F53" s="863"/>
      <c r="G53" s="834"/>
      <c r="P53" s="835"/>
    </row>
    <row r="54" spans="1:17" ht="13.5" customHeight="1" x14ac:dyDescent="0.3">
      <c r="A54" s="866" t="s">
        <v>369</v>
      </c>
      <c r="B54" s="867"/>
      <c r="C54" s="866" t="s">
        <v>369</v>
      </c>
      <c r="D54" s="867"/>
      <c r="F54" s="863"/>
      <c r="G54" s="834"/>
      <c r="P54" s="835"/>
    </row>
    <row r="55" spans="1:17" s="823" customFormat="1" ht="13.5" customHeight="1" x14ac:dyDescent="0.3">
      <c r="A55" s="866" t="s">
        <v>364</v>
      </c>
      <c r="B55" s="867"/>
      <c r="C55" s="866" t="s">
        <v>364</v>
      </c>
      <c r="D55" s="867"/>
      <c r="E55" s="822"/>
      <c r="F55" s="863"/>
      <c r="G55" s="834"/>
      <c r="P55" s="835"/>
    </row>
    <row r="56" spans="1:17" s="823" customFormat="1" ht="13.5" customHeight="1" x14ac:dyDescent="0.3">
      <c r="A56" s="868" t="s">
        <v>370</v>
      </c>
      <c r="B56" s="875"/>
      <c r="C56" s="868" t="s">
        <v>370</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997" t="s">
        <v>375</v>
      </c>
      <c r="B58" s="998"/>
      <c r="C58" s="999"/>
      <c r="D58" s="1000"/>
      <c r="E58" s="822"/>
      <c r="F58" s="863"/>
      <c r="G58" s="834"/>
      <c r="P58" s="835"/>
    </row>
    <row r="59" spans="1:17" s="881" customFormat="1" ht="13.5" customHeight="1" thickTop="1" x14ac:dyDescent="0.3">
      <c r="A59" s="871" t="s">
        <v>376</v>
      </c>
      <c r="B59" s="872"/>
      <c r="C59" s="989" t="s">
        <v>377</v>
      </c>
      <c r="D59" s="990"/>
      <c r="E59" s="824"/>
      <c r="F59" s="879"/>
      <c r="G59" s="880"/>
      <c r="P59" s="835"/>
      <c r="Q59" s="823"/>
    </row>
    <row r="60" spans="1:17" s="933" customFormat="1" ht="13.5" customHeight="1" x14ac:dyDescent="0.3">
      <c r="A60" s="928" t="s">
        <v>1151</v>
      </c>
      <c r="B60" s="929" t="s">
        <v>1409</v>
      </c>
      <c r="C60" s="928" t="s">
        <v>1151</v>
      </c>
      <c r="D60" s="929" t="s">
        <v>1446</v>
      </c>
      <c r="E60" s="930"/>
      <c r="F60" s="931"/>
      <c r="G60" s="931"/>
      <c r="H60" s="931"/>
      <c r="I60" s="655"/>
      <c r="J60" s="655"/>
      <c r="K60" s="655"/>
      <c r="L60" s="655"/>
      <c r="M60" s="655"/>
      <c r="N60" s="655"/>
      <c r="O60" s="655"/>
      <c r="P60" s="932"/>
      <c r="Q60" s="655"/>
    </row>
    <row r="61" spans="1:17" s="933" customFormat="1" ht="13.5" customHeight="1" x14ac:dyDescent="0.3">
      <c r="A61" s="928" t="s">
        <v>1152</v>
      </c>
      <c r="B61" s="929" t="s">
        <v>1386</v>
      </c>
      <c r="C61" s="928" t="s">
        <v>1152</v>
      </c>
      <c r="D61" s="929" t="s">
        <v>1413</v>
      </c>
      <c r="E61" s="930"/>
      <c r="F61" s="931"/>
      <c r="G61" s="931"/>
      <c r="H61" s="931"/>
      <c r="I61" s="655"/>
      <c r="J61" s="655"/>
      <c r="K61" s="655"/>
      <c r="L61" s="655"/>
      <c r="M61" s="655"/>
      <c r="N61" s="655"/>
      <c r="O61" s="655"/>
      <c r="P61" s="932"/>
      <c r="Q61" s="655"/>
    </row>
    <row r="62" spans="1:17" s="881" customFormat="1" ht="13.5" customHeight="1" x14ac:dyDescent="0.3">
      <c r="A62" s="866" t="s">
        <v>368</v>
      </c>
      <c r="B62" s="929" t="s">
        <v>1410</v>
      </c>
      <c r="C62" s="866" t="s">
        <v>368</v>
      </c>
      <c r="D62" s="929" t="s">
        <v>1447</v>
      </c>
      <c r="E62" s="824"/>
      <c r="F62" s="879"/>
      <c r="G62" s="880"/>
      <c r="P62" s="835"/>
      <c r="Q62" s="823"/>
    </row>
    <row r="63" spans="1:17" s="823" customFormat="1" ht="13.5" customHeight="1" x14ac:dyDescent="0.3">
      <c r="A63" s="866" t="s">
        <v>363</v>
      </c>
      <c r="B63" s="929" t="s">
        <v>1395</v>
      </c>
      <c r="C63" s="866" t="s">
        <v>363</v>
      </c>
      <c r="D63" s="929" t="s">
        <v>1395</v>
      </c>
      <c r="E63" s="822"/>
      <c r="F63" s="863"/>
      <c r="G63" s="834"/>
      <c r="P63" s="835"/>
    </row>
    <row r="64" spans="1:17" s="823" customFormat="1" ht="13.5" customHeight="1" x14ac:dyDescent="0.3">
      <c r="A64" s="866" t="s">
        <v>369</v>
      </c>
      <c r="B64" s="929" t="s">
        <v>1411</v>
      </c>
      <c r="C64" s="866" t="s">
        <v>369</v>
      </c>
      <c r="D64" s="929" t="s">
        <v>1448</v>
      </c>
      <c r="E64" s="822"/>
      <c r="F64" s="863"/>
      <c r="G64" s="834"/>
      <c r="P64" s="835"/>
    </row>
    <row r="65" spans="1:17" s="823" customFormat="1" ht="13.5" customHeight="1" x14ac:dyDescent="0.3">
      <c r="A65" s="866" t="s">
        <v>364</v>
      </c>
      <c r="B65" s="929" t="s">
        <v>1390</v>
      </c>
      <c r="C65" s="866" t="s">
        <v>364</v>
      </c>
      <c r="D65" s="929" t="s">
        <v>1390</v>
      </c>
      <c r="E65" s="822"/>
      <c r="F65" s="863"/>
      <c r="G65" s="834"/>
      <c r="P65" s="835"/>
    </row>
    <row r="66" spans="1:17" ht="13.5" customHeight="1" x14ac:dyDescent="0.3">
      <c r="A66" s="868" t="s">
        <v>370</v>
      </c>
      <c r="B66" s="959" t="s">
        <v>1412</v>
      </c>
      <c r="C66" s="868" t="s">
        <v>370</v>
      </c>
      <c r="D66" s="956" t="s">
        <v>1449</v>
      </c>
      <c r="F66" s="863"/>
      <c r="G66" s="834"/>
      <c r="P66" s="835"/>
    </row>
    <row r="67" spans="1:17" ht="13.5" customHeight="1" x14ac:dyDescent="0.3">
      <c r="A67" s="869"/>
      <c r="B67" s="876"/>
      <c r="C67" s="869"/>
      <c r="D67" s="876"/>
      <c r="F67" s="863"/>
      <c r="G67" s="834"/>
      <c r="P67" s="835"/>
    </row>
    <row r="68" spans="1:17" ht="13.5" customHeight="1" x14ac:dyDescent="0.3">
      <c r="A68" s="882" t="s">
        <v>378</v>
      </c>
      <c r="B68" s="874"/>
      <c r="C68" s="991" t="s">
        <v>379</v>
      </c>
      <c r="D68" s="992"/>
      <c r="F68" s="863"/>
      <c r="G68" s="834"/>
      <c r="P68" s="835"/>
    </row>
    <row r="69" spans="1:17" s="933" customFormat="1" ht="13.5" customHeight="1" x14ac:dyDescent="0.3">
      <c r="A69" s="928" t="s">
        <v>1151</v>
      </c>
      <c r="B69" s="929" t="s">
        <v>1414</v>
      </c>
      <c r="C69" s="928" t="s">
        <v>1151</v>
      </c>
      <c r="D69" s="929" t="s">
        <v>1418</v>
      </c>
      <c r="E69" s="930"/>
      <c r="F69" s="931"/>
      <c r="G69" s="931"/>
      <c r="H69" s="931"/>
      <c r="I69" s="655"/>
      <c r="J69" s="655"/>
      <c r="K69" s="655"/>
      <c r="L69" s="655"/>
      <c r="M69" s="655"/>
      <c r="N69" s="655"/>
      <c r="O69" s="655"/>
      <c r="P69" s="932"/>
      <c r="Q69" s="655"/>
    </row>
    <row r="70" spans="1:17" s="933" customFormat="1" ht="13.5" customHeight="1" x14ac:dyDescent="0.3">
      <c r="A70" s="928" t="s">
        <v>1152</v>
      </c>
      <c r="B70" s="929" t="s">
        <v>1386</v>
      </c>
      <c r="C70" s="928" t="s">
        <v>1152</v>
      </c>
      <c r="D70" s="929" t="s">
        <v>1413</v>
      </c>
      <c r="E70" s="930"/>
      <c r="F70" s="931"/>
      <c r="G70" s="931"/>
      <c r="H70" s="931"/>
      <c r="I70" s="655"/>
      <c r="J70" s="655"/>
      <c r="K70" s="655"/>
      <c r="L70" s="655"/>
      <c r="M70" s="655"/>
      <c r="N70" s="655"/>
      <c r="O70" s="655"/>
      <c r="P70" s="932"/>
      <c r="Q70" s="655"/>
    </row>
    <row r="71" spans="1:17" s="883" customFormat="1" ht="13.5" customHeight="1" x14ac:dyDescent="0.3">
      <c r="A71" s="866" t="s">
        <v>368</v>
      </c>
      <c r="B71" s="929" t="s">
        <v>1435</v>
      </c>
      <c r="C71" s="866" t="s">
        <v>368</v>
      </c>
      <c r="D71" s="929" t="s">
        <v>1419</v>
      </c>
      <c r="E71" s="824"/>
      <c r="F71" s="879"/>
      <c r="G71" s="880"/>
      <c r="H71" s="881"/>
      <c r="I71" s="881"/>
      <c r="J71" s="881"/>
      <c r="K71" s="881"/>
      <c r="L71" s="881"/>
      <c r="M71" s="881"/>
      <c r="N71" s="881"/>
      <c r="O71" s="881"/>
      <c r="P71" s="835"/>
      <c r="Q71" s="823"/>
    </row>
    <row r="72" spans="1:17" ht="13.5" customHeight="1" x14ac:dyDescent="0.3">
      <c r="A72" s="866" t="s">
        <v>363</v>
      </c>
      <c r="B72" s="929" t="s">
        <v>1415</v>
      </c>
      <c r="C72" s="866" t="s">
        <v>363</v>
      </c>
      <c r="D72" s="929" t="s">
        <v>1415</v>
      </c>
      <c r="F72" s="863"/>
      <c r="G72" s="834"/>
      <c r="P72" s="835"/>
    </row>
    <row r="73" spans="1:17" ht="13.5" customHeight="1" x14ac:dyDescent="0.3">
      <c r="A73" s="866" t="s">
        <v>369</v>
      </c>
      <c r="B73" s="929" t="s">
        <v>1416</v>
      </c>
      <c r="C73" s="866" t="s">
        <v>369</v>
      </c>
      <c r="D73" s="929" t="s">
        <v>1420</v>
      </c>
      <c r="F73" s="863"/>
      <c r="G73" s="834"/>
      <c r="P73" s="835"/>
    </row>
    <row r="74" spans="1:17" ht="13.5" customHeight="1" x14ac:dyDescent="0.3">
      <c r="A74" s="866" t="s">
        <v>364</v>
      </c>
      <c r="B74" s="929" t="s">
        <v>1402</v>
      </c>
      <c r="C74" s="866" t="s">
        <v>364</v>
      </c>
      <c r="D74" s="929" t="s">
        <v>1402</v>
      </c>
      <c r="F74" s="863"/>
      <c r="G74" s="834"/>
      <c r="P74" s="835"/>
    </row>
    <row r="75" spans="1:17" ht="13.5" customHeight="1" x14ac:dyDescent="0.3">
      <c r="A75" s="868" t="s">
        <v>370</v>
      </c>
      <c r="B75" s="959" t="s">
        <v>1417</v>
      </c>
      <c r="C75" s="868" t="s">
        <v>370</v>
      </c>
      <c r="D75" s="956" t="s">
        <v>1421</v>
      </c>
      <c r="F75" s="863"/>
      <c r="G75" s="834"/>
      <c r="P75" s="835"/>
    </row>
    <row r="76" spans="1:17" ht="13.5" customHeight="1" x14ac:dyDescent="0.3">
      <c r="A76" s="869"/>
      <c r="B76" s="876"/>
      <c r="C76" s="869"/>
      <c r="D76" s="876"/>
      <c r="F76" s="863"/>
      <c r="G76" s="834"/>
      <c r="P76" s="835"/>
    </row>
    <row r="77" spans="1:17" s="933" customFormat="1" ht="13.5" customHeight="1" x14ac:dyDescent="0.3">
      <c r="A77" s="993" t="s">
        <v>380</v>
      </c>
      <c r="B77" s="994"/>
      <c r="C77" s="993" t="s">
        <v>380</v>
      </c>
      <c r="D77" s="994"/>
      <c r="E77" s="930"/>
      <c r="F77" s="934"/>
      <c r="G77" s="935"/>
      <c r="H77" s="931"/>
      <c r="I77" s="655"/>
      <c r="J77" s="655"/>
      <c r="K77" s="655"/>
      <c r="L77" s="655"/>
      <c r="M77" s="655"/>
      <c r="N77" s="655"/>
      <c r="O77" s="655"/>
      <c r="P77" s="932"/>
      <c r="Q77" s="931"/>
    </row>
    <row r="78" spans="1:17" s="933" customFormat="1" ht="13.5" customHeight="1" x14ac:dyDescent="0.3">
      <c r="A78" s="928" t="s">
        <v>1151</v>
      </c>
      <c r="B78" s="929"/>
      <c r="C78" s="928" t="s">
        <v>1151</v>
      </c>
      <c r="D78" s="929"/>
      <c r="E78" s="930"/>
      <c r="F78" s="931"/>
      <c r="G78" s="931"/>
      <c r="H78" s="931"/>
      <c r="I78" s="655"/>
      <c r="J78" s="655"/>
      <c r="K78" s="655"/>
      <c r="L78" s="655"/>
      <c r="M78" s="655"/>
      <c r="N78" s="655"/>
      <c r="O78" s="655"/>
      <c r="P78" s="932"/>
      <c r="Q78" s="655"/>
    </row>
    <row r="79" spans="1:17" s="933" customFormat="1" ht="13.5" customHeight="1" x14ac:dyDescent="0.3">
      <c r="A79" s="928" t="s">
        <v>1152</v>
      </c>
      <c r="B79" s="929"/>
      <c r="C79" s="928" t="s">
        <v>1152</v>
      </c>
      <c r="D79" s="929"/>
      <c r="E79" s="930"/>
      <c r="F79" s="931"/>
      <c r="G79" s="931"/>
      <c r="H79" s="931"/>
      <c r="I79" s="655"/>
      <c r="J79" s="655"/>
      <c r="K79" s="655"/>
      <c r="L79" s="655"/>
      <c r="M79" s="655"/>
      <c r="N79" s="655"/>
      <c r="O79" s="655"/>
      <c r="P79" s="932"/>
      <c r="Q79" s="655"/>
    </row>
    <row r="80" spans="1:17" s="941" customFormat="1" ht="13.5" customHeight="1" x14ac:dyDescent="0.3">
      <c r="A80" s="928" t="s">
        <v>368</v>
      </c>
      <c r="B80" s="929"/>
      <c r="C80" s="928" t="s">
        <v>368</v>
      </c>
      <c r="D80" s="929"/>
      <c r="E80" s="936"/>
      <c r="F80" s="937"/>
      <c r="G80" s="938"/>
      <c r="H80" s="939"/>
      <c r="I80" s="940"/>
      <c r="J80" s="940"/>
      <c r="K80" s="940"/>
      <c r="L80" s="940"/>
      <c r="M80" s="940"/>
      <c r="N80" s="940"/>
      <c r="O80" s="940"/>
      <c r="P80" s="932"/>
      <c r="Q80" s="931"/>
    </row>
    <row r="81" spans="1:17" s="933" customFormat="1" ht="13.5" customHeight="1" x14ac:dyDescent="0.3">
      <c r="A81" s="928" t="s">
        <v>363</v>
      </c>
      <c r="B81" s="929"/>
      <c r="C81" s="928" t="s">
        <v>363</v>
      </c>
      <c r="D81" s="929"/>
      <c r="E81" s="930"/>
      <c r="F81" s="934"/>
      <c r="G81" s="935"/>
      <c r="H81" s="931"/>
      <c r="I81" s="655"/>
      <c r="J81" s="655"/>
      <c r="K81" s="655"/>
      <c r="L81" s="655"/>
      <c r="M81" s="655"/>
      <c r="N81" s="655"/>
      <c r="O81" s="655"/>
      <c r="P81" s="932"/>
      <c r="Q81" s="931"/>
    </row>
    <row r="82" spans="1:17" s="933" customFormat="1" ht="13.5" customHeight="1" x14ac:dyDescent="0.3">
      <c r="A82" s="928" t="s">
        <v>369</v>
      </c>
      <c r="B82" s="929"/>
      <c r="C82" s="928" t="s">
        <v>369</v>
      </c>
      <c r="D82" s="929"/>
      <c r="E82" s="930"/>
      <c r="F82" s="934"/>
      <c r="G82" s="935"/>
      <c r="H82" s="931"/>
      <c r="I82" s="655"/>
      <c r="J82" s="655"/>
      <c r="K82" s="655"/>
      <c r="L82" s="655"/>
      <c r="M82" s="655"/>
      <c r="N82" s="655"/>
      <c r="O82" s="655"/>
      <c r="P82" s="932"/>
      <c r="Q82" s="931"/>
    </row>
    <row r="83" spans="1:17" s="933" customFormat="1" ht="13.5" customHeight="1" x14ac:dyDescent="0.3">
      <c r="A83" s="928" t="s">
        <v>364</v>
      </c>
      <c r="B83" s="929"/>
      <c r="C83" s="928" t="s">
        <v>364</v>
      </c>
      <c r="D83" s="929"/>
      <c r="E83" s="930"/>
      <c r="F83" s="934"/>
      <c r="G83" s="935"/>
      <c r="H83" s="931"/>
      <c r="I83" s="655"/>
      <c r="J83" s="655"/>
      <c r="K83" s="655"/>
      <c r="L83" s="655"/>
      <c r="M83" s="655"/>
      <c r="N83" s="655"/>
      <c r="O83" s="655"/>
      <c r="P83" s="932"/>
      <c r="Q83" s="931"/>
    </row>
    <row r="84" spans="1:17" s="933" customFormat="1" ht="13.5" customHeight="1" x14ac:dyDescent="0.3">
      <c r="A84" s="928" t="s">
        <v>370</v>
      </c>
      <c r="B84" s="929"/>
      <c r="C84" s="928" t="s">
        <v>370</v>
      </c>
      <c r="D84" s="929"/>
      <c r="E84" s="930"/>
      <c r="F84" s="934"/>
      <c r="G84" s="935"/>
      <c r="H84" s="931"/>
      <c r="I84" s="655"/>
      <c r="J84" s="655"/>
      <c r="K84" s="655"/>
      <c r="L84" s="655"/>
      <c r="M84" s="655"/>
      <c r="N84" s="655"/>
      <c r="O84" s="655"/>
      <c r="P84" s="932"/>
      <c r="Q84" s="931"/>
    </row>
    <row r="85" spans="1:17" s="933" customFormat="1" ht="13.5" customHeight="1" x14ac:dyDescent="0.3">
      <c r="A85" s="993" t="s">
        <v>380</v>
      </c>
      <c r="B85" s="994"/>
      <c r="C85" s="993" t="s">
        <v>380</v>
      </c>
      <c r="D85" s="994"/>
      <c r="E85" s="930"/>
      <c r="F85" s="934"/>
      <c r="G85" s="935"/>
      <c r="H85" s="931"/>
      <c r="I85" s="655"/>
      <c r="J85" s="655"/>
      <c r="K85" s="655"/>
      <c r="L85" s="655"/>
      <c r="M85" s="655"/>
      <c r="N85" s="655"/>
      <c r="O85" s="655"/>
      <c r="P85" s="932"/>
      <c r="Q85" s="931"/>
    </row>
    <row r="86" spans="1:17" s="933" customFormat="1" ht="13.5" customHeight="1" x14ac:dyDescent="0.3">
      <c r="A86" s="928" t="s">
        <v>1151</v>
      </c>
      <c r="B86" s="929"/>
      <c r="C86" s="928" t="s">
        <v>1151</v>
      </c>
      <c r="D86" s="929" t="s">
        <v>1422</v>
      </c>
      <c r="E86" s="930"/>
      <c r="F86" s="931"/>
      <c r="G86" s="931"/>
      <c r="H86" s="931"/>
      <c r="I86" s="655"/>
      <c r="J86" s="655"/>
      <c r="K86" s="655"/>
      <c r="L86" s="655"/>
      <c r="M86" s="655"/>
      <c r="N86" s="655"/>
      <c r="O86" s="655"/>
      <c r="P86" s="932"/>
      <c r="Q86" s="655"/>
    </row>
    <row r="87" spans="1:17" s="933" customFormat="1" ht="13.5" customHeight="1" x14ac:dyDescent="0.3">
      <c r="A87" s="928" t="s">
        <v>1152</v>
      </c>
      <c r="B87" s="929"/>
      <c r="C87" s="928" t="s">
        <v>1152</v>
      </c>
      <c r="D87" s="929" t="s">
        <v>1393</v>
      </c>
      <c r="E87" s="930"/>
      <c r="F87" s="931"/>
      <c r="G87" s="931"/>
      <c r="H87" s="931"/>
      <c r="I87" s="655"/>
      <c r="J87" s="655"/>
      <c r="K87" s="655"/>
      <c r="L87" s="655"/>
      <c r="M87" s="655"/>
      <c r="N87" s="655"/>
      <c r="O87" s="655"/>
      <c r="P87" s="932"/>
      <c r="Q87" s="655"/>
    </row>
    <row r="88" spans="1:17" s="933" customFormat="1" ht="13.5" customHeight="1" x14ac:dyDescent="0.3">
      <c r="A88" s="928" t="s">
        <v>368</v>
      </c>
      <c r="B88" s="929"/>
      <c r="C88" s="928" t="s">
        <v>368</v>
      </c>
      <c r="D88" s="929" t="s">
        <v>1423</v>
      </c>
      <c r="E88" s="930"/>
      <c r="F88" s="934"/>
      <c r="G88" s="935"/>
      <c r="H88" s="931"/>
      <c r="I88" s="655"/>
      <c r="J88" s="655"/>
      <c r="K88" s="655"/>
      <c r="L88" s="655"/>
      <c r="M88" s="655"/>
      <c r="N88" s="655"/>
      <c r="O88" s="655"/>
      <c r="P88" s="932"/>
      <c r="Q88" s="931"/>
    </row>
    <row r="89" spans="1:17" s="933" customFormat="1" ht="13.5" customHeight="1" x14ac:dyDescent="0.3">
      <c r="A89" s="928" t="s">
        <v>363</v>
      </c>
      <c r="B89" s="929"/>
      <c r="C89" s="928" t="s">
        <v>363</v>
      </c>
      <c r="D89" s="929" t="s">
        <v>1384</v>
      </c>
      <c r="E89" s="930"/>
      <c r="F89" s="934"/>
      <c r="G89" s="935"/>
      <c r="H89" s="931"/>
      <c r="I89" s="655"/>
      <c r="J89" s="655"/>
      <c r="K89" s="655"/>
      <c r="L89" s="655"/>
      <c r="M89" s="655"/>
      <c r="N89" s="655"/>
      <c r="O89" s="655"/>
      <c r="P89" s="932"/>
      <c r="Q89" s="931"/>
    </row>
    <row r="90" spans="1:17" s="931" customFormat="1" ht="13.5" customHeight="1" x14ac:dyDescent="0.3">
      <c r="A90" s="928" t="s">
        <v>369</v>
      </c>
      <c r="B90" s="929"/>
      <c r="C90" s="928" t="s">
        <v>369</v>
      </c>
      <c r="D90" s="929" t="s">
        <v>1424</v>
      </c>
      <c r="E90" s="930"/>
      <c r="F90" s="934"/>
      <c r="G90" s="935"/>
      <c r="I90" s="655"/>
      <c r="J90" s="655"/>
      <c r="K90" s="655"/>
      <c r="L90" s="655"/>
      <c r="M90" s="655"/>
      <c r="N90" s="655"/>
      <c r="O90" s="655"/>
      <c r="P90" s="932"/>
    </row>
    <row r="91" spans="1:17" s="931" customFormat="1" ht="13.5" customHeight="1" x14ac:dyDescent="0.3">
      <c r="A91" s="928" t="s">
        <v>364</v>
      </c>
      <c r="B91" s="929"/>
      <c r="C91" s="928" t="s">
        <v>364</v>
      </c>
      <c r="D91" s="929" t="s">
        <v>1402</v>
      </c>
      <c r="E91" s="930"/>
      <c r="F91" s="934"/>
      <c r="G91" s="935"/>
      <c r="I91" s="655"/>
      <c r="J91" s="655"/>
      <c r="K91" s="655"/>
      <c r="L91" s="655"/>
      <c r="M91" s="655"/>
      <c r="N91" s="655"/>
      <c r="O91" s="655"/>
      <c r="P91" s="932"/>
    </row>
    <row r="92" spans="1:17" s="931" customFormat="1" ht="13.5" customHeight="1" x14ac:dyDescent="0.3">
      <c r="A92" s="928" t="s">
        <v>370</v>
      </c>
      <c r="B92" s="929"/>
      <c r="C92" s="928" t="s">
        <v>370</v>
      </c>
      <c r="D92" s="929" t="s">
        <v>1425</v>
      </c>
      <c r="E92" s="930"/>
      <c r="F92" s="934"/>
      <c r="G92" s="935"/>
      <c r="I92" s="655"/>
      <c r="J92" s="655"/>
      <c r="K92" s="655"/>
      <c r="L92" s="655"/>
      <c r="M92" s="655"/>
      <c r="N92" s="655"/>
      <c r="O92" s="655"/>
      <c r="P92" s="932"/>
    </row>
    <row r="93" spans="1:17" s="931" customFormat="1" ht="13.5" customHeight="1" x14ac:dyDescent="0.3">
      <c r="A93" s="993" t="s">
        <v>380</v>
      </c>
      <c r="B93" s="994"/>
      <c r="C93" s="993" t="s">
        <v>380</v>
      </c>
      <c r="D93" s="994"/>
      <c r="E93" s="930"/>
      <c r="F93" s="934"/>
      <c r="G93" s="935"/>
      <c r="I93" s="655"/>
      <c r="J93" s="655"/>
      <c r="K93" s="655"/>
      <c r="L93" s="655"/>
      <c r="M93" s="655"/>
      <c r="N93" s="655"/>
      <c r="O93" s="655"/>
      <c r="P93" s="932"/>
    </row>
    <row r="94" spans="1:17" s="933" customFormat="1" ht="13.5" customHeight="1" x14ac:dyDescent="0.3">
      <c r="A94" s="928" t="s">
        <v>1151</v>
      </c>
      <c r="B94" s="929" t="s">
        <v>1426</v>
      </c>
      <c r="C94" s="928" t="s">
        <v>1151</v>
      </c>
      <c r="D94" s="929" t="s">
        <v>1430</v>
      </c>
      <c r="E94" s="930"/>
      <c r="F94" s="931"/>
      <c r="G94" s="931"/>
      <c r="H94" s="931"/>
      <c r="I94" s="655"/>
      <c r="J94" s="655"/>
      <c r="K94" s="655"/>
      <c r="L94" s="655"/>
      <c r="M94" s="655"/>
      <c r="N94" s="655"/>
      <c r="O94" s="655"/>
      <c r="P94" s="932"/>
      <c r="Q94" s="655"/>
    </row>
    <row r="95" spans="1:17" s="933" customFormat="1" ht="13.5" customHeight="1" x14ac:dyDescent="0.3">
      <c r="A95" s="928" t="s">
        <v>1152</v>
      </c>
      <c r="B95" s="929" t="s">
        <v>1393</v>
      </c>
      <c r="C95" s="928" t="s">
        <v>1152</v>
      </c>
      <c r="D95" s="929" t="s">
        <v>1386</v>
      </c>
      <c r="E95" s="930"/>
      <c r="F95" s="931"/>
      <c r="G95" s="931"/>
      <c r="H95" s="931"/>
      <c r="I95" s="655"/>
      <c r="J95" s="655"/>
      <c r="K95" s="655"/>
      <c r="L95" s="655"/>
      <c r="M95" s="655"/>
      <c r="N95" s="655"/>
      <c r="O95" s="655"/>
      <c r="P95" s="932"/>
      <c r="Q95" s="655"/>
    </row>
    <row r="96" spans="1:17" s="931" customFormat="1" ht="13.5" customHeight="1" x14ac:dyDescent="0.3">
      <c r="A96" s="928" t="s">
        <v>368</v>
      </c>
      <c r="B96" s="929" t="s">
        <v>1427</v>
      </c>
      <c r="C96" s="928" t="s">
        <v>368</v>
      </c>
      <c r="D96" s="929" t="s">
        <v>1431</v>
      </c>
      <c r="E96" s="930"/>
      <c r="F96" s="934"/>
      <c r="G96" s="935"/>
      <c r="I96" s="655"/>
      <c r="J96" s="655"/>
      <c r="K96" s="655"/>
      <c r="L96" s="655"/>
      <c r="M96" s="655"/>
      <c r="N96" s="655"/>
      <c r="O96" s="655"/>
      <c r="P96" s="932"/>
    </row>
    <row r="97" spans="1:17" s="931" customFormat="1" ht="13.5" customHeight="1" x14ac:dyDescent="0.3">
      <c r="A97" s="928" t="s">
        <v>363</v>
      </c>
      <c r="B97" s="929" t="s">
        <v>1384</v>
      </c>
      <c r="C97" s="928" t="s">
        <v>363</v>
      </c>
      <c r="D97" s="929" t="s">
        <v>1432</v>
      </c>
      <c r="E97" s="930"/>
      <c r="F97" s="934"/>
      <c r="G97" s="935"/>
      <c r="I97" s="655"/>
      <c r="J97" s="655"/>
      <c r="K97" s="655"/>
      <c r="L97" s="655"/>
      <c r="M97" s="655"/>
      <c r="N97" s="655"/>
      <c r="O97" s="655"/>
      <c r="P97" s="932"/>
    </row>
    <row r="98" spans="1:17" s="931" customFormat="1" ht="13.5" customHeight="1" x14ac:dyDescent="0.3">
      <c r="A98" s="928" t="s">
        <v>369</v>
      </c>
      <c r="B98" s="929" t="s">
        <v>1428</v>
      </c>
      <c r="C98" s="928" t="s">
        <v>369</v>
      </c>
      <c r="D98" s="929" t="s">
        <v>1433</v>
      </c>
      <c r="E98" s="930"/>
      <c r="F98" s="934"/>
      <c r="G98" s="935"/>
      <c r="I98" s="655"/>
      <c r="J98" s="655"/>
      <c r="K98" s="655"/>
      <c r="L98" s="655"/>
      <c r="M98" s="655"/>
      <c r="N98" s="655"/>
      <c r="O98" s="655"/>
      <c r="P98" s="932"/>
    </row>
    <row r="99" spans="1:17" s="931" customFormat="1" ht="13.5" customHeight="1" x14ac:dyDescent="0.3">
      <c r="A99" s="928" t="s">
        <v>364</v>
      </c>
      <c r="B99" s="929" t="s">
        <v>1402</v>
      </c>
      <c r="C99" s="928" t="s">
        <v>364</v>
      </c>
      <c r="D99" s="929" t="s">
        <v>1402</v>
      </c>
      <c r="E99" s="930"/>
      <c r="F99" s="934"/>
      <c r="G99" s="935"/>
      <c r="I99" s="655"/>
      <c r="J99" s="655"/>
      <c r="K99" s="655"/>
      <c r="L99" s="655"/>
      <c r="M99" s="655"/>
      <c r="N99" s="655"/>
      <c r="O99" s="655"/>
      <c r="P99" s="932"/>
    </row>
    <row r="100" spans="1:17" s="931" customFormat="1" ht="13.5" customHeight="1" x14ac:dyDescent="0.3">
      <c r="A100" s="928" t="s">
        <v>370</v>
      </c>
      <c r="B100" s="929" t="s">
        <v>1429</v>
      </c>
      <c r="C100" s="928" t="s">
        <v>370</v>
      </c>
      <c r="D100" s="929" t="s">
        <v>1434</v>
      </c>
      <c r="E100" s="930"/>
      <c r="F100" s="934"/>
      <c r="G100" s="935"/>
      <c r="I100" s="655"/>
      <c r="J100" s="655"/>
      <c r="K100" s="655"/>
      <c r="L100" s="655"/>
      <c r="M100" s="655"/>
      <c r="N100" s="655"/>
      <c r="O100" s="655"/>
      <c r="P100" s="932"/>
    </row>
    <row r="101" spans="1:17" s="931" customFormat="1" ht="12.75" customHeight="1" x14ac:dyDescent="0.3">
      <c r="A101" s="993" t="s">
        <v>380</v>
      </c>
      <c r="B101" s="994"/>
      <c r="C101" s="993" t="s">
        <v>380</v>
      </c>
      <c r="D101" s="994"/>
      <c r="E101" s="930"/>
      <c r="F101" s="934"/>
      <c r="G101" s="935"/>
      <c r="I101" s="655"/>
      <c r="J101" s="655"/>
      <c r="K101" s="655"/>
      <c r="L101" s="655"/>
      <c r="M101" s="655"/>
      <c r="N101" s="655"/>
      <c r="O101" s="655"/>
      <c r="P101" s="932"/>
    </row>
    <row r="102" spans="1:17" s="933" customFormat="1" ht="13.5" customHeight="1" x14ac:dyDescent="0.3">
      <c r="A102" s="928" t="s">
        <v>1151</v>
      </c>
      <c r="B102" s="929" t="s">
        <v>1450</v>
      </c>
      <c r="C102" s="928" t="s">
        <v>1151</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1152</v>
      </c>
      <c r="B103" s="929" t="s">
        <v>1413</v>
      </c>
      <c r="C103" s="928" t="s">
        <v>1152</v>
      </c>
      <c r="D103" s="929"/>
      <c r="E103" s="930"/>
      <c r="F103" s="934"/>
      <c r="G103" s="935"/>
      <c r="I103" s="655"/>
      <c r="J103" s="655"/>
      <c r="K103" s="655"/>
      <c r="L103" s="655"/>
      <c r="M103" s="655"/>
      <c r="N103" s="655"/>
      <c r="O103" s="655"/>
      <c r="P103" s="932"/>
    </row>
    <row r="104" spans="1:17" s="931" customFormat="1" ht="12.75" customHeight="1" x14ac:dyDescent="0.3">
      <c r="A104" s="928" t="s">
        <v>368</v>
      </c>
      <c r="B104" s="929" t="s">
        <v>1451</v>
      </c>
      <c r="C104" s="928" t="s">
        <v>368</v>
      </c>
      <c r="D104" s="929"/>
      <c r="E104" s="930"/>
      <c r="F104" s="934"/>
      <c r="G104" s="935"/>
      <c r="I104" s="655"/>
      <c r="J104" s="655"/>
      <c r="K104" s="655"/>
      <c r="L104" s="655"/>
      <c r="M104" s="655"/>
      <c r="N104" s="655"/>
      <c r="O104" s="655"/>
      <c r="P104" s="932"/>
    </row>
    <row r="105" spans="1:17" s="931" customFormat="1" ht="12.75" customHeight="1" x14ac:dyDescent="0.3">
      <c r="A105" s="928" t="s">
        <v>363</v>
      </c>
      <c r="B105" s="968" t="s">
        <v>1452</v>
      </c>
      <c r="C105" s="928" t="s">
        <v>363</v>
      </c>
      <c r="D105" s="929"/>
      <c r="E105" s="930"/>
      <c r="F105" s="934"/>
      <c r="G105" s="935"/>
      <c r="I105" s="655"/>
      <c r="J105" s="655"/>
      <c r="K105" s="655"/>
      <c r="L105" s="655"/>
      <c r="M105" s="655"/>
      <c r="N105" s="655"/>
      <c r="O105" s="655"/>
      <c r="P105" s="932"/>
    </row>
    <row r="106" spans="1:17" s="943" customFormat="1" ht="12.75" customHeight="1" x14ac:dyDescent="0.3">
      <c r="A106" s="928" t="s">
        <v>369</v>
      </c>
      <c r="B106" s="968" t="s">
        <v>1453</v>
      </c>
      <c r="C106" s="928" t="s">
        <v>369</v>
      </c>
      <c r="D106" s="929"/>
      <c r="E106" s="942"/>
      <c r="F106" s="934"/>
      <c r="G106" s="935"/>
      <c r="I106" s="655"/>
      <c r="J106" s="655"/>
      <c r="K106" s="655"/>
      <c r="L106" s="655"/>
      <c r="M106" s="655"/>
      <c r="N106" s="655"/>
      <c r="O106" s="655"/>
      <c r="P106" s="932"/>
      <c r="Q106" s="931"/>
    </row>
    <row r="107" spans="1:17" s="655" customFormat="1" ht="12.75" customHeight="1" x14ac:dyDescent="0.3">
      <c r="A107" s="928" t="s">
        <v>364</v>
      </c>
      <c r="B107" s="929"/>
      <c r="C107" s="928" t="s">
        <v>364</v>
      </c>
      <c r="D107" s="929"/>
      <c r="E107" s="944"/>
      <c r="F107" s="934"/>
      <c r="G107" s="935"/>
      <c r="P107" s="932"/>
      <c r="Q107" s="931"/>
    </row>
    <row r="108" spans="1:17" s="655" customFormat="1" ht="12.75" customHeight="1" x14ac:dyDescent="0.3">
      <c r="A108" s="928" t="s">
        <v>370</v>
      </c>
      <c r="B108" s="969" t="s">
        <v>1454</v>
      </c>
      <c r="C108" s="928" t="s">
        <v>370</v>
      </c>
      <c r="D108" s="929"/>
      <c r="E108" s="944"/>
      <c r="F108" s="934"/>
      <c r="G108" s="935"/>
      <c r="P108" s="932"/>
      <c r="Q108" s="931"/>
    </row>
    <row r="109" spans="1:17" s="931" customFormat="1" ht="12.75" customHeight="1" x14ac:dyDescent="0.3">
      <c r="A109" s="993" t="s">
        <v>380</v>
      </c>
      <c r="B109" s="994"/>
      <c r="C109" s="993" t="s">
        <v>380</v>
      </c>
      <c r="D109" s="994"/>
      <c r="E109" s="930"/>
      <c r="I109" s="655"/>
      <c r="J109" s="655"/>
      <c r="K109" s="655"/>
      <c r="L109" s="655"/>
      <c r="M109" s="655"/>
      <c r="N109" s="655"/>
      <c r="O109" s="655"/>
      <c r="P109" s="932"/>
    </row>
    <row r="110" spans="1:17" s="933" customFormat="1" ht="13.5" customHeight="1" x14ac:dyDescent="0.3">
      <c r="A110" s="928" t="s">
        <v>1151</v>
      </c>
      <c r="B110" s="929"/>
      <c r="C110" s="928" t="s">
        <v>1151</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1152</v>
      </c>
      <c r="B111" s="929"/>
      <c r="C111" s="928" t="s">
        <v>1152</v>
      </c>
      <c r="D111" s="929"/>
      <c r="E111" s="930"/>
      <c r="I111" s="655"/>
      <c r="J111" s="655"/>
      <c r="K111" s="655"/>
      <c r="L111" s="655"/>
      <c r="M111" s="655"/>
      <c r="N111" s="655"/>
      <c r="O111" s="655"/>
      <c r="P111" s="932"/>
    </row>
    <row r="112" spans="1:17" s="931" customFormat="1" ht="12.75" customHeight="1" x14ac:dyDescent="0.3">
      <c r="A112" s="928" t="s">
        <v>368</v>
      </c>
      <c r="B112" s="929"/>
      <c r="C112" s="928" t="s">
        <v>368</v>
      </c>
      <c r="D112" s="929"/>
      <c r="E112" s="930"/>
      <c r="I112" s="655"/>
      <c r="J112" s="655"/>
      <c r="K112" s="655"/>
      <c r="L112" s="655"/>
      <c r="M112" s="655"/>
      <c r="N112" s="655"/>
      <c r="O112" s="655"/>
      <c r="P112" s="932"/>
    </row>
    <row r="113" spans="1:25" s="931" customFormat="1" ht="12.75" customHeight="1" x14ac:dyDescent="0.3">
      <c r="A113" s="928" t="s">
        <v>363</v>
      </c>
      <c r="B113" s="929"/>
      <c r="C113" s="928" t="s">
        <v>363</v>
      </c>
      <c r="D113" s="929"/>
      <c r="E113" s="930"/>
      <c r="I113" s="655"/>
      <c r="J113" s="655"/>
      <c r="K113" s="655"/>
      <c r="L113" s="655"/>
      <c r="M113" s="655"/>
      <c r="N113" s="655"/>
      <c r="O113" s="655"/>
      <c r="P113" s="932"/>
    </row>
    <row r="114" spans="1:25" s="933" customFormat="1" ht="12.75" customHeight="1" x14ac:dyDescent="0.3">
      <c r="A114" s="928" t="s">
        <v>369</v>
      </c>
      <c r="B114" s="929"/>
      <c r="C114" s="928" t="s">
        <v>369</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364</v>
      </c>
      <c r="B115" s="929"/>
      <c r="C115" s="928" t="s">
        <v>364</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370</v>
      </c>
      <c r="B116" s="929"/>
      <c r="C116" s="928" t="s">
        <v>370</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93" t="s">
        <v>380</v>
      </c>
      <c r="B117" s="994"/>
      <c r="C117" s="993" t="s">
        <v>380</v>
      </c>
      <c r="D117" s="994"/>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1151</v>
      </c>
      <c r="B118" s="929"/>
      <c r="C118" s="928" t="s">
        <v>1151</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1152</v>
      </c>
      <c r="B119" s="929"/>
      <c r="C119" s="928" t="s">
        <v>1152</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368</v>
      </c>
      <c r="B120" s="929"/>
      <c r="C120" s="928" t="s">
        <v>368</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363</v>
      </c>
      <c r="B121" s="929"/>
      <c r="C121" s="928" t="s">
        <v>363</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369</v>
      </c>
      <c r="B122" s="929"/>
      <c r="C122" s="928" t="s">
        <v>369</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364</v>
      </c>
      <c r="B123" s="929"/>
      <c r="C123" s="928" t="s">
        <v>364</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370</v>
      </c>
      <c r="B124" s="929"/>
      <c r="C124" s="928" t="s">
        <v>370</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93" t="s">
        <v>380</v>
      </c>
      <c r="B125" s="994"/>
      <c r="C125" s="993" t="s">
        <v>380</v>
      </c>
      <c r="D125" s="994"/>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1151</v>
      </c>
      <c r="B126" s="929"/>
      <c r="C126" s="928" t="s">
        <v>1151</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1152</v>
      </c>
      <c r="B127" s="929"/>
      <c r="C127" s="928" t="s">
        <v>1152</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368</v>
      </c>
      <c r="B128" s="929"/>
      <c r="C128" s="928" t="s">
        <v>368</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363</v>
      </c>
      <c r="B129" s="929"/>
      <c r="C129" s="928" t="s">
        <v>363</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369</v>
      </c>
      <c r="B130" s="929"/>
      <c r="C130" s="928" t="s">
        <v>369</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364</v>
      </c>
      <c r="B131" s="929"/>
      <c r="C131" s="928" t="s">
        <v>364</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370</v>
      </c>
      <c r="B132" s="929"/>
      <c r="C132" s="928" t="s">
        <v>370</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93" t="s">
        <v>380</v>
      </c>
      <c r="B133" s="994"/>
      <c r="C133" s="1010"/>
      <c r="D133" s="1011"/>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1151</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1152</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368</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363</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369</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364</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370</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8"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J52" sqref="B6:J52"/>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M01 July</v>
      </c>
      <c r="B1" s="349"/>
      <c r="C1" s="349"/>
      <c r="D1" s="349"/>
      <c r="E1" s="349"/>
      <c r="F1" s="349"/>
      <c r="G1" s="349"/>
      <c r="H1" s="349"/>
      <c r="I1" s="349"/>
      <c r="J1" s="349"/>
    </row>
    <row r="2" spans="1:10" x14ac:dyDescent="0.2">
      <c r="A2" s="1013" t="str">
        <f>desc</f>
        <v>Description</v>
      </c>
      <c r="B2" s="159" t="str">
        <f>Head1</f>
        <v>2018/19</v>
      </c>
      <c r="C2" s="1015" t="str">
        <f>Head2</f>
        <v>Budget Year 2019/20</v>
      </c>
      <c r="D2" s="1016"/>
      <c r="E2" s="1016"/>
      <c r="F2" s="1016"/>
      <c r="G2" s="1016"/>
      <c r="H2" s="1016"/>
      <c r="I2" s="1016"/>
      <c r="J2" s="1017"/>
    </row>
    <row r="3" spans="1:10" ht="20.399999999999999" x14ac:dyDescent="0.2">
      <c r="A3" s="1014"/>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0</v>
      </c>
      <c r="E6" s="411">
        <f>SUM('C4-FinPerf RE'!F6:F6)</f>
        <v>41329086.019999996</v>
      </c>
      <c r="F6" s="411">
        <f>SUM('C4-FinPerf RE'!G6:G6)</f>
        <v>41329086.019999996</v>
      </c>
      <c r="G6" s="659">
        <f>SUM('C4-FinPerf RE'!H6:H6)</f>
        <v>40000000</v>
      </c>
      <c r="H6" s="411">
        <f>F6-G6</f>
        <v>1329086.0199999958</v>
      </c>
      <c r="I6" s="600">
        <f>IF(H6=0,"",H6/G6)</f>
        <v>3.3227150499999893E-2</v>
      </c>
      <c r="J6" s="651">
        <f>SUM('C4-FinPerf RE'!K6:K6)</f>
        <v>480000000</v>
      </c>
    </row>
    <row r="7" spans="1:10" ht="12.75" customHeight="1" x14ac:dyDescent="0.2">
      <c r="A7" s="153" t="s">
        <v>992</v>
      </c>
      <c r="B7" s="657">
        <f>SUM('C4-FinPerf RE'!C7:C11)</f>
        <v>1403153318.8399999</v>
      </c>
      <c r="C7" s="658">
        <f>SUM('C4-FinPerf RE'!D7:D11)</f>
        <v>1766071008</v>
      </c>
      <c r="D7" s="411">
        <f>SUM('C4-FinPerf RE'!E7:E11)</f>
        <v>0</v>
      </c>
      <c r="E7" s="411">
        <f>SUM('C4-FinPerf RE'!F7:F11)</f>
        <v>119485702.00000001</v>
      </c>
      <c r="F7" s="411">
        <f>SUM('C4-FinPerf RE'!G7:G11)</f>
        <v>119485702.00000001</v>
      </c>
      <c r="G7" s="659">
        <f>SUM('C4-FinPerf RE'!H7:H11)</f>
        <v>147172584</v>
      </c>
      <c r="H7" s="411">
        <f>F7-G7</f>
        <v>-27686881.999999985</v>
      </c>
      <c r="I7" s="208">
        <f>IF(H7=0,"",H7/G7)</f>
        <v>-0.18812526930966969</v>
      </c>
      <c r="J7" s="651">
        <f>SUM('C4-FinPerf RE'!K7:K11)</f>
        <v>1766071008</v>
      </c>
    </row>
    <row r="8" spans="1:10" ht="12.75" customHeight="1" x14ac:dyDescent="0.2">
      <c r="A8" s="153" t="s">
        <v>509</v>
      </c>
      <c r="B8" s="657">
        <f>'C4-FinPerf RE'!C13</f>
        <v>2144488.44</v>
      </c>
      <c r="C8" s="658">
        <f>'C4-FinPerf RE'!D13</f>
        <v>28917996</v>
      </c>
      <c r="D8" s="411">
        <f>'C4-FinPerf RE'!E13</f>
        <v>0</v>
      </c>
      <c r="E8" s="411">
        <f>'C4-FinPerf RE'!F13</f>
        <v>1551166.67</v>
      </c>
      <c r="F8" s="411">
        <f>'C4-FinPerf RE'!G13</f>
        <v>1551166.67</v>
      </c>
      <c r="G8" s="659">
        <f>'C4-FinPerf RE'!H13</f>
        <v>2409833</v>
      </c>
      <c r="H8" s="411">
        <f>F8-G8</f>
        <v>-858666.33000000007</v>
      </c>
      <c r="I8" s="208">
        <f>IF(H8=0,"",H8/G8)</f>
        <v>-0.35631777388723618</v>
      </c>
      <c r="J8" s="651">
        <f>'C4-FinPerf RE'!K13</f>
        <v>28917996</v>
      </c>
    </row>
    <row r="9" spans="1:10" ht="12.75" customHeight="1" x14ac:dyDescent="0.2">
      <c r="A9" s="153" t="s">
        <v>1154</v>
      </c>
      <c r="B9" s="657">
        <f>'C4-FinPerf RE'!C19</f>
        <v>754960752.45999992</v>
      </c>
      <c r="C9" s="658">
        <f>'C4-FinPerf RE'!D19</f>
        <v>1039367004</v>
      </c>
      <c r="D9" s="411">
        <f>'C4-FinPerf RE'!E19</f>
        <v>0</v>
      </c>
      <c r="E9" s="411">
        <f>'C4-FinPerf RE'!F19</f>
        <v>385169274.88999999</v>
      </c>
      <c r="F9" s="411">
        <f>'C4-FinPerf RE'!G19</f>
        <v>385169274.88999999</v>
      </c>
      <c r="G9" s="659">
        <f>'C4-FinPerf RE'!H19</f>
        <v>86613917</v>
      </c>
      <c r="H9" s="411">
        <f>F9-G9</f>
        <v>298555357.88999999</v>
      </c>
      <c r="I9" s="208">
        <f>IF(H9=0,"",H9/G9)</f>
        <v>3.4469675108908882</v>
      </c>
      <c r="J9" s="651">
        <f>'C4-FinPerf RE'!K19</f>
        <v>1039367004</v>
      </c>
    </row>
    <row r="10" spans="1:10" ht="12.75" customHeight="1" x14ac:dyDescent="0.2">
      <c r="A10" s="233" t="s">
        <v>507</v>
      </c>
      <c r="B10" s="660">
        <f>'C4-FinPerf RE'!C12+'C4-FinPerf RE'!C14+'C4-FinPerf RE'!C15+'C4-FinPerf RE'!C16+'C4-FinPerf RE'!C17+'C4-FinPerf RE'!C18+'C4-FinPerf RE'!C20+'C4-FinPerf RE'!C21</f>
        <v>224004130.12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0</v>
      </c>
      <c r="E10" s="412">
        <f>'C4-FinPerf RE'!F12+'C4-FinPerf RE'!F14+'C4-FinPerf RE'!F15+'C4-FinPerf RE'!F16+'C4-FinPerf RE'!F17+'C4-FinPerf RE'!F18+'C4-FinPerf RE'!F20+'C4-FinPerf RE'!F21</f>
        <v>20764353.599999998</v>
      </c>
      <c r="F10" s="412">
        <f>'C4-FinPerf RE'!G12+'C4-FinPerf RE'!G14+'C4-FinPerf RE'!G15+'C4-FinPerf RE'!G16+'C4-FinPerf RE'!G17+'C4-FinPerf RE'!G18+'C4-FinPerf RE'!G20+'C4-FinPerf RE'!G21</f>
        <v>20764353.599999998</v>
      </c>
      <c r="G10" s="662">
        <f>'C4-FinPerf RE'!H12+'C4-FinPerf RE'!H14+'C4-FinPerf RE'!H15+'C4-FinPerf RE'!H16+'C4-FinPerf RE'!H17+'C4-FinPerf RE'!H18+'C4-FinPerf RE'!H20+'C4-FinPerf RE'!H21</f>
        <v>40119302</v>
      </c>
      <c r="H10" s="412">
        <f>F10-G10</f>
        <v>-19354948.400000002</v>
      </c>
      <c r="I10" s="209">
        <f>IF(H10=0,"",H10/G10)</f>
        <v>-0.48243482401563226</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2802267490.8799996</v>
      </c>
      <c r="C11" s="665">
        <f t="shared" si="0"/>
        <v>3795787632</v>
      </c>
      <c r="D11" s="666">
        <f t="shared" si="0"/>
        <v>0</v>
      </c>
      <c r="E11" s="666">
        <f t="shared" si="0"/>
        <v>568299583.17999995</v>
      </c>
      <c r="F11" s="666">
        <f t="shared" si="0"/>
        <v>568299583.17999995</v>
      </c>
      <c r="G11" s="667">
        <f t="shared" si="0"/>
        <v>316315636</v>
      </c>
      <c r="H11" s="666">
        <f t="shared" ref="H11:H25" si="1">F11-G11</f>
        <v>251983947.17999995</v>
      </c>
      <c r="I11" s="602">
        <f t="shared" ref="I11:I25" si="2">IF(H11=0,"",H11/G11)</f>
        <v>0.79662185014464459</v>
      </c>
      <c r="J11" s="668">
        <f t="shared" si="0"/>
        <v>3795787632</v>
      </c>
    </row>
    <row r="12" spans="1:10" ht="12.75" customHeight="1" x14ac:dyDescent="0.2">
      <c r="A12" s="153" t="s">
        <v>487</v>
      </c>
      <c r="B12" s="657">
        <f>'C4-FinPerf RE'!C25</f>
        <v>814641856.03000069</v>
      </c>
      <c r="C12" s="658">
        <f>'C4-FinPerf RE'!D25</f>
        <v>921191480</v>
      </c>
      <c r="D12" s="411">
        <f>'C4-FinPerf RE'!E25</f>
        <v>0</v>
      </c>
      <c r="E12" s="411">
        <f>'C4-FinPerf RE'!F25</f>
        <v>66737389.730000012</v>
      </c>
      <c r="F12" s="411">
        <f>'C4-FinPerf RE'!G25</f>
        <v>66737389.730000012</v>
      </c>
      <c r="G12" s="659">
        <f>'C4-FinPerf RE'!H25</f>
        <v>76765957</v>
      </c>
      <c r="H12" s="411">
        <f t="shared" si="1"/>
        <v>-10028567.269999988</v>
      </c>
      <c r="I12" s="208">
        <f t="shared" si="2"/>
        <v>-0.130638210763138</v>
      </c>
      <c r="J12" s="651">
        <f>'C4-FinPerf RE'!K25</f>
        <v>921191480</v>
      </c>
    </row>
    <row r="13" spans="1:10" ht="12.75" customHeight="1" x14ac:dyDescent="0.2">
      <c r="A13" s="153" t="s">
        <v>867</v>
      </c>
      <c r="B13" s="657">
        <f>'C4-FinPerf RE'!C26</f>
        <v>37953706.43</v>
      </c>
      <c r="C13" s="658">
        <f>'C4-FinPerf RE'!D26</f>
        <v>40099968</v>
      </c>
      <c r="D13" s="411">
        <f>'C4-FinPerf RE'!E26</f>
        <v>0</v>
      </c>
      <c r="E13" s="411">
        <f>'C4-FinPerf RE'!F26</f>
        <v>3220210.82</v>
      </c>
      <c r="F13" s="411">
        <f>'C4-FinPerf RE'!G26</f>
        <v>3220210.82</v>
      </c>
      <c r="G13" s="659">
        <f>'C4-FinPerf RE'!H26</f>
        <v>3341664</v>
      </c>
      <c r="H13" s="411">
        <f t="shared" si="1"/>
        <v>-121453.18000000017</v>
      </c>
      <c r="I13" s="208">
        <f t="shared" si="2"/>
        <v>-3.6345120275407754E-2</v>
      </c>
      <c r="J13" s="651">
        <f>'C4-FinPerf RE'!K26</f>
        <v>40099968</v>
      </c>
    </row>
    <row r="14" spans="1:10" ht="12.75" customHeight="1" x14ac:dyDescent="0.2">
      <c r="A14" s="590" t="s">
        <v>684</v>
      </c>
      <c r="B14" s="657">
        <f>'C4-FinPerf RE'!C28</f>
        <v>150036.91999999998</v>
      </c>
      <c r="C14" s="658">
        <f>'C4-FinPerf RE'!D28</f>
        <v>236999988</v>
      </c>
      <c r="D14" s="411">
        <f>'C4-FinPerf RE'!E28</f>
        <v>0</v>
      </c>
      <c r="E14" s="411">
        <f>'C4-FinPerf RE'!F28</f>
        <v>19749999</v>
      </c>
      <c r="F14" s="411">
        <f>'C4-FinPerf RE'!G28</f>
        <v>19749999</v>
      </c>
      <c r="G14" s="659">
        <f>'C4-FinPerf RE'!H28</f>
        <v>19749999</v>
      </c>
      <c r="H14" s="411">
        <f t="shared" si="1"/>
        <v>0</v>
      </c>
      <c r="I14" s="208" t="str">
        <f t="shared" si="2"/>
        <v/>
      </c>
      <c r="J14" s="651">
        <f>'C4-FinPerf RE'!K28</f>
        <v>236999988</v>
      </c>
    </row>
    <row r="15" spans="1:10" ht="12.75" customHeight="1" x14ac:dyDescent="0.2">
      <c r="A15" s="153" t="s">
        <v>462</v>
      </c>
      <c r="B15" s="657">
        <f>'C4-FinPerf RE'!C29</f>
        <v>40268907.729999997</v>
      </c>
      <c r="C15" s="658">
        <f>'C4-FinPerf RE'!D29</f>
        <v>85122000</v>
      </c>
      <c r="D15" s="411">
        <f>'C4-FinPerf RE'!E29</f>
        <v>0</v>
      </c>
      <c r="E15" s="411">
        <f>'C4-FinPerf RE'!F29</f>
        <v>32464062.57</v>
      </c>
      <c r="F15" s="411">
        <f>'C4-FinPerf RE'!G29</f>
        <v>32464062.57</v>
      </c>
      <c r="G15" s="659">
        <f>'C4-FinPerf RE'!H29</f>
        <v>7093500</v>
      </c>
      <c r="H15" s="411">
        <f t="shared" si="1"/>
        <v>25370562.57</v>
      </c>
      <c r="I15" s="208">
        <f t="shared" si="2"/>
        <v>3.5765930175512795</v>
      </c>
      <c r="J15" s="651">
        <f>'C4-FinPerf RE'!K29</f>
        <v>85122000</v>
      </c>
    </row>
    <row r="16" spans="1:10" ht="12.75" customHeight="1" x14ac:dyDescent="0.2">
      <c r="A16" s="153" t="s">
        <v>508</v>
      </c>
      <c r="B16" s="657">
        <f>SUM('C4-FinPerf RE'!C30:C31)</f>
        <v>866196906.10000002</v>
      </c>
      <c r="C16" s="658">
        <f>SUM('C4-FinPerf RE'!D30:D31)</f>
        <v>1054135932</v>
      </c>
      <c r="D16" s="411">
        <f>SUM('C4-FinPerf RE'!E30:E31)</f>
        <v>0</v>
      </c>
      <c r="E16" s="411">
        <f>SUM('C4-FinPerf RE'!F30:F31)</f>
        <v>90160964.450000003</v>
      </c>
      <c r="F16" s="411">
        <f>SUM('C4-FinPerf RE'!G30:G31)</f>
        <v>90160964.450000003</v>
      </c>
      <c r="G16" s="659">
        <f>SUM('C4-FinPerf RE'!H30:H31)</f>
        <v>87844662</v>
      </c>
      <c r="H16" s="411">
        <f t="shared" si="1"/>
        <v>2316302.450000003</v>
      </c>
      <c r="I16" s="600">
        <f t="shared" si="2"/>
        <v>2.6368163952864922E-2</v>
      </c>
      <c r="J16" s="651">
        <f>SUM('C4-FinPerf RE'!K30:K31)</f>
        <v>1054135932</v>
      </c>
    </row>
    <row r="17" spans="1:11" ht="12.75" customHeight="1" x14ac:dyDescent="0.2">
      <c r="A17" s="153" t="s">
        <v>1154</v>
      </c>
      <c r="B17" s="657">
        <f>'C4-FinPerf RE'!C33</f>
        <v>8420000</v>
      </c>
      <c r="C17" s="658">
        <f>'C4-FinPerf RE'!D33</f>
        <v>11500008</v>
      </c>
      <c r="D17" s="411">
        <f>'C4-FinPerf RE'!E33</f>
        <v>0</v>
      </c>
      <c r="E17" s="411">
        <f>'C4-FinPerf RE'!F33</f>
        <v>1140000</v>
      </c>
      <c r="F17" s="411">
        <f>'C4-FinPerf RE'!G33</f>
        <v>1140000</v>
      </c>
      <c r="G17" s="659">
        <f>'C4-FinPerf RE'!H33</f>
        <v>958334</v>
      </c>
      <c r="H17" s="411">
        <f t="shared" si="1"/>
        <v>181666</v>
      </c>
      <c r="I17" s="208">
        <f t="shared" si="2"/>
        <v>0.18956438986825053</v>
      </c>
      <c r="J17" s="651">
        <f>'C4-FinPerf RE'!K33</f>
        <v>11500008</v>
      </c>
    </row>
    <row r="18" spans="1:11" ht="12.75" customHeight="1" x14ac:dyDescent="0.2">
      <c r="A18" s="153" t="s">
        <v>443</v>
      </c>
      <c r="B18" s="657">
        <f>'C4-FinPerf RE'!C36-SUM('C1-Sum'!B12:B17)</f>
        <v>1075113832.3600006</v>
      </c>
      <c r="C18" s="658">
        <f>'C4-FinPerf RE'!D36-SUM('C1-Sum'!C12:C17)</f>
        <v>1200881140</v>
      </c>
      <c r="D18" s="411">
        <f>'C4-FinPerf RE'!E36-SUM('C1-Sum'!D12:D17)</f>
        <v>0</v>
      </c>
      <c r="E18" s="411">
        <f>'C4-FinPerf RE'!F36-SUM('C1-Sum'!E12:E17)</f>
        <v>43590051.620000005</v>
      </c>
      <c r="F18" s="411">
        <f>'C4-FinPerf RE'!G36-SUM('C1-Sum'!F12:F17)</f>
        <v>43590051.620000005</v>
      </c>
      <c r="G18" s="659">
        <f>'C4-FinPerf RE'!H36-SUM('C1-Sum'!G12:G17)</f>
        <v>100073429</v>
      </c>
      <c r="H18" s="411">
        <f t="shared" si="1"/>
        <v>-56483377.379999995</v>
      </c>
      <c r="I18" s="208">
        <f t="shared" si="2"/>
        <v>-0.56441932633286696</v>
      </c>
      <c r="J18" s="651">
        <f>'C4-FinPerf RE'!K36-SUM('C1-Sum'!J12:J17)</f>
        <v>1200881140</v>
      </c>
    </row>
    <row r="19" spans="1:11" ht="12.75" customHeight="1" x14ac:dyDescent="0.2">
      <c r="A19" s="592" t="s">
        <v>501</v>
      </c>
      <c r="B19" s="669">
        <f t="shared" ref="B19:G19" si="3">SUM(B12:B18)</f>
        <v>2842745245.5700011</v>
      </c>
      <c r="C19" s="670">
        <f t="shared" si="3"/>
        <v>3549930516</v>
      </c>
      <c r="D19" s="671">
        <f t="shared" si="3"/>
        <v>0</v>
      </c>
      <c r="E19" s="671">
        <f t="shared" si="3"/>
        <v>257062678.19</v>
      </c>
      <c r="F19" s="671">
        <f t="shared" si="3"/>
        <v>257062678.19</v>
      </c>
      <c r="G19" s="672">
        <f t="shared" si="3"/>
        <v>295827545</v>
      </c>
      <c r="H19" s="671">
        <f t="shared" si="1"/>
        <v>-38764866.810000002</v>
      </c>
      <c r="I19" s="385">
        <f t="shared" si="2"/>
        <v>-0.13103873342828845</v>
      </c>
      <c r="J19" s="673">
        <f>SUM(J12:J18)</f>
        <v>3549930516</v>
      </c>
    </row>
    <row r="20" spans="1:11" ht="12.75" customHeight="1" x14ac:dyDescent="0.2">
      <c r="A20" s="154" t="s">
        <v>502</v>
      </c>
      <c r="B20" s="674">
        <f t="shared" ref="B20:G20" si="4">B11-B19</f>
        <v>-40477754.690001488</v>
      </c>
      <c r="C20" s="675">
        <f t="shared" si="4"/>
        <v>245857116</v>
      </c>
      <c r="D20" s="646">
        <f t="shared" si="4"/>
        <v>0</v>
      </c>
      <c r="E20" s="646">
        <f t="shared" si="4"/>
        <v>311236904.98999995</v>
      </c>
      <c r="F20" s="646">
        <f t="shared" si="4"/>
        <v>311236904.98999995</v>
      </c>
      <c r="G20" s="676">
        <f t="shared" si="4"/>
        <v>20488091</v>
      </c>
      <c r="H20" s="646">
        <f t="shared" si="1"/>
        <v>290748813.98999995</v>
      </c>
      <c r="I20" s="207">
        <f t="shared" si="2"/>
        <v>14.191112973385366</v>
      </c>
      <c r="J20" s="650">
        <f>J11-J19</f>
        <v>245857116</v>
      </c>
    </row>
    <row r="21" spans="1:11" ht="12.75" customHeight="1" x14ac:dyDescent="0.2">
      <c r="A21" s="153" t="str">
        <f>'C4-FinPerf RE'!A39</f>
        <v>Transfers and subsidies - capital (monetary allocations) (National / Provincial and District)</v>
      </c>
      <c r="B21" s="657">
        <f>'C4-FinPerf RE'!C39</f>
        <v>844474957.95000005</v>
      </c>
      <c r="C21" s="658">
        <f>'C4-FinPerf RE'!D39</f>
        <v>1267135992</v>
      </c>
      <c r="D21" s="411">
        <f>'C4-FinPerf RE'!E39</f>
        <v>0</v>
      </c>
      <c r="E21" s="411">
        <f>'C4-FinPerf RE'!F39</f>
        <v>85297669.118499994</v>
      </c>
      <c r="F21" s="411">
        <f>'C4-FinPerf RE'!G39</f>
        <v>85297669.118499994</v>
      </c>
      <c r="G21" s="659">
        <f>'C4-FinPerf RE'!H39</f>
        <v>105594666</v>
      </c>
      <c r="H21" s="411">
        <f t="shared" si="1"/>
        <v>-20296996.881500006</v>
      </c>
      <c r="I21" s="208">
        <f t="shared" si="2"/>
        <v>-0.19221611896097104</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803997203.25999856</v>
      </c>
      <c r="C23" s="665">
        <f t="shared" si="5"/>
        <v>1512993108</v>
      </c>
      <c r="D23" s="666">
        <f t="shared" si="5"/>
        <v>0</v>
      </c>
      <c r="E23" s="666">
        <f t="shared" si="5"/>
        <v>396534574.10849994</v>
      </c>
      <c r="F23" s="666">
        <f t="shared" si="5"/>
        <v>396534574.10849994</v>
      </c>
      <c r="G23" s="667">
        <f t="shared" si="5"/>
        <v>126082757</v>
      </c>
      <c r="H23" s="666">
        <f t="shared" si="1"/>
        <v>270451817.10849994</v>
      </c>
      <c r="I23" s="601">
        <f t="shared" si="2"/>
        <v>2.1450341311024785</v>
      </c>
      <c r="J23" s="668">
        <f>J20+J21+J22</f>
        <v>1512993108</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803997203.25999856</v>
      </c>
      <c r="C25" s="675">
        <f t="shared" si="6"/>
        <v>1512993108</v>
      </c>
      <c r="D25" s="646">
        <f t="shared" si="6"/>
        <v>0</v>
      </c>
      <c r="E25" s="646">
        <f t="shared" si="6"/>
        <v>396534574.10849994</v>
      </c>
      <c r="F25" s="646">
        <f t="shared" si="6"/>
        <v>396534574.10849994</v>
      </c>
      <c r="G25" s="676">
        <f t="shared" si="6"/>
        <v>126082757</v>
      </c>
      <c r="H25" s="646">
        <f t="shared" si="1"/>
        <v>270451817.10849994</v>
      </c>
      <c r="I25" s="207">
        <f t="shared" si="2"/>
        <v>2.1450341311024785</v>
      </c>
      <c r="J25" s="650">
        <f>J23+J24</f>
        <v>1512993108</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1251680775.5331488</v>
      </c>
      <c r="C28" s="670">
        <f>'C5-Capex'!D40</f>
        <v>1889186104</v>
      </c>
      <c r="D28" s="671">
        <f>'C5-Capex'!E40</f>
        <v>0</v>
      </c>
      <c r="E28" s="671">
        <f>'C5-Capex'!F40</f>
        <v>85297669.118499994</v>
      </c>
      <c r="F28" s="671">
        <f>'C5-Capex'!G40</f>
        <v>85297669.118499994</v>
      </c>
      <c r="G28" s="672">
        <f>'C5-Capex'!H40</f>
        <v>157432175.33333331</v>
      </c>
      <c r="H28" s="671">
        <f t="shared" ref="H28:H33" si="7">F28-G28</f>
        <v>-72134506.214833319</v>
      </c>
      <c r="I28" s="385">
        <f t="shared" ref="I28:I33" si="8">IF(H28=0,"",H28/G28)</f>
        <v>-0.45819417829996911</v>
      </c>
      <c r="J28" s="673">
        <f>'C5-Capex'!K40</f>
        <v>1889186104</v>
      </c>
    </row>
    <row r="29" spans="1:11" ht="12.75" customHeight="1" x14ac:dyDescent="0.2">
      <c r="A29" s="153" t="s">
        <v>512</v>
      </c>
      <c r="B29" s="657">
        <f>'C5-Capex'!C70</f>
        <v>1074026260.6501489</v>
      </c>
      <c r="C29" s="658">
        <f>'C5-Capex'!D70</f>
        <v>1281136000</v>
      </c>
      <c r="D29" s="411">
        <f>'C5-Capex'!E70</f>
        <v>0</v>
      </c>
      <c r="E29" s="411">
        <f>'C5-Capex'!F70</f>
        <v>85297669.118499994</v>
      </c>
      <c r="F29" s="411">
        <f>'C5-Capex'!G70</f>
        <v>85297669.118499994</v>
      </c>
      <c r="G29" s="659">
        <f>'C5-Capex'!H70</f>
        <v>106761333.33333334</v>
      </c>
      <c r="H29" s="411">
        <f t="shared" si="7"/>
        <v>-21463664.214833349</v>
      </c>
      <c r="I29" s="600">
        <f t="shared" si="8"/>
        <v>-0.20104342597351113</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4333108.0460000001</v>
      </c>
      <c r="C31" s="658">
        <f>'C5-Capex'!D72</f>
        <v>380000000</v>
      </c>
      <c r="D31" s="411">
        <f>'C5-Capex'!E72</f>
        <v>0</v>
      </c>
      <c r="E31" s="411">
        <f>'C5-Capex'!F72</f>
        <v>0</v>
      </c>
      <c r="F31" s="411">
        <f>'C5-Capex'!G72</f>
        <v>0</v>
      </c>
      <c r="G31" s="659">
        <f>'C5-Capex'!H72</f>
        <v>31666666.666666668</v>
      </c>
      <c r="H31" s="411">
        <f t="shared" si="7"/>
        <v>-31666666.666666668</v>
      </c>
      <c r="I31" s="208">
        <f t="shared" si="8"/>
        <v>-1</v>
      </c>
      <c r="J31" s="651">
        <f>'C5-Capex'!K72</f>
        <v>380000000</v>
      </c>
      <c r="K31" s="157"/>
    </row>
    <row r="32" spans="1:11" ht="12.75" customHeight="1" x14ac:dyDescent="0.2">
      <c r="A32" s="153" t="s">
        <v>484</v>
      </c>
      <c r="B32" s="669">
        <f>'C5-Capex'!C73</f>
        <v>173321406.83700004</v>
      </c>
      <c r="C32" s="670">
        <f>'C5-Capex'!D73</f>
        <v>228050104</v>
      </c>
      <c r="D32" s="671">
        <f>'C5-Capex'!E73</f>
        <v>0</v>
      </c>
      <c r="E32" s="671">
        <f>'C5-Capex'!F73</f>
        <v>0</v>
      </c>
      <c r="F32" s="671">
        <f>'C5-Capex'!G73</f>
        <v>0</v>
      </c>
      <c r="G32" s="672">
        <f>'C5-Capex'!H73</f>
        <v>19004175.333333332</v>
      </c>
      <c r="H32" s="671">
        <f t="shared" si="7"/>
        <v>-19004175.333333332</v>
      </c>
      <c r="I32" s="385">
        <f t="shared" si="8"/>
        <v>-1</v>
      </c>
      <c r="J32" s="673">
        <f>'C5-Capex'!K73</f>
        <v>228050104</v>
      </c>
      <c r="K32" s="157"/>
    </row>
    <row r="33" spans="1:10" ht="12.75" customHeight="1" x14ac:dyDescent="0.2">
      <c r="A33" s="592" t="s">
        <v>143</v>
      </c>
      <c r="B33" s="677">
        <f t="shared" ref="B33:J33" si="9">SUM(B29:B32)</f>
        <v>1251680775.533149</v>
      </c>
      <c r="C33" s="622">
        <f t="shared" si="9"/>
        <v>1889186104</v>
      </c>
      <c r="D33" s="620">
        <f t="shared" si="9"/>
        <v>0</v>
      </c>
      <c r="E33" s="620">
        <f>SUM(E29:E32)</f>
        <v>85297669.118499994</v>
      </c>
      <c r="F33" s="620">
        <f>SUM(F29:F32)</f>
        <v>85297669.118499994</v>
      </c>
      <c r="G33" s="621">
        <f>SUM(G29:G32)</f>
        <v>157432175.33333334</v>
      </c>
      <c r="H33" s="620">
        <f t="shared" si="7"/>
        <v>-72134506.214833349</v>
      </c>
      <c r="I33" s="603">
        <f t="shared" si="8"/>
        <v>-0.45819417829996917</v>
      </c>
      <c r="J33" s="623">
        <f t="shared" si="9"/>
        <v>1889186104</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1868593882.3600001</v>
      </c>
      <c r="C36" s="658">
        <f>'C6-FinPos'!D13</f>
        <v>973408779.65000021</v>
      </c>
      <c r="D36" s="411">
        <f>'C6-FinPos'!E13</f>
        <v>0</v>
      </c>
      <c r="E36" s="411"/>
      <c r="F36" s="411">
        <f>'C6-FinPos'!F13</f>
        <v>1736565926</v>
      </c>
      <c r="G36" s="218"/>
      <c r="H36" s="218"/>
      <c r="I36" s="220"/>
      <c r="J36" s="651">
        <f>'C6-FinPos'!G13</f>
        <v>733156365.42999995</v>
      </c>
    </row>
    <row r="37" spans="1:10" ht="12.75" customHeight="1" x14ac:dyDescent="0.2">
      <c r="A37" s="153" t="s">
        <v>651</v>
      </c>
      <c r="B37" s="657">
        <f>'C6-FinPos'!C25</f>
        <v>15020112118.470098</v>
      </c>
      <c r="C37" s="658">
        <f>'C6-FinPos'!D25</f>
        <v>16706838387</v>
      </c>
      <c r="D37" s="411">
        <f>'C6-FinPos'!E25</f>
        <v>0</v>
      </c>
      <c r="E37" s="411"/>
      <c r="F37" s="411">
        <f>'C6-FinPos'!F25</f>
        <v>14456057365.41</v>
      </c>
      <c r="G37" s="218"/>
      <c r="H37" s="218"/>
      <c r="I37" s="220"/>
      <c r="J37" s="651">
        <f>'C6-FinPos'!G25</f>
        <v>15469471387.950001</v>
      </c>
    </row>
    <row r="38" spans="1:10" ht="12.75" customHeight="1" x14ac:dyDescent="0.2">
      <c r="A38" s="153" t="s">
        <v>469</v>
      </c>
      <c r="B38" s="657">
        <f>'C6-FinPos'!C35</f>
        <v>817583216.63207757</v>
      </c>
      <c r="C38" s="658">
        <f>'C6-FinPos'!D35</f>
        <v>631804000</v>
      </c>
      <c r="D38" s="411">
        <f>'C6-FinPos'!E35</f>
        <v>0</v>
      </c>
      <c r="E38" s="411"/>
      <c r="F38" s="411">
        <f>'C6-FinPos'!F35</f>
        <v>817583216.63207757</v>
      </c>
      <c r="G38" s="218"/>
      <c r="H38" s="218"/>
      <c r="I38" s="220"/>
      <c r="J38" s="651">
        <f>'C6-FinPos'!G35</f>
        <v>892154549</v>
      </c>
    </row>
    <row r="39" spans="1:10" ht="12.75" customHeight="1" x14ac:dyDescent="0.2">
      <c r="A39" s="153" t="s">
        <v>468</v>
      </c>
      <c r="B39" s="657">
        <f>'C6-FinPos'!C40</f>
        <v>816183136</v>
      </c>
      <c r="C39" s="658">
        <f>'C6-FinPos'!D40</f>
        <v>1130489654</v>
      </c>
      <c r="D39" s="411">
        <f>'C6-FinPos'!E40</f>
        <v>0</v>
      </c>
      <c r="E39" s="411"/>
      <c r="F39" s="411">
        <f>'C6-FinPos'!F40</f>
        <v>816183136</v>
      </c>
      <c r="G39" s="218"/>
      <c r="H39" s="218"/>
      <c r="I39" s="220"/>
      <c r="J39" s="651">
        <f>'C6-FinPos'!G40</f>
        <v>1196401705</v>
      </c>
    </row>
    <row r="40" spans="1:10" ht="12.75" customHeight="1" x14ac:dyDescent="0.2">
      <c r="A40" s="592" t="s">
        <v>142</v>
      </c>
      <c r="B40" s="674">
        <f>'C6-FinPos'!C48</f>
        <v>15254939648.198021</v>
      </c>
      <c r="C40" s="675">
        <f>'C6-FinPos'!D48</f>
        <v>15917953512.650002</v>
      </c>
      <c r="D40" s="646">
        <f>'C6-FinPos'!E48</f>
        <v>0</v>
      </c>
      <c r="E40" s="411"/>
      <c r="F40" s="646">
        <f>'C6-FinPos'!F48</f>
        <v>14558856938.77792</v>
      </c>
      <c r="G40" s="604"/>
      <c r="H40" s="604"/>
      <c r="I40" s="605"/>
      <c r="J40" s="650">
        <f>'C6-FinPos'!G48</f>
        <v>14114071499.380001</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1208789812.1638007</v>
      </c>
      <c r="C43" s="658">
        <f>'C7-CFlow'!D18</f>
        <v>1582961409</v>
      </c>
      <c r="D43" s="411">
        <f>'C7-CFlow'!E18</f>
        <v>0</v>
      </c>
      <c r="E43" s="411">
        <f>'C7-CFlow'!F18</f>
        <v>288747367.80999994</v>
      </c>
      <c r="F43" s="411">
        <f>'C7-CFlow'!G18</f>
        <v>288747367.80999994</v>
      </c>
      <c r="G43" s="659">
        <f>'C7-CFlow'!H18</f>
        <v>131913450.74999997</v>
      </c>
      <c r="H43" s="411">
        <f>G43-F43</f>
        <v>-156833917.05999997</v>
      </c>
      <c r="I43" s="208">
        <f>IF(H43=0,"",H43/G43)</f>
        <v>-1.1889152786794186</v>
      </c>
      <c r="J43" s="651">
        <f>'C7-CFlow'!K18</f>
        <v>1582961409</v>
      </c>
    </row>
    <row r="44" spans="1:10" ht="12.75" customHeight="1" x14ac:dyDescent="0.2">
      <c r="A44" s="153" t="s">
        <v>669</v>
      </c>
      <c r="B44" s="657">
        <f>'C7-CFlow'!C28</f>
        <v>-1061415964.723804</v>
      </c>
      <c r="C44" s="658">
        <f>'C7-CFlow'!D28</f>
        <v>-1816379813.4399998</v>
      </c>
      <c r="D44" s="411">
        <f>'C7-CFlow'!E28</f>
        <v>0</v>
      </c>
      <c r="E44" s="411">
        <f>'C7-CFlow'!F28</f>
        <v>-85297669.120000005</v>
      </c>
      <c r="F44" s="411">
        <f>'C7-CFlow'!G28</f>
        <v>-85297669.120000005</v>
      </c>
      <c r="G44" s="659">
        <f>'C7-CFlow'!H28</f>
        <v>-151364984.45333332</v>
      </c>
      <c r="H44" s="411">
        <f>G44-F44</f>
        <v>-66067315.333333313</v>
      </c>
      <c r="I44" s="208">
        <f>IF(H44=0,"",H44/G44)</f>
        <v>0.43647687456871664</v>
      </c>
      <c r="J44" s="651">
        <f>'C7-CFlow'!K28</f>
        <v>-1816379813.4399998</v>
      </c>
    </row>
    <row r="45" spans="1:10" ht="12.75" customHeight="1" x14ac:dyDescent="0.2">
      <c r="A45" s="153" t="s">
        <v>667</v>
      </c>
      <c r="B45" s="657">
        <f>'C7-CFlow'!C37</f>
        <v>-87756567.329999998</v>
      </c>
      <c r="C45" s="658">
        <f>'C7-CFlow'!D37</f>
        <v>240000000</v>
      </c>
      <c r="D45" s="411">
        <f>'C7-CFlow'!E37</f>
        <v>0</v>
      </c>
      <c r="E45" s="411">
        <f>'C7-CFlow'!F37</f>
        <v>-16428618.869999999</v>
      </c>
      <c r="F45" s="411">
        <f>'C7-CFlow'!G37</f>
        <v>-16428618.869999999</v>
      </c>
      <c r="G45" s="659">
        <f>'C7-CFlow'!H37</f>
        <v>20000000</v>
      </c>
      <c r="H45" s="411">
        <f>G45-F45</f>
        <v>36428618.869999997</v>
      </c>
      <c r="I45" s="208">
        <f>IF(H45=0,"",H45/G45)</f>
        <v>1.8214309434999998</v>
      </c>
      <c r="J45" s="651">
        <f>'C7-CFlow'!K37</f>
        <v>240000000</v>
      </c>
    </row>
    <row r="46" spans="1:10" ht="12.75" customHeight="1" x14ac:dyDescent="0.2">
      <c r="A46" s="154" t="s">
        <v>54</v>
      </c>
      <c r="B46" s="674">
        <f>'C7-CFlow'!C41</f>
        <v>61635083.999996722</v>
      </c>
      <c r="C46" s="675">
        <f>'C7-CFlow'!D41</f>
        <v>166129395.45000017</v>
      </c>
      <c r="D46" s="646">
        <f>'C7-CFlow'!E41</f>
        <v>0</v>
      </c>
      <c r="E46" s="646">
        <f>'C7-CFlow'!F41</f>
        <v>0</v>
      </c>
      <c r="F46" s="646">
        <f>'C7-CFlow'!G41</f>
        <v>248641009.54999992</v>
      </c>
      <c r="G46" s="676">
        <f>'C7-CFlow'!H41</f>
        <v>160096266.18666664</v>
      </c>
      <c r="H46" s="646">
        <f>G46-F46</f>
        <v>-88544743.363333285</v>
      </c>
      <c r="I46" s="207">
        <f>IF(H46=0,"",H46/G46)</f>
        <v>-0.55307188276391916</v>
      </c>
      <c r="J46" s="650">
        <f>'C7-CFlow'!K41</f>
        <v>68201525.29000017</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142667460</v>
      </c>
      <c r="C50" s="658">
        <f>'SC3'!D14</f>
        <v>19033220</v>
      </c>
      <c r="D50" s="411">
        <f>'SC3'!E14</f>
        <v>43004421</v>
      </c>
      <c r="E50" s="411">
        <f>'SC3'!F14</f>
        <v>31038730</v>
      </c>
      <c r="F50" s="411">
        <f>'SC3'!G14</f>
        <v>26349847</v>
      </c>
      <c r="G50" s="659">
        <f>'SC3'!H14</f>
        <v>28208855</v>
      </c>
      <c r="H50" s="411">
        <f>'SC3'!I14</f>
        <v>123071133</v>
      </c>
      <c r="I50" s="659">
        <f>'SC3'!J14</f>
        <v>819335746</v>
      </c>
      <c r="J50" s="651">
        <f>'SC3'!K14</f>
        <v>1232709412</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164208338.66</v>
      </c>
      <c r="C52" s="658">
        <f>'SC4'!D15</f>
        <v>20851509.91</v>
      </c>
      <c r="D52" s="411">
        <f>'SC4'!E15</f>
        <v>418794.43</v>
      </c>
      <c r="E52" s="411">
        <f>'SC4'!F15</f>
        <v>0</v>
      </c>
      <c r="F52" s="411">
        <f>'SC4'!G15</f>
        <v>0</v>
      </c>
      <c r="G52" s="659">
        <f>'SC4'!H15</f>
        <v>0</v>
      </c>
      <c r="H52" s="411">
        <f>'SC4'!I15</f>
        <v>0</v>
      </c>
      <c r="I52" s="659">
        <f>'SC4'!J15</f>
        <v>0</v>
      </c>
      <c r="J52" s="651">
        <f>'SC4'!K15</f>
        <v>185478643</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12"/>
      <c r="B55" s="1012"/>
      <c r="C55" s="1012"/>
      <c r="D55" s="1012"/>
      <c r="E55" s="1012"/>
      <c r="F55" s="1012"/>
      <c r="G55" s="1012"/>
      <c r="H55" s="1012"/>
      <c r="I55" s="1012"/>
      <c r="J55" s="1012"/>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8"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47" activePane="bottomRight" state="frozen"/>
      <selection pane="topRight"/>
      <selection pane="bottomLeft"/>
      <selection pane="bottomRight" activeCell="F6" sqref="F6"/>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22" t="str">
        <f>muni&amp; " - "&amp;S71A&amp; " - "&amp;date</f>
        <v>LIM354 Polokwane - Table C2 Monthly Budget Statement - Financial Performance (functional classification) - M01 July</v>
      </c>
      <c r="B1" s="1022"/>
      <c r="C1" s="1022"/>
      <c r="D1" s="1022"/>
      <c r="E1" s="1022"/>
      <c r="F1" s="1022"/>
      <c r="G1" s="1022"/>
      <c r="H1" s="1022"/>
      <c r="I1" s="1022"/>
      <c r="J1" s="1022"/>
      <c r="K1" s="1022"/>
    </row>
    <row r="2" spans="1:18" x14ac:dyDescent="0.2">
      <c r="A2" s="1020" t="str">
        <f>desc</f>
        <v>Description</v>
      </c>
      <c r="B2" s="1018" t="str">
        <f>head27</f>
        <v>Ref</v>
      </c>
      <c r="C2" s="24" t="str">
        <f>Head1</f>
        <v>2018/19</v>
      </c>
      <c r="D2" s="232" t="str">
        <f>Head2</f>
        <v>Budget Year 2019/20</v>
      </c>
      <c r="E2" s="230"/>
      <c r="F2" s="230"/>
      <c r="G2" s="230"/>
      <c r="H2" s="230"/>
      <c r="I2" s="230"/>
      <c r="J2" s="230"/>
      <c r="K2" s="231"/>
    </row>
    <row r="3" spans="1:18" ht="20.399999999999999" x14ac:dyDescent="0.2">
      <c r="A3" s="1021"/>
      <c r="B3" s="1019"/>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2076582716.55</v>
      </c>
      <c r="D6" s="678">
        <f t="shared" si="0"/>
        <v>3150801864</v>
      </c>
      <c r="E6" s="646">
        <f t="shared" si="0"/>
        <v>0</v>
      </c>
      <c r="F6" s="646">
        <f t="shared" si="0"/>
        <v>522224290.57850003</v>
      </c>
      <c r="G6" s="646">
        <f t="shared" si="0"/>
        <v>522224290.57850003</v>
      </c>
      <c r="H6" s="646">
        <f t="shared" si="0"/>
        <v>262566822</v>
      </c>
      <c r="I6" s="48">
        <f t="shared" ref="I6:I13" si="1">G6-H6</f>
        <v>259657468.57850003</v>
      </c>
      <c r="J6" s="201">
        <f>IF(I6=0,"",I6/H6)</f>
        <v>0.98891956950486315</v>
      </c>
      <c r="K6" s="650">
        <f>SUM(K7:K9)</f>
        <v>3150801864</v>
      </c>
      <c r="L6" s="101"/>
      <c r="Q6" s="70"/>
      <c r="R6" s="71"/>
    </row>
    <row r="7" spans="1:18" ht="12.75" customHeight="1" x14ac:dyDescent="0.2">
      <c r="A7" s="419" t="s">
        <v>112</v>
      </c>
      <c r="B7" s="418"/>
      <c r="C7" s="651">
        <f>'C2C'!C7</f>
        <v>0</v>
      </c>
      <c r="D7" s="679">
        <f>'C2C'!D7</f>
        <v>2003988</v>
      </c>
      <c r="E7" s="411">
        <f>'C2C'!E7</f>
        <v>0</v>
      </c>
      <c r="F7" s="411">
        <f>'C2C'!F7</f>
        <v>0</v>
      </c>
      <c r="G7" s="411">
        <f>'C2C'!G7</f>
        <v>0</v>
      </c>
      <c r="H7" s="411">
        <f>'C2C'!H7</f>
        <v>166999</v>
      </c>
      <c r="I7" s="48">
        <f t="shared" si="1"/>
        <v>-166999</v>
      </c>
      <c r="J7" s="201">
        <f t="shared" ref="J7:J26" si="2">IF(I7=0,"",I7/H7)</f>
        <v>-1</v>
      </c>
      <c r="K7" s="651">
        <f>'C2C'!K7</f>
        <v>2003988</v>
      </c>
      <c r="L7" s="101"/>
      <c r="Q7" s="70"/>
      <c r="R7" s="71"/>
    </row>
    <row r="8" spans="1:18" ht="12.75" customHeight="1" x14ac:dyDescent="0.2">
      <c r="A8" s="419" t="s">
        <v>1159</v>
      </c>
      <c r="B8" s="418"/>
      <c r="C8" s="652">
        <f>'C2C'!C10</f>
        <v>2076582716.55</v>
      </c>
      <c r="D8" s="680">
        <f>'C2C'!D10</f>
        <v>3148796880</v>
      </c>
      <c r="E8" s="681">
        <f>'C2C'!E10</f>
        <v>0</v>
      </c>
      <c r="F8" s="681">
        <f>'C2C'!F10</f>
        <v>522224290.57850003</v>
      </c>
      <c r="G8" s="681">
        <f>'C2C'!G10</f>
        <v>522224290.57850003</v>
      </c>
      <c r="H8" s="681">
        <f>'C2C'!H10</f>
        <v>262399740</v>
      </c>
      <c r="I8" s="48">
        <f t="shared" si="1"/>
        <v>259824550.57850003</v>
      </c>
      <c r="J8" s="201">
        <f t="shared" si="2"/>
        <v>0.99018600619993002</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0</v>
      </c>
      <c r="F10" s="646">
        <f t="shared" si="3"/>
        <v>583505.54999999993</v>
      </c>
      <c r="G10" s="646">
        <f t="shared" si="3"/>
        <v>583505.54999999993</v>
      </c>
      <c r="H10" s="646">
        <f t="shared" si="3"/>
        <v>1899241</v>
      </c>
      <c r="I10" s="48">
        <f t="shared" si="1"/>
        <v>-1315735.4500000002</v>
      </c>
      <c r="J10" s="201">
        <f t="shared" si="2"/>
        <v>-0.69276908512400492</v>
      </c>
      <c r="K10" s="650">
        <f>SUM(K11:K15)</f>
        <v>22790892</v>
      </c>
      <c r="L10" s="101"/>
      <c r="Q10" s="70"/>
      <c r="R10" s="71"/>
    </row>
    <row r="11" spans="1:18" ht="12.75" customHeight="1" x14ac:dyDescent="0.2">
      <c r="A11" s="419" t="s">
        <v>114</v>
      </c>
      <c r="B11" s="418"/>
      <c r="C11" s="651">
        <f>'C2C'!C28</f>
        <v>294893.93</v>
      </c>
      <c r="D11" s="679">
        <f>'C2C'!D28</f>
        <v>1700964</v>
      </c>
      <c r="E11" s="411">
        <f>'C2C'!E28</f>
        <v>0</v>
      </c>
      <c r="F11" s="411">
        <f>'C2C'!F28</f>
        <v>219400.94000000003</v>
      </c>
      <c r="G11" s="411">
        <f>'C2C'!G28</f>
        <v>219400.94000000003</v>
      </c>
      <c r="H11" s="411">
        <f>'C2C'!H28</f>
        <v>141747</v>
      </c>
      <c r="I11" s="48">
        <f t="shared" si="1"/>
        <v>77653.940000000031</v>
      </c>
      <c r="J11" s="201">
        <f t="shared" si="2"/>
        <v>0.54783480426393527</v>
      </c>
      <c r="K11" s="651">
        <f>'C2C'!K28</f>
        <v>1700964</v>
      </c>
      <c r="L11" s="101"/>
      <c r="Q11" s="70"/>
      <c r="R11" s="71"/>
    </row>
    <row r="12" spans="1:18" ht="12.75" customHeight="1" x14ac:dyDescent="0.2">
      <c r="A12" s="419" t="s">
        <v>115</v>
      </c>
      <c r="B12" s="418"/>
      <c r="C12" s="651">
        <f>'C2C'!C50</f>
        <v>26732122.819999997</v>
      </c>
      <c r="D12" s="679">
        <f>'C2C'!D50</f>
        <v>11874948</v>
      </c>
      <c r="E12" s="411">
        <f>'C2C'!E50</f>
        <v>0</v>
      </c>
      <c r="F12" s="411">
        <f>'C2C'!F50</f>
        <v>230734.85999999996</v>
      </c>
      <c r="G12" s="411">
        <f>'C2C'!G50</f>
        <v>230734.85999999996</v>
      </c>
      <c r="H12" s="411">
        <f>'C2C'!H50</f>
        <v>989579</v>
      </c>
      <c r="I12" s="48">
        <f t="shared" si="1"/>
        <v>-758844.14</v>
      </c>
      <c r="J12" s="201">
        <f t="shared" si="2"/>
        <v>-0.76683533098418621</v>
      </c>
      <c r="K12" s="651">
        <f>'C2C'!K50</f>
        <v>11874948</v>
      </c>
      <c r="L12" s="101"/>
      <c r="Q12" s="70"/>
      <c r="R12" s="71"/>
    </row>
    <row r="13" spans="1:18" ht="12.75" customHeight="1" x14ac:dyDescent="0.2">
      <c r="A13" s="419" t="s">
        <v>116</v>
      </c>
      <c r="B13" s="418"/>
      <c r="C13" s="651">
        <f>'C2C'!C56</f>
        <v>532618.05999999994</v>
      </c>
      <c r="D13" s="679">
        <f>'C2C'!D56</f>
        <v>354000</v>
      </c>
      <c r="E13" s="411">
        <f>'C2C'!E56</f>
        <v>0</v>
      </c>
      <c r="F13" s="411">
        <f>'C2C'!F56</f>
        <v>48041.61</v>
      </c>
      <c r="G13" s="411">
        <f>'C2C'!G56</f>
        <v>48041.61</v>
      </c>
      <c r="H13" s="411">
        <f>'C2C'!H56</f>
        <v>29500</v>
      </c>
      <c r="I13" s="48">
        <f t="shared" si="1"/>
        <v>18541.61</v>
      </c>
      <c r="J13" s="201">
        <f t="shared" si="2"/>
        <v>0.62852915254237285</v>
      </c>
      <c r="K13" s="651">
        <f>'C2C'!K56</f>
        <v>354000</v>
      </c>
      <c r="L13" s="101"/>
      <c r="Q13" s="70"/>
      <c r="R13" s="71"/>
    </row>
    <row r="14" spans="1:18" ht="12.75" customHeight="1" x14ac:dyDescent="0.2">
      <c r="A14" s="419" t="s">
        <v>733</v>
      </c>
      <c r="B14" s="418"/>
      <c r="C14" s="651">
        <f>'C2C'!C63</f>
        <v>305517.13</v>
      </c>
      <c r="D14" s="679">
        <f>'C2C'!D63</f>
        <v>8857992</v>
      </c>
      <c r="E14" s="411">
        <f>'C2C'!E63</f>
        <v>0</v>
      </c>
      <c r="F14" s="411">
        <f>'C2C'!F63</f>
        <v>85104.14</v>
      </c>
      <c r="G14" s="411">
        <f>'C2C'!G63</f>
        <v>85104.14</v>
      </c>
      <c r="H14" s="411">
        <f>'C2C'!H63</f>
        <v>738166</v>
      </c>
      <c r="I14" s="48">
        <f t="shared" ref="I14:I19" si="4">G14-H14</f>
        <v>-653061.86</v>
      </c>
      <c r="J14" s="201">
        <f t="shared" ref="J14:J19" si="5">IF(I14=0,"",I14/H14)</f>
        <v>-0.88470866986558572</v>
      </c>
      <c r="K14" s="651">
        <f>'C2C'!K63</f>
        <v>8857992</v>
      </c>
      <c r="L14" s="101"/>
      <c r="Q14" s="70"/>
      <c r="R14" s="71"/>
    </row>
    <row r="15" spans="1:18" ht="12.75" customHeight="1" x14ac:dyDescent="0.2">
      <c r="A15" s="419" t="s">
        <v>630</v>
      </c>
      <c r="B15" s="418"/>
      <c r="C15" s="652">
        <f>'C2C'!C66</f>
        <v>0</v>
      </c>
      <c r="D15" s="680">
        <f>'C2C'!D66</f>
        <v>2988</v>
      </c>
      <c r="E15" s="681">
        <f>'C2C'!E66</f>
        <v>0</v>
      </c>
      <c r="F15" s="681">
        <f>'C2C'!F66</f>
        <v>224</v>
      </c>
      <c r="G15" s="681">
        <f>'C2C'!G66</f>
        <v>224</v>
      </c>
      <c r="H15" s="681">
        <f>'C2C'!H66</f>
        <v>249</v>
      </c>
      <c r="I15" s="48">
        <f t="shared" si="4"/>
        <v>-25</v>
      </c>
      <c r="J15" s="201">
        <f t="shared" si="5"/>
        <v>-0.10040160642570281</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0</v>
      </c>
      <c r="F16" s="646">
        <f t="shared" si="6"/>
        <v>11276023.199999999</v>
      </c>
      <c r="G16" s="646">
        <f t="shared" si="6"/>
        <v>11276023.199999999</v>
      </c>
      <c r="H16" s="646">
        <f t="shared" si="6"/>
        <v>10258326</v>
      </c>
      <c r="I16" s="48">
        <f t="shared" si="4"/>
        <v>1017697.1999999993</v>
      </c>
      <c r="J16" s="201">
        <f t="shared" si="5"/>
        <v>9.9206946630473553E-2</v>
      </c>
      <c r="K16" s="650">
        <f>SUM(K17:K19)</f>
        <v>123099912</v>
      </c>
      <c r="L16" s="101"/>
      <c r="Q16" s="70"/>
      <c r="R16" s="71"/>
    </row>
    <row r="17" spans="1:18" ht="12.75" customHeight="1" x14ac:dyDescent="0.2">
      <c r="A17" s="419" t="s">
        <v>118</v>
      </c>
      <c r="B17" s="418"/>
      <c r="C17" s="651">
        <f>'C2C'!C75</f>
        <v>18940312.600000001</v>
      </c>
      <c r="D17" s="679">
        <f>'C2C'!D75</f>
        <v>53480928</v>
      </c>
      <c r="E17" s="411">
        <f>'C2C'!E75</f>
        <v>0</v>
      </c>
      <c r="F17" s="411">
        <f>'C2C'!F75</f>
        <v>961267.44000000006</v>
      </c>
      <c r="G17" s="411">
        <f>'C2C'!G75</f>
        <v>961267.44000000006</v>
      </c>
      <c r="H17" s="411">
        <f>'C2C'!H75</f>
        <v>4456744</v>
      </c>
      <c r="I17" s="48">
        <f t="shared" si="4"/>
        <v>-3495476.56</v>
      </c>
      <c r="J17" s="201">
        <f t="shared" si="5"/>
        <v>-0.7843117217412533</v>
      </c>
      <c r="K17" s="651">
        <f>'C2C'!K75</f>
        <v>53480928</v>
      </c>
      <c r="L17" s="101"/>
      <c r="Q17" s="70"/>
      <c r="R17" s="71"/>
    </row>
    <row r="18" spans="1:18" ht="12.75" customHeight="1" x14ac:dyDescent="0.2">
      <c r="A18" s="419" t="s">
        <v>119</v>
      </c>
      <c r="B18" s="418"/>
      <c r="C18" s="651">
        <f>'C2C'!C86</f>
        <v>92197453.030000016</v>
      </c>
      <c r="D18" s="679">
        <f>'C2C'!D86</f>
        <v>66161976</v>
      </c>
      <c r="E18" s="411">
        <f>'C2C'!E86</f>
        <v>0</v>
      </c>
      <c r="F18" s="411">
        <f>'C2C'!F86</f>
        <v>10314755.76</v>
      </c>
      <c r="G18" s="411">
        <f>'C2C'!G86</f>
        <v>10314755.76</v>
      </c>
      <c r="H18" s="411">
        <f>'C2C'!H86</f>
        <v>5513498</v>
      </c>
      <c r="I18" s="48">
        <f t="shared" si="4"/>
        <v>4801257.76</v>
      </c>
      <c r="J18" s="201">
        <f t="shared" si="5"/>
        <v>0.87081880867645178</v>
      </c>
      <c r="K18" s="651">
        <f>'C2C'!K86</f>
        <v>66161976</v>
      </c>
      <c r="L18" s="101"/>
      <c r="Q18" s="70"/>
      <c r="R18" s="71"/>
    </row>
    <row r="19" spans="1:18" ht="12.75" customHeight="1" x14ac:dyDescent="0.2">
      <c r="A19" s="419" t="s">
        <v>120</v>
      </c>
      <c r="B19" s="418"/>
      <c r="C19" s="651">
        <f>'C2C'!C93</f>
        <v>0.47</v>
      </c>
      <c r="D19" s="679">
        <f>'C2C'!D93</f>
        <v>3457008</v>
      </c>
      <c r="E19" s="411">
        <f>'C2C'!E93</f>
        <v>0</v>
      </c>
      <c r="F19" s="411">
        <f>'C2C'!F93</f>
        <v>0</v>
      </c>
      <c r="G19" s="411">
        <f>'C2C'!G93</f>
        <v>0</v>
      </c>
      <c r="H19" s="411">
        <f>'C2C'!H93</f>
        <v>288084</v>
      </c>
      <c r="I19" s="48">
        <f t="shared" si="4"/>
        <v>-288084</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0</v>
      </c>
      <c r="F20" s="646">
        <f t="shared" si="7"/>
        <v>119513432.97000001</v>
      </c>
      <c r="G20" s="646">
        <f t="shared" si="7"/>
        <v>119513432.97000001</v>
      </c>
      <c r="H20" s="646">
        <f t="shared" si="7"/>
        <v>147185913</v>
      </c>
      <c r="I20" s="48">
        <f t="shared" si="7"/>
        <v>-27672480.02999999</v>
      </c>
      <c r="J20" s="201">
        <f t="shared" si="2"/>
        <v>-0.18801038405081599</v>
      </c>
      <c r="K20" s="650">
        <f>SUM(K21:K24)</f>
        <v>1766230956</v>
      </c>
      <c r="L20" s="101"/>
      <c r="Q20" s="70"/>
      <c r="R20" s="71"/>
    </row>
    <row r="21" spans="1:18" ht="12.75" customHeight="1" x14ac:dyDescent="0.2">
      <c r="A21" s="419" t="s">
        <v>1228</v>
      </c>
      <c r="B21" s="418"/>
      <c r="C21" s="651">
        <f>'C2C'!C101</f>
        <v>956100536.37</v>
      </c>
      <c r="D21" s="679">
        <f>'C2C'!D101</f>
        <v>1192843992</v>
      </c>
      <c r="E21" s="411">
        <f>'C2C'!E101</f>
        <v>0</v>
      </c>
      <c r="F21" s="411">
        <f>'C2C'!F101</f>
        <v>73541086.38000001</v>
      </c>
      <c r="G21" s="411">
        <f>'C2C'!G101</f>
        <v>73541086.38000001</v>
      </c>
      <c r="H21" s="411">
        <f>'C2C'!H101</f>
        <v>99403666</v>
      </c>
      <c r="I21" s="48">
        <f>G21-H21</f>
        <v>-25862579.61999999</v>
      </c>
      <c r="J21" s="201">
        <f t="shared" si="2"/>
        <v>-0.26017732203156363</v>
      </c>
      <c r="K21" s="651">
        <f>'C2C'!K101</f>
        <v>1192843992</v>
      </c>
      <c r="L21" s="101"/>
      <c r="Q21" s="70"/>
      <c r="R21" s="71"/>
    </row>
    <row r="22" spans="1:18" ht="12.75" customHeight="1" x14ac:dyDescent="0.2">
      <c r="A22" s="419" t="s">
        <v>1232</v>
      </c>
      <c r="B22" s="418"/>
      <c r="C22" s="651">
        <f>'C2C'!C105</f>
        <v>260621321.38999999</v>
      </c>
      <c r="D22" s="679">
        <f>'C2C'!D105</f>
        <v>310981968</v>
      </c>
      <c r="E22" s="411">
        <f>'C2C'!E105</f>
        <v>0</v>
      </c>
      <c r="F22" s="411">
        <f>'C2C'!F105</f>
        <v>26757393.540000003</v>
      </c>
      <c r="G22" s="411">
        <f>'C2C'!G105</f>
        <v>26757393.540000003</v>
      </c>
      <c r="H22" s="411">
        <f>'C2C'!H105</f>
        <v>25915164</v>
      </c>
      <c r="I22" s="48">
        <f>G22-H22</f>
        <v>842229.54000000283</v>
      </c>
      <c r="J22" s="201">
        <f t="shared" si="2"/>
        <v>3.2499487172838376E-2</v>
      </c>
      <c r="K22" s="651">
        <f>'C2C'!K105</f>
        <v>310981968</v>
      </c>
      <c r="L22" s="101"/>
      <c r="Q22" s="70"/>
      <c r="R22" s="71"/>
    </row>
    <row r="23" spans="1:18" ht="12.75" customHeight="1" x14ac:dyDescent="0.2">
      <c r="A23" s="419" t="s">
        <v>122</v>
      </c>
      <c r="B23" s="418"/>
      <c r="C23" s="652">
        <f>'C2C'!C109</f>
        <v>107299037.64999999</v>
      </c>
      <c r="D23" s="680">
        <f>'C2C'!D109</f>
        <v>133774008</v>
      </c>
      <c r="E23" s="681">
        <f>'C2C'!E109</f>
        <v>0</v>
      </c>
      <c r="F23" s="681">
        <f>'C2C'!F109</f>
        <v>9609100.209999999</v>
      </c>
      <c r="G23" s="681">
        <f>'C2C'!G109</f>
        <v>9609100.209999999</v>
      </c>
      <c r="H23" s="681">
        <f>'C2C'!H109</f>
        <v>11147834</v>
      </c>
      <c r="I23" s="48">
        <f>G23-H23</f>
        <v>-1538733.790000001</v>
      </c>
      <c r="J23" s="201">
        <f t="shared" si="2"/>
        <v>-0.13802984418318401</v>
      </c>
      <c r="K23" s="682">
        <f>'C2C'!K109</f>
        <v>133774008</v>
      </c>
      <c r="L23" s="101"/>
      <c r="Q23" s="70"/>
      <c r="R23" s="71"/>
    </row>
    <row r="24" spans="1:18" ht="12.75" customHeight="1" x14ac:dyDescent="0.2">
      <c r="A24" s="419" t="s">
        <v>123</v>
      </c>
      <c r="B24" s="418"/>
      <c r="C24" s="651">
        <f>'C2C'!C114</f>
        <v>107135918.36000001</v>
      </c>
      <c r="D24" s="679">
        <f>'C2C'!D114</f>
        <v>128630988</v>
      </c>
      <c r="E24" s="411">
        <f>'C2C'!E114</f>
        <v>0</v>
      </c>
      <c r="F24" s="411">
        <f>'C2C'!F114</f>
        <v>9605852.8399999999</v>
      </c>
      <c r="G24" s="411">
        <f>'C2C'!G114</f>
        <v>9605852.8399999999</v>
      </c>
      <c r="H24" s="411">
        <f>'C2C'!H114</f>
        <v>10719249</v>
      </c>
      <c r="I24" s="48">
        <f>G24-H24</f>
        <v>-1113396.1600000001</v>
      </c>
      <c r="J24" s="201">
        <f t="shared" si="2"/>
        <v>-0.10386885872321841</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3646742448.3600001</v>
      </c>
      <c r="D26" s="607">
        <f t="shared" ref="D26:I26" si="8">D6+D10+D16+D20+D25</f>
        <v>5062923624</v>
      </c>
      <c r="E26" s="549">
        <f t="shared" si="8"/>
        <v>0</v>
      </c>
      <c r="F26" s="549">
        <f t="shared" si="8"/>
        <v>653597252.29850006</v>
      </c>
      <c r="G26" s="549">
        <f t="shared" si="8"/>
        <v>653597252.29850006</v>
      </c>
      <c r="H26" s="549">
        <f t="shared" si="8"/>
        <v>421910302</v>
      </c>
      <c r="I26" s="549">
        <f t="shared" si="8"/>
        <v>231686950.29850003</v>
      </c>
      <c r="J26" s="608">
        <f t="shared" si="2"/>
        <v>0.54913793097780306</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991449111.93000185</v>
      </c>
      <c r="D29" s="678">
        <f t="shared" si="9"/>
        <v>1228897836</v>
      </c>
      <c r="E29" s="646">
        <f t="shared" si="9"/>
        <v>0</v>
      </c>
      <c r="F29" s="646">
        <f t="shared" si="9"/>
        <v>165211158.65000001</v>
      </c>
      <c r="G29" s="646">
        <f t="shared" si="9"/>
        <v>165211158.65000001</v>
      </c>
      <c r="H29" s="646">
        <f t="shared" si="9"/>
        <v>102408153</v>
      </c>
      <c r="I29" s="48">
        <f t="shared" ref="I29:I48" si="10">G29-H29</f>
        <v>62803005.650000006</v>
      </c>
      <c r="J29" s="201">
        <f>IF(I29=0,"",I29/H29)</f>
        <v>0.61326177467530352</v>
      </c>
      <c r="K29" s="650">
        <f>SUM(K30:K32)</f>
        <v>1228897836</v>
      </c>
      <c r="L29" s="101"/>
      <c r="Q29" s="70"/>
    </row>
    <row r="30" spans="1:18" ht="12.75" customHeight="1" x14ac:dyDescent="0.2">
      <c r="A30" s="419" t="s">
        <v>112</v>
      </c>
      <c r="B30" s="431"/>
      <c r="C30" s="651">
        <f>'C2C'!C130</f>
        <v>104806196.77000001</v>
      </c>
      <c r="D30" s="679">
        <f>'C2C'!D130</f>
        <v>330171120</v>
      </c>
      <c r="E30" s="411">
        <f>'C2C'!E130</f>
        <v>0</v>
      </c>
      <c r="F30" s="411">
        <f>'C2C'!F130</f>
        <v>10726237.029999999</v>
      </c>
      <c r="G30" s="411">
        <f>'C2C'!G130</f>
        <v>10726237.029999999</v>
      </c>
      <c r="H30" s="411">
        <f>'C2C'!H130</f>
        <v>27514260</v>
      </c>
      <c r="I30" s="48">
        <f t="shared" si="10"/>
        <v>-16788022.969999999</v>
      </c>
      <c r="J30" s="201">
        <f t="shared" ref="J30:J49" si="11">IF(I30=0,"",I30/H30)</f>
        <v>-0.61015716831926425</v>
      </c>
      <c r="K30" s="651">
        <f>'C2C'!K130</f>
        <v>330171120</v>
      </c>
      <c r="L30" s="101"/>
      <c r="Q30" s="70"/>
    </row>
    <row r="31" spans="1:18" ht="12.75" customHeight="1" x14ac:dyDescent="0.2">
      <c r="A31" s="419" t="s">
        <v>1159</v>
      </c>
      <c r="B31" s="431"/>
      <c r="C31" s="652">
        <f>'C2C'!C133</f>
        <v>879048443.24000192</v>
      </c>
      <c r="D31" s="680">
        <f>'C2C'!D133</f>
        <v>885212796</v>
      </c>
      <c r="E31" s="681">
        <f>'C2C'!E133</f>
        <v>0</v>
      </c>
      <c r="F31" s="681">
        <f>'C2C'!F133</f>
        <v>154484921.62</v>
      </c>
      <c r="G31" s="681">
        <f>'C2C'!G133</f>
        <v>154484921.62</v>
      </c>
      <c r="H31" s="681">
        <f>'C2C'!H133</f>
        <v>73767733</v>
      </c>
      <c r="I31" s="48">
        <f t="shared" si="10"/>
        <v>80717188.620000005</v>
      </c>
      <c r="J31" s="201">
        <f t="shared" si="11"/>
        <v>1.0942072548169537</v>
      </c>
      <c r="K31" s="682">
        <f>'C2C'!K133</f>
        <v>885212796</v>
      </c>
      <c r="L31" s="101"/>
      <c r="Q31" s="70"/>
    </row>
    <row r="32" spans="1:18" ht="12.75" customHeight="1" x14ac:dyDescent="0.2">
      <c r="A32" s="419" t="s">
        <v>1171</v>
      </c>
      <c r="B32" s="431"/>
      <c r="C32" s="651">
        <f>'C2C'!C148</f>
        <v>7594471.9199999999</v>
      </c>
      <c r="D32" s="679">
        <f>'C2C'!D148</f>
        <v>13513920</v>
      </c>
      <c r="E32" s="411">
        <f>'C2C'!E148</f>
        <v>0</v>
      </c>
      <c r="F32" s="411">
        <f>'C2C'!F148</f>
        <v>0</v>
      </c>
      <c r="G32" s="411">
        <f>'C2C'!G148</f>
        <v>0</v>
      </c>
      <c r="H32" s="411">
        <f>'C2C'!H148</f>
        <v>1126160</v>
      </c>
      <c r="I32" s="48">
        <f t="shared" si="10"/>
        <v>-1126160</v>
      </c>
      <c r="J32" s="201">
        <f t="shared" si="11"/>
        <v>-1</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0</v>
      </c>
      <c r="F33" s="646">
        <f t="shared" si="12"/>
        <v>37565.760000000002</v>
      </c>
      <c r="G33" s="646">
        <f t="shared" si="12"/>
        <v>37565.760000000002</v>
      </c>
      <c r="H33" s="646">
        <f t="shared" si="12"/>
        <v>56867559</v>
      </c>
      <c r="I33" s="48">
        <f t="shared" si="10"/>
        <v>-56829993.240000002</v>
      </c>
      <c r="J33" s="201">
        <f t="shared" si="11"/>
        <v>-0.99933941669625737</v>
      </c>
      <c r="K33" s="650">
        <f>SUM(K34:K38)</f>
        <v>272800224</v>
      </c>
      <c r="L33" s="101"/>
      <c r="Q33" s="70"/>
    </row>
    <row r="34" spans="1:17" ht="12.75" customHeight="1" x14ac:dyDescent="0.2">
      <c r="A34" s="419" t="s">
        <v>114</v>
      </c>
      <c r="B34" s="431"/>
      <c r="C34" s="651">
        <f>'C2C'!C151</f>
        <v>66389373.119999997</v>
      </c>
      <c r="D34" s="679">
        <f>'C2C'!D151</f>
        <v>65851692</v>
      </c>
      <c r="E34" s="411">
        <f>'C2C'!E151</f>
        <v>0</v>
      </c>
      <c r="F34" s="411">
        <f>'C2C'!F151</f>
        <v>37565.760000000002</v>
      </c>
      <c r="G34" s="411">
        <f>'C2C'!G151</f>
        <v>37565.760000000002</v>
      </c>
      <c r="H34" s="411">
        <f>'C2C'!H151</f>
        <v>5487641</v>
      </c>
      <c r="I34" s="48">
        <f t="shared" si="10"/>
        <v>-5450075.2400000002</v>
      </c>
      <c r="J34" s="201">
        <f t="shared" si="11"/>
        <v>-0.99315447931087331</v>
      </c>
      <c r="K34" s="651">
        <f>'C2C'!K151</f>
        <v>65851692</v>
      </c>
      <c r="L34" s="101"/>
      <c r="Q34" s="70"/>
    </row>
    <row r="35" spans="1:17" ht="12.75" customHeight="1" x14ac:dyDescent="0.2">
      <c r="A35" s="419" t="s">
        <v>115</v>
      </c>
      <c r="B35" s="431"/>
      <c r="C35" s="651">
        <f>'C2C'!C173</f>
        <v>85674383.310000002</v>
      </c>
      <c r="D35" s="679">
        <f>'C2C'!D173</f>
        <v>136536828</v>
      </c>
      <c r="E35" s="411">
        <f>'C2C'!E173</f>
        <v>0</v>
      </c>
      <c r="F35" s="411">
        <f>'C2C'!F173</f>
        <v>0</v>
      </c>
      <c r="G35" s="411">
        <f>'C2C'!G173</f>
        <v>0</v>
      </c>
      <c r="H35" s="411">
        <f>'C2C'!H173</f>
        <v>45512276</v>
      </c>
      <c r="I35" s="48">
        <f t="shared" si="10"/>
        <v>-45512276</v>
      </c>
      <c r="J35" s="201">
        <f t="shared" si="11"/>
        <v>-1</v>
      </c>
      <c r="K35" s="651">
        <f>'C2C'!K173</f>
        <v>136536828</v>
      </c>
      <c r="L35" s="101"/>
      <c r="Q35" s="70"/>
    </row>
    <row r="36" spans="1:17" ht="12.75" customHeight="1" x14ac:dyDescent="0.2">
      <c r="A36" s="419" t="s">
        <v>116</v>
      </c>
      <c r="B36" s="429"/>
      <c r="C36" s="651">
        <f>'C2C'!C179</f>
        <v>56503947.349999994</v>
      </c>
      <c r="D36" s="679">
        <f>'C2C'!D179</f>
        <v>51197808</v>
      </c>
      <c r="E36" s="411">
        <f>'C2C'!E179</f>
        <v>0</v>
      </c>
      <c r="F36" s="411">
        <f>'C2C'!F179</f>
        <v>0</v>
      </c>
      <c r="G36" s="411">
        <f>'C2C'!G179</f>
        <v>0</v>
      </c>
      <c r="H36" s="411">
        <f>'C2C'!H179</f>
        <v>4266484</v>
      </c>
      <c r="I36" s="48">
        <f t="shared" si="10"/>
        <v>-4266484</v>
      </c>
      <c r="J36" s="201">
        <f t="shared" si="11"/>
        <v>-1</v>
      </c>
      <c r="K36" s="651">
        <f>'C2C'!K179</f>
        <v>51197808</v>
      </c>
      <c r="L36" s="101"/>
      <c r="Q36" s="71"/>
    </row>
    <row r="37" spans="1:17" ht="12.75" customHeight="1" x14ac:dyDescent="0.2">
      <c r="A37" s="419" t="s">
        <v>733</v>
      </c>
      <c r="B37" s="429"/>
      <c r="C37" s="651">
        <f>'C2C'!C186</f>
        <v>589033.43000000005</v>
      </c>
      <c r="D37" s="679">
        <f>'C2C'!D186</f>
        <v>12573336</v>
      </c>
      <c r="E37" s="411">
        <f>'C2C'!E186</f>
        <v>0</v>
      </c>
      <c r="F37" s="411">
        <f>'C2C'!F186</f>
        <v>0</v>
      </c>
      <c r="G37" s="411">
        <f>'C2C'!G186</f>
        <v>0</v>
      </c>
      <c r="H37" s="411">
        <f>'C2C'!H186</f>
        <v>1047778</v>
      </c>
      <c r="I37" s="48">
        <f t="shared" si="10"/>
        <v>-1047778</v>
      </c>
      <c r="J37" s="201">
        <f t="shared" si="11"/>
        <v>-1</v>
      </c>
      <c r="K37" s="651">
        <f>'C2C'!K186</f>
        <v>12573336</v>
      </c>
      <c r="L37" s="101"/>
      <c r="Q37" s="71"/>
    </row>
    <row r="38" spans="1:17" ht="12.75" customHeight="1" x14ac:dyDescent="0.2">
      <c r="A38" s="419" t="s">
        <v>630</v>
      </c>
      <c r="B38" s="429"/>
      <c r="C38" s="652">
        <f>'C2C'!C189</f>
        <v>3558377.8899999997</v>
      </c>
      <c r="D38" s="680">
        <f>'C2C'!D189</f>
        <v>6640560</v>
      </c>
      <c r="E38" s="681">
        <f>'C2C'!E189</f>
        <v>0</v>
      </c>
      <c r="F38" s="681">
        <f>'C2C'!F189</f>
        <v>0</v>
      </c>
      <c r="G38" s="681">
        <f>'C2C'!G189</f>
        <v>0</v>
      </c>
      <c r="H38" s="681">
        <f>'C2C'!H189</f>
        <v>553380</v>
      </c>
      <c r="I38" s="48">
        <f t="shared" si="10"/>
        <v>-553380</v>
      </c>
      <c r="J38" s="201">
        <f t="shared" si="11"/>
        <v>-1</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0</v>
      </c>
      <c r="F39" s="646">
        <f t="shared" si="13"/>
        <v>73763.55</v>
      </c>
      <c r="G39" s="646">
        <f t="shared" si="13"/>
        <v>73763.55</v>
      </c>
      <c r="H39" s="646">
        <f t="shared" si="13"/>
        <v>40123145.666666664</v>
      </c>
      <c r="I39" s="48">
        <f t="shared" si="10"/>
        <v>-40049382.116666667</v>
      </c>
      <c r="J39" s="201">
        <f t="shared" si="11"/>
        <v>-0.99816157111377046</v>
      </c>
      <c r="K39" s="650">
        <f>SUM(K40:K42)</f>
        <v>481477748</v>
      </c>
      <c r="L39" s="101"/>
      <c r="Q39" s="71"/>
    </row>
    <row r="40" spans="1:17" ht="12.75" customHeight="1" x14ac:dyDescent="0.2">
      <c r="A40" s="419" t="s">
        <v>118</v>
      </c>
      <c r="B40" s="429"/>
      <c r="C40" s="651">
        <f>'C2C'!C198</f>
        <v>109149443.87</v>
      </c>
      <c r="D40" s="679">
        <f>'C2C'!D198</f>
        <v>130112276</v>
      </c>
      <c r="E40" s="411">
        <f>'C2C'!E198</f>
        <v>0</v>
      </c>
      <c r="F40" s="411">
        <f>'C2C'!F198</f>
        <v>63500</v>
      </c>
      <c r="G40" s="411">
        <f>'C2C'!G198</f>
        <v>63500</v>
      </c>
      <c r="H40" s="411">
        <f>'C2C'!H198</f>
        <v>10842689.666666666</v>
      </c>
      <c r="I40" s="48">
        <f t="shared" si="10"/>
        <v>-10779189.666666666</v>
      </c>
      <c r="J40" s="201">
        <f t="shared" si="11"/>
        <v>-0.99414351955537228</v>
      </c>
      <c r="K40" s="651">
        <f>'C2C'!K198</f>
        <v>130112276</v>
      </c>
      <c r="L40" s="101"/>
      <c r="Q40" s="71"/>
    </row>
    <row r="41" spans="1:17" ht="12.75" customHeight="1" x14ac:dyDescent="0.2">
      <c r="A41" s="419" t="s">
        <v>119</v>
      </c>
      <c r="B41" s="429"/>
      <c r="C41" s="651">
        <f>'C2C'!C209</f>
        <v>230055195.11000001</v>
      </c>
      <c r="D41" s="679">
        <f>'C2C'!D209</f>
        <v>331561800</v>
      </c>
      <c r="E41" s="411">
        <f>'C2C'!E209</f>
        <v>0</v>
      </c>
      <c r="F41" s="411">
        <f>'C2C'!F209</f>
        <v>10263.549999999999</v>
      </c>
      <c r="G41" s="411">
        <f>'C2C'!G209</f>
        <v>10263.549999999999</v>
      </c>
      <c r="H41" s="411">
        <f>'C2C'!H209</f>
        <v>27630150</v>
      </c>
      <c r="I41" s="48">
        <f t="shared" si="10"/>
        <v>-27619886.449999999</v>
      </c>
      <c r="J41" s="201">
        <f t="shared" si="11"/>
        <v>-0.99962853802820462</v>
      </c>
      <c r="K41" s="651">
        <f>'C2C'!K209</f>
        <v>331561800</v>
      </c>
      <c r="L41" s="101"/>
      <c r="Q41" s="71"/>
    </row>
    <row r="42" spans="1:17" ht="12.75" customHeight="1" x14ac:dyDescent="0.2">
      <c r="A42" s="419" t="s">
        <v>120</v>
      </c>
      <c r="B42" s="429"/>
      <c r="C42" s="651">
        <f>'C2C'!C216</f>
        <v>370968.49</v>
      </c>
      <c r="D42" s="679">
        <f>'C2C'!D216</f>
        <v>19803672</v>
      </c>
      <c r="E42" s="411">
        <f>'C2C'!E216</f>
        <v>0</v>
      </c>
      <c r="F42" s="411">
        <f>'C2C'!F216</f>
        <v>0</v>
      </c>
      <c r="G42" s="411">
        <f>'C2C'!G216</f>
        <v>0</v>
      </c>
      <c r="H42" s="411">
        <f>'C2C'!H216</f>
        <v>1650306</v>
      </c>
      <c r="I42" s="48">
        <f t="shared" si="10"/>
        <v>-1650306</v>
      </c>
      <c r="J42" s="201">
        <f t="shared" si="11"/>
        <v>-1</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0</v>
      </c>
      <c r="F43" s="646">
        <f t="shared" si="14"/>
        <v>91740190.229999989</v>
      </c>
      <c r="G43" s="646">
        <f t="shared" si="14"/>
        <v>91740190.229999989</v>
      </c>
      <c r="H43" s="646">
        <f t="shared" si="14"/>
        <v>130562892.33333333</v>
      </c>
      <c r="I43" s="48">
        <f t="shared" si="14"/>
        <v>-38822702.103333332</v>
      </c>
      <c r="J43" s="201">
        <f t="shared" si="11"/>
        <v>-0.29734866782988473</v>
      </c>
      <c r="K43" s="650">
        <f>SUM(K44:K47)</f>
        <v>1566754708</v>
      </c>
      <c r="L43" s="101"/>
      <c r="Q43" s="71"/>
    </row>
    <row r="44" spans="1:17" ht="12.75" customHeight="1" x14ac:dyDescent="0.2">
      <c r="A44" s="419" t="s">
        <v>1228</v>
      </c>
      <c r="B44" s="429"/>
      <c r="C44" s="651">
        <f>'C2C'!C224</f>
        <v>798519515.72999966</v>
      </c>
      <c r="D44" s="679">
        <f>'C2C'!D224</f>
        <v>961329108</v>
      </c>
      <c r="E44" s="411">
        <f>'C2C'!E224</f>
        <v>0</v>
      </c>
      <c r="F44" s="411">
        <f>'C2C'!F224</f>
        <v>90715951.439999998</v>
      </c>
      <c r="G44" s="411">
        <f>'C2C'!G224</f>
        <v>90715951.439999998</v>
      </c>
      <c r="H44" s="411">
        <f>'C2C'!H224</f>
        <v>80110759</v>
      </c>
      <c r="I44" s="48">
        <f t="shared" si="10"/>
        <v>10605192.439999998</v>
      </c>
      <c r="J44" s="201">
        <f t="shared" si="11"/>
        <v>0.13238162479524127</v>
      </c>
      <c r="K44" s="651">
        <f>'C2C'!K224</f>
        <v>961329108</v>
      </c>
      <c r="L44" s="101"/>
      <c r="Q44" s="71"/>
    </row>
    <row r="45" spans="1:17" ht="12.75" customHeight="1" x14ac:dyDescent="0.2">
      <c r="A45" s="419" t="s">
        <v>1232</v>
      </c>
      <c r="B45" s="429"/>
      <c r="C45" s="651">
        <f>'C2C'!C228</f>
        <v>269795799.24000001</v>
      </c>
      <c r="D45" s="679">
        <f>'C2C'!D228</f>
        <v>398912628</v>
      </c>
      <c r="E45" s="411">
        <f>'C2C'!E228</f>
        <v>0</v>
      </c>
      <c r="F45" s="411">
        <f>'C2C'!F228</f>
        <v>812067.32</v>
      </c>
      <c r="G45" s="411">
        <f>'C2C'!G228</f>
        <v>812067.32</v>
      </c>
      <c r="H45" s="411">
        <f>'C2C'!H228</f>
        <v>33242719</v>
      </c>
      <c r="I45" s="48">
        <f t="shared" si="10"/>
        <v>-32430651.68</v>
      </c>
      <c r="J45" s="201">
        <f t="shared" si="11"/>
        <v>-0.97557157343236578</v>
      </c>
      <c r="K45" s="651">
        <f>'C2C'!K228</f>
        <v>398912628</v>
      </c>
      <c r="L45" s="101"/>
      <c r="Q45" s="71"/>
    </row>
    <row r="46" spans="1:17" ht="12.75" customHeight="1" x14ac:dyDescent="0.2">
      <c r="A46" s="419" t="s">
        <v>122</v>
      </c>
      <c r="B46" s="429"/>
      <c r="C46" s="652">
        <f>'C2C'!C232</f>
        <v>94000072.979999989</v>
      </c>
      <c r="D46" s="680">
        <f>'C2C'!D232</f>
        <v>77149276</v>
      </c>
      <c r="E46" s="681">
        <f>'C2C'!E232</f>
        <v>0</v>
      </c>
      <c r="F46" s="681">
        <f>'C2C'!F232</f>
        <v>214500</v>
      </c>
      <c r="G46" s="681">
        <f>'C2C'!G232</f>
        <v>214500</v>
      </c>
      <c r="H46" s="681">
        <f>'C2C'!H232</f>
        <v>6429106.333333333</v>
      </c>
      <c r="I46" s="48">
        <f t="shared" si="10"/>
        <v>-6214606.333333333</v>
      </c>
      <c r="J46" s="201">
        <f t="shared" si="11"/>
        <v>-0.96663610945616651</v>
      </c>
      <c r="K46" s="682">
        <f>'C2C'!K232</f>
        <v>77149276</v>
      </c>
      <c r="L46" s="101"/>
      <c r="Q46" s="71"/>
    </row>
    <row r="47" spans="1:17" ht="12.75" customHeight="1" x14ac:dyDescent="0.2">
      <c r="A47" s="419" t="s">
        <v>123</v>
      </c>
      <c r="B47" s="429"/>
      <c r="C47" s="651">
        <f>'C2C'!C237</f>
        <v>136690023.11999997</v>
      </c>
      <c r="D47" s="679">
        <f>'C2C'!D237</f>
        <v>129363696</v>
      </c>
      <c r="E47" s="411">
        <f>'C2C'!E237</f>
        <v>0</v>
      </c>
      <c r="F47" s="411">
        <f>'C2C'!F237</f>
        <v>-2328.5300000000002</v>
      </c>
      <c r="G47" s="411">
        <f>'C2C'!G237</f>
        <v>-2328.5300000000002</v>
      </c>
      <c r="H47" s="411">
        <f>'C2C'!H237</f>
        <v>10780308</v>
      </c>
      <c r="I47" s="48">
        <f t="shared" si="10"/>
        <v>-10782636.529999999</v>
      </c>
      <c r="J47" s="201">
        <f t="shared" si="11"/>
        <v>-1.0002159984668342</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2842745245.5700016</v>
      </c>
      <c r="D49" s="607">
        <f t="shared" ref="D49:I49" si="15">D29+D33+D39+D43+D48</f>
        <v>3549930516</v>
      </c>
      <c r="E49" s="549">
        <f t="shared" si="15"/>
        <v>0</v>
      </c>
      <c r="F49" s="549">
        <f t="shared" si="15"/>
        <v>257062678.19</v>
      </c>
      <c r="G49" s="549">
        <f t="shared" si="15"/>
        <v>257062678.19</v>
      </c>
      <c r="H49" s="549">
        <f t="shared" si="15"/>
        <v>329961750</v>
      </c>
      <c r="I49" s="549">
        <f t="shared" si="15"/>
        <v>-72899071.810000002</v>
      </c>
      <c r="J49" s="608">
        <f t="shared" si="11"/>
        <v>-0.22093188622620652</v>
      </c>
      <c r="K49" s="730">
        <f>K29+K33+K39+K43+K48</f>
        <v>3549930516</v>
      </c>
      <c r="L49" s="101"/>
      <c r="Q49" s="76"/>
    </row>
    <row r="50" spans="1:17" ht="12.75" customHeight="1" x14ac:dyDescent="0.2">
      <c r="A50" s="95" t="s">
        <v>922</v>
      </c>
      <c r="B50" s="432"/>
      <c r="C50" s="544">
        <f t="shared" ref="C50:H50" si="16">C26-C49</f>
        <v>803997202.78999853</v>
      </c>
      <c r="D50" s="649">
        <f t="shared" si="16"/>
        <v>1512993108</v>
      </c>
      <c r="E50" s="643">
        <f t="shared" si="16"/>
        <v>0</v>
      </c>
      <c r="F50" s="643">
        <f t="shared" si="16"/>
        <v>396534574.10850006</v>
      </c>
      <c r="G50" s="643">
        <f t="shared" si="16"/>
        <v>396534574.10850006</v>
      </c>
      <c r="H50" s="643">
        <f t="shared" si="16"/>
        <v>91948552</v>
      </c>
      <c r="I50" s="643">
        <f>I26-I49</f>
        <v>304586022.1085</v>
      </c>
      <c r="J50" s="647">
        <f>IF(I50=0,"",I50/H50)</f>
        <v>3.312570078411893</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23" t="s">
        <v>1249</v>
      </c>
      <c r="B55" s="1023"/>
      <c r="C55" s="1023"/>
      <c r="D55" s="1023"/>
      <c r="E55" s="1023"/>
      <c r="F55" s="1023"/>
      <c r="G55" s="1023"/>
      <c r="H55" s="1023"/>
      <c r="I55" s="1023"/>
      <c r="J55" s="1023"/>
      <c r="K55" s="1023"/>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8"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28" activePane="bottomRight" state="frozen"/>
      <selection pane="topRight"/>
      <selection pane="bottomLeft"/>
      <selection pane="bottomRight" activeCell="H240" sqref="H240"/>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22" t="str">
        <f>muni&amp; " - "&amp;S71A&amp; " - "&amp;date</f>
        <v>LIM354 Polokwane - Table C2 Monthly Budget Statement - Financial Performance (functional classification) - M01 July</v>
      </c>
      <c r="B1" s="1022"/>
      <c r="C1" s="1022"/>
      <c r="D1" s="1022"/>
      <c r="E1" s="1022"/>
      <c r="F1" s="1022"/>
      <c r="G1" s="1022"/>
      <c r="H1" s="1022"/>
      <c r="I1" s="1022"/>
      <c r="J1" s="1022"/>
      <c r="K1" s="1022"/>
    </row>
    <row r="2" spans="1:12" ht="13.5" customHeight="1" x14ac:dyDescent="0.25">
      <c r="A2" s="1020" t="str">
        <f>desc</f>
        <v>Description</v>
      </c>
      <c r="B2" s="1018" t="str">
        <f>head27</f>
        <v>Ref</v>
      </c>
      <c r="C2" s="24" t="str">
        <f>Head1</f>
        <v>2018/19</v>
      </c>
      <c r="D2" s="232" t="str">
        <f>Head2</f>
        <v>Budget Year 2019/20</v>
      </c>
      <c r="E2" s="230"/>
      <c r="F2" s="230"/>
      <c r="G2" s="230"/>
      <c r="H2" s="230"/>
      <c r="I2" s="230"/>
      <c r="J2" s="230"/>
      <c r="K2" s="231"/>
    </row>
    <row r="3" spans="1:12" ht="20.399999999999999" x14ac:dyDescent="0.25">
      <c r="A3" s="1021"/>
      <c r="B3" s="1019"/>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2076582716.55</v>
      </c>
      <c r="D6" s="614">
        <f t="shared" ref="D6:K6" si="0">D7+D10+D25</f>
        <v>3150801864</v>
      </c>
      <c r="E6" s="614">
        <f t="shared" si="0"/>
        <v>0</v>
      </c>
      <c r="F6" s="614">
        <f t="shared" si="0"/>
        <v>522224290.57850003</v>
      </c>
      <c r="G6" s="614">
        <f t="shared" si="0"/>
        <v>522224290.57850003</v>
      </c>
      <c r="H6" s="614">
        <f t="shared" si="0"/>
        <v>262566822</v>
      </c>
      <c r="I6" s="641">
        <f>G6-H6</f>
        <v>259657468.57850003</v>
      </c>
      <c r="J6" s="642">
        <f>IF(I6=0,"",I6/H6)</f>
        <v>0.98891956950486315</v>
      </c>
      <c r="K6" s="615">
        <f t="shared" si="0"/>
        <v>3150801864</v>
      </c>
      <c r="L6" s="101"/>
    </row>
    <row r="7" spans="1:12" x14ac:dyDescent="0.25">
      <c r="A7" s="616" t="s">
        <v>112</v>
      </c>
      <c r="B7" s="418"/>
      <c r="C7" s="617">
        <f>SUM(C8:C9)</f>
        <v>0</v>
      </c>
      <c r="D7" s="617">
        <f t="shared" ref="D7:K7" si="1">SUM(D8:D9)</f>
        <v>2003988</v>
      </c>
      <c r="E7" s="617">
        <f t="shared" si="1"/>
        <v>0</v>
      </c>
      <c r="F7" s="617">
        <f t="shared" si="1"/>
        <v>0</v>
      </c>
      <c r="G7" s="617">
        <f t="shared" si="1"/>
        <v>0</v>
      </c>
      <c r="H7" s="617">
        <f t="shared" si="1"/>
        <v>166999</v>
      </c>
      <c r="I7" s="617">
        <f t="shared" ref="I7:I124" si="2">G7-H7</f>
        <v>-166999</v>
      </c>
      <c r="J7" s="617">
        <f t="shared" ref="J7:J124" si="3">IF(I7=0,"",I7/H7)</f>
        <v>-1</v>
      </c>
      <c r="K7" s="619">
        <f t="shared" si="1"/>
        <v>2003988</v>
      </c>
      <c r="L7" s="101"/>
    </row>
    <row r="8" spans="1:12" x14ac:dyDescent="0.25">
      <c r="A8" s="704" t="s">
        <v>167</v>
      </c>
      <c r="B8" s="418"/>
      <c r="C8" s="743"/>
      <c r="D8" s="743">
        <v>2002992</v>
      </c>
      <c r="E8" s="743">
        <v>0</v>
      </c>
      <c r="F8" s="743">
        <v>0</v>
      </c>
      <c r="G8" s="743">
        <v>0</v>
      </c>
      <c r="H8" s="743">
        <f>D8/12</f>
        <v>166916</v>
      </c>
      <c r="I8" s="411">
        <f t="shared" si="2"/>
        <v>-166916</v>
      </c>
      <c r="J8" s="411">
        <f t="shared" si="3"/>
        <v>-1</v>
      </c>
      <c r="K8" s="745">
        <f>D8</f>
        <v>2002992</v>
      </c>
      <c r="L8" s="101"/>
    </row>
    <row r="9" spans="1:12" ht="20.399999999999999" x14ac:dyDescent="0.25">
      <c r="A9" s="704" t="s">
        <v>1158</v>
      </c>
      <c r="B9" s="418"/>
      <c r="C9" s="743"/>
      <c r="D9" s="743">
        <v>996</v>
      </c>
      <c r="E9" s="743">
        <v>0</v>
      </c>
      <c r="F9" s="743">
        <v>0</v>
      </c>
      <c r="G9" s="743">
        <v>0</v>
      </c>
      <c r="H9" s="743">
        <f>D9/12</f>
        <v>83</v>
      </c>
      <c r="I9" s="411">
        <f t="shared" si="2"/>
        <v>-83</v>
      </c>
      <c r="J9" s="411">
        <f t="shared" si="3"/>
        <v>-1</v>
      </c>
      <c r="K9" s="745">
        <f>D9</f>
        <v>996</v>
      </c>
      <c r="L9" s="101"/>
    </row>
    <row r="10" spans="1:12" x14ac:dyDescent="0.25">
      <c r="A10" s="616" t="s">
        <v>1159</v>
      </c>
      <c r="B10" s="418"/>
      <c r="C10" s="617">
        <f t="shared" ref="C10:H10" si="4">SUM(C11:C24)</f>
        <v>2076582716.55</v>
      </c>
      <c r="D10" s="617">
        <f>SUM(D11:D24)</f>
        <v>3148796880</v>
      </c>
      <c r="E10" s="617">
        <f t="shared" si="4"/>
        <v>0</v>
      </c>
      <c r="F10" s="617">
        <f t="shared" si="4"/>
        <v>522224290.57850003</v>
      </c>
      <c r="G10" s="617">
        <f t="shared" si="4"/>
        <v>522224290.57850003</v>
      </c>
      <c r="H10" s="617">
        <f t="shared" si="4"/>
        <v>262399740</v>
      </c>
      <c r="I10" s="617">
        <f>G10-H10</f>
        <v>259824550.57850003</v>
      </c>
      <c r="J10" s="617">
        <f>IF(I10=0,"",I10/H10)</f>
        <v>0.99018600619993002</v>
      </c>
      <c r="K10" s="617">
        <f>SUM(K11:K24)</f>
        <v>3148796880</v>
      </c>
      <c r="L10" s="101"/>
    </row>
    <row r="11" spans="1:12" x14ac:dyDescent="0.25">
      <c r="A11" s="704" t="s">
        <v>1160</v>
      </c>
      <c r="B11" s="418"/>
      <c r="C11" s="743">
        <v>13247.42</v>
      </c>
      <c r="D11" s="743">
        <v>3984</v>
      </c>
      <c r="E11" s="743">
        <v>0</v>
      </c>
      <c r="F11" s="743">
        <v>0</v>
      </c>
      <c r="G11" s="743">
        <v>0</v>
      </c>
      <c r="H11" s="743">
        <f t="shared" ref="H11:H24" si="5">D11/12</f>
        <v>332</v>
      </c>
      <c r="I11" s="411">
        <f t="shared" ref="I11:I16" si="6">G11-H11</f>
        <v>-332</v>
      </c>
      <c r="J11" s="411">
        <f t="shared" ref="J11:J16" si="7">IF(I11=0,"",I11/H11)</f>
        <v>-1</v>
      </c>
      <c r="K11" s="745">
        <f t="shared" ref="K11:K24" si="8">D11</f>
        <v>3984</v>
      </c>
      <c r="L11" s="101"/>
    </row>
    <row r="12" spans="1:12" x14ac:dyDescent="0.25">
      <c r="A12" s="704" t="s">
        <v>1161</v>
      </c>
      <c r="B12" s="418"/>
      <c r="C12" s="743">
        <v>0</v>
      </c>
      <c r="D12" s="743">
        <v>996</v>
      </c>
      <c r="E12" s="743">
        <v>0</v>
      </c>
      <c r="F12" s="743">
        <v>0</v>
      </c>
      <c r="G12" s="743">
        <v>0</v>
      </c>
      <c r="H12" s="743">
        <f t="shared" si="5"/>
        <v>83</v>
      </c>
      <c r="I12" s="411">
        <f t="shared" si="6"/>
        <v>-83</v>
      </c>
      <c r="J12" s="411">
        <f t="shared" si="7"/>
        <v>-1</v>
      </c>
      <c r="K12" s="745">
        <f t="shared" si="8"/>
        <v>996</v>
      </c>
      <c r="L12" s="101"/>
    </row>
    <row r="13" spans="1:12" x14ac:dyDescent="0.25">
      <c r="A13" s="704" t="s">
        <v>1162</v>
      </c>
      <c r="B13" s="418"/>
      <c r="C13" s="743">
        <v>1864011468.1900001</v>
      </c>
      <c r="D13" s="743">
        <v>3136358988</v>
      </c>
      <c r="E13" s="743">
        <v>0</v>
      </c>
      <c r="F13" s="743">
        <v>501714406.70850003</v>
      </c>
      <c r="G13" s="743">
        <v>501714406.70850003</v>
      </c>
      <c r="H13" s="980">
        <f t="shared" si="5"/>
        <v>261363249</v>
      </c>
      <c r="I13" s="411">
        <f t="shared" si="6"/>
        <v>240351157.70850003</v>
      </c>
      <c r="J13" s="411">
        <f t="shared" si="7"/>
        <v>0.91960579242914153</v>
      </c>
      <c r="K13" s="745">
        <f t="shared" si="8"/>
        <v>3136358988</v>
      </c>
      <c r="L13" s="101"/>
    </row>
    <row r="14" spans="1:12" x14ac:dyDescent="0.25">
      <c r="A14" s="704" t="s">
        <v>1163</v>
      </c>
      <c r="B14" s="418"/>
      <c r="C14" s="743">
        <v>26103302.260000002</v>
      </c>
      <c r="D14" s="743">
        <v>1992</v>
      </c>
      <c r="E14" s="743">
        <v>0</v>
      </c>
      <c r="F14" s="743">
        <v>0</v>
      </c>
      <c r="G14" s="743">
        <v>0</v>
      </c>
      <c r="H14" s="743">
        <f t="shared" si="5"/>
        <v>166</v>
      </c>
      <c r="I14" s="411">
        <f t="shared" si="6"/>
        <v>-166</v>
      </c>
      <c r="J14" s="411">
        <f t="shared" si="7"/>
        <v>-1</v>
      </c>
      <c r="K14" s="745">
        <f t="shared" si="8"/>
        <v>1992</v>
      </c>
      <c r="L14" s="101"/>
    </row>
    <row r="15" spans="1:12" x14ac:dyDescent="0.25">
      <c r="A15" s="704" t="s">
        <v>1164</v>
      </c>
      <c r="B15" s="418"/>
      <c r="C15" s="743">
        <v>4049917.56</v>
      </c>
      <c r="D15" s="743">
        <v>5662956</v>
      </c>
      <c r="E15" s="743">
        <v>0</v>
      </c>
      <c r="F15" s="743">
        <v>103.48</v>
      </c>
      <c r="G15" s="743">
        <v>103.48</v>
      </c>
      <c r="H15" s="743">
        <f t="shared" si="5"/>
        <v>471913</v>
      </c>
      <c r="I15" s="411">
        <f t="shared" si="6"/>
        <v>-471809.52</v>
      </c>
      <c r="J15" s="411">
        <f t="shared" si="7"/>
        <v>-0.99978072229415171</v>
      </c>
      <c r="K15" s="745">
        <f t="shared" si="8"/>
        <v>5662956</v>
      </c>
      <c r="L15" s="101"/>
    </row>
    <row r="16" spans="1:12" x14ac:dyDescent="0.25">
      <c r="A16" s="704" t="s">
        <v>168</v>
      </c>
      <c r="B16" s="418"/>
      <c r="C16" s="743">
        <v>6897.46</v>
      </c>
      <c r="D16" s="743">
        <v>3000</v>
      </c>
      <c r="E16" s="743">
        <v>0</v>
      </c>
      <c r="F16" s="743">
        <v>508.7</v>
      </c>
      <c r="G16" s="743">
        <v>508.7</v>
      </c>
      <c r="H16" s="743">
        <f t="shared" si="5"/>
        <v>250</v>
      </c>
      <c r="I16" s="411">
        <f t="shared" si="6"/>
        <v>258.7</v>
      </c>
      <c r="J16" s="411">
        <f t="shared" si="7"/>
        <v>1.0347999999999999</v>
      </c>
      <c r="K16" s="745">
        <f t="shared" si="8"/>
        <v>3000</v>
      </c>
      <c r="L16" s="101"/>
    </row>
    <row r="17" spans="1:12" x14ac:dyDescent="0.25">
      <c r="A17" s="704" t="s">
        <v>169</v>
      </c>
      <c r="B17" s="418"/>
      <c r="C17" s="743">
        <v>0</v>
      </c>
      <c r="D17" s="743">
        <v>996</v>
      </c>
      <c r="E17" s="743">
        <v>0</v>
      </c>
      <c r="F17" s="743">
        <v>0</v>
      </c>
      <c r="G17" s="743">
        <v>0</v>
      </c>
      <c r="H17" s="743">
        <f t="shared" si="5"/>
        <v>83</v>
      </c>
      <c r="I17" s="411">
        <f t="shared" ref="I17:I24" si="9">G17-H17</f>
        <v>-83</v>
      </c>
      <c r="J17" s="411">
        <f t="shared" ref="J17:J24" si="10">IF(I17=0,"",I17/H17)</f>
        <v>-1</v>
      </c>
      <c r="K17" s="745">
        <f t="shared" si="8"/>
        <v>996</v>
      </c>
      <c r="L17" s="101"/>
    </row>
    <row r="18" spans="1:12" x14ac:dyDescent="0.25">
      <c r="A18" s="704" t="s">
        <v>1165</v>
      </c>
      <c r="B18" s="418"/>
      <c r="C18" s="743">
        <v>0</v>
      </c>
      <c r="D18" s="743">
        <v>996</v>
      </c>
      <c r="E18" s="743">
        <v>0</v>
      </c>
      <c r="F18" s="743">
        <v>0</v>
      </c>
      <c r="G18" s="743">
        <v>0</v>
      </c>
      <c r="H18" s="743">
        <f t="shared" si="5"/>
        <v>83</v>
      </c>
      <c r="I18" s="411">
        <f t="shared" si="9"/>
        <v>-83</v>
      </c>
      <c r="J18" s="411">
        <f t="shared" si="10"/>
        <v>-1</v>
      </c>
      <c r="K18" s="745">
        <f t="shared" si="8"/>
        <v>996</v>
      </c>
      <c r="L18" s="101"/>
    </row>
    <row r="19" spans="1:12" ht="20.399999999999999" x14ac:dyDescent="0.25">
      <c r="A19" s="704" t="s">
        <v>1166</v>
      </c>
      <c r="B19" s="418"/>
      <c r="C19" s="743">
        <v>-19521678.440000001</v>
      </c>
      <c r="D19" s="743">
        <v>1992</v>
      </c>
      <c r="E19" s="743">
        <v>0</v>
      </c>
      <c r="F19" s="743">
        <v>32809.019999999997</v>
      </c>
      <c r="G19" s="743">
        <v>32809.019999999997</v>
      </c>
      <c r="H19" s="743">
        <f t="shared" si="5"/>
        <v>166</v>
      </c>
      <c r="I19" s="411">
        <f t="shared" si="9"/>
        <v>32643.019999999997</v>
      </c>
      <c r="J19" s="411">
        <f t="shared" si="10"/>
        <v>196.64469879518072</v>
      </c>
      <c r="K19" s="745">
        <f t="shared" si="8"/>
        <v>1992</v>
      </c>
      <c r="L19" s="101"/>
    </row>
    <row r="20" spans="1:12" x14ac:dyDescent="0.25">
      <c r="A20" s="704" t="s">
        <v>170</v>
      </c>
      <c r="B20" s="418"/>
      <c r="C20" s="743">
        <v>0</v>
      </c>
      <c r="D20" s="743">
        <v>996</v>
      </c>
      <c r="E20" s="743">
        <v>0</v>
      </c>
      <c r="F20" s="743">
        <v>0</v>
      </c>
      <c r="G20" s="743">
        <v>0</v>
      </c>
      <c r="H20" s="743">
        <f t="shared" si="5"/>
        <v>83</v>
      </c>
      <c r="I20" s="411">
        <f t="shared" si="9"/>
        <v>-83</v>
      </c>
      <c r="J20" s="411">
        <f t="shared" si="10"/>
        <v>-1</v>
      </c>
      <c r="K20" s="745">
        <f t="shared" si="8"/>
        <v>996</v>
      </c>
      <c r="L20" s="101"/>
    </row>
    <row r="21" spans="1:12" x14ac:dyDescent="0.25">
      <c r="A21" s="704" t="s">
        <v>1167</v>
      </c>
      <c r="B21" s="418"/>
      <c r="C21" s="743">
        <v>146432.06999999998</v>
      </c>
      <c r="D21" s="743">
        <v>14988</v>
      </c>
      <c r="E21" s="743">
        <v>0</v>
      </c>
      <c r="F21" s="743">
        <v>5441.61</v>
      </c>
      <c r="G21" s="743">
        <v>5441.61</v>
      </c>
      <c r="H21" s="743">
        <f t="shared" si="5"/>
        <v>1249</v>
      </c>
      <c r="I21" s="411">
        <f t="shared" si="9"/>
        <v>4192.6099999999997</v>
      </c>
      <c r="J21" s="411">
        <f t="shared" si="10"/>
        <v>3.3567734187349876</v>
      </c>
      <c r="K21" s="745">
        <f t="shared" si="8"/>
        <v>14988</v>
      </c>
      <c r="L21" s="101"/>
    </row>
    <row r="22" spans="1:12" x14ac:dyDescent="0.25">
      <c r="A22" s="704" t="s">
        <v>1168</v>
      </c>
      <c r="B22" s="418"/>
      <c r="C22" s="743">
        <v>-3015910.3200000003</v>
      </c>
      <c r="D22" s="743">
        <v>6744996</v>
      </c>
      <c r="E22" s="743">
        <v>0</v>
      </c>
      <c r="F22" s="743">
        <v>3840.79</v>
      </c>
      <c r="G22" s="743">
        <v>3840.79</v>
      </c>
      <c r="H22" s="743">
        <f t="shared" si="5"/>
        <v>562083</v>
      </c>
      <c r="I22" s="411">
        <f t="shared" si="9"/>
        <v>-558242.21</v>
      </c>
      <c r="J22" s="411">
        <f t="shared" si="10"/>
        <v>-0.99316686325684989</v>
      </c>
      <c r="K22" s="745">
        <f t="shared" si="8"/>
        <v>6744996</v>
      </c>
      <c r="L22" s="101"/>
    </row>
    <row r="23" spans="1:12" x14ac:dyDescent="0.25">
      <c r="A23" s="704" t="s">
        <v>1169</v>
      </c>
      <c r="B23" s="418"/>
      <c r="C23" s="743">
        <v>204789040.34999999</v>
      </c>
      <c r="D23" s="743">
        <v>0</v>
      </c>
      <c r="E23" s="743">
        <v>0</v>
      </c>
      <c r="F23" s="743">
        <v>20467180.269999996</v>
      </c>
      <c r="G23" s="743">
        <v>20467180.269999996</v>
      </c>
      <c r="H23" s="743">
        <f t="shared" si="5"/>
        <v>0</v>
      </c>
      <c r="I23" s="411">
        <f t="shared" si="9"/>
        <v>20467180.269999996</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0</v>
      </c>
      <c r="F27" s="614">
        <f t="shared" si="12"/>
        <v>583505.54999999993</v>
      </c>
      <c r="G27" s="614">
        <f t="shared" si="12"/>
        <v>583505.54999999993</v>
      </c>
      <c r="H27" s="614">
        <f t="shared" si="12"/>
        <v>1899241</v>
      </c>
      <c r="I27" s="614">
        <f t="shared" si="2"/>
        <v>-1315735.4500000002</v>
      </c>
      <c r="J27" s="614">
        <f t="shared" si="3"/>
        <v>-0.69276908512400492</v>
      </c>
      <c r="K27" s="615">
        <f t="shared" si="12"/>
        <v>22790892</v>
      </c>
      <c r="L27" s="101"/>
    </row>
    <row r="28" spans="1:12" x14ac:dyDescent="0.25">
      <c r="A28" s="616" t="s">
        <v>114</v>
      </c>
      <c r="B28" s="418"/>
      <c r="C28" s="620">
        <f t="shared" ref="C28:H28" si="13">SUM(C29:C49)</f>
        <v>294893.93</v>
      </c>
      <c r="D28" s="620">
        <f t="shared" si="13"/>
        <v>1700964</v>
      </c>
      <c r="E28" s="620">
        <f t="shared" si="13"/>
        <v>0</v>
      </c>
      <c r="F28" s="620">
        <f t="shared" si="13"/>
        <v>219400.94000000003</v>
      </c>
      <c r="G28" s="620">
        <f t="shared" si="13"/>
        <v>219400.94000000003</v>
      </c>
      <c r="H28" s="620">
        <f t="shared" si="13"/>
        <v>141747</v>
      </c>
      <c r="I28" s="620">
        <f t="shared" si="2"/>
        <v>77653.940000000031</v>
      </c>
      <c r="J28" s="620">
        <f t="shared" si="3"/>
        <v>0.54783480426393527</v>
      </c>
      <c r="K28" s="620">
        <f>SUM(K29:K49)</f>
        <v>1700964</v>
      </c>
      <c r="L28" s="101"/>
    </row>
    <row r="29" spans="1:12" x14ac:dyDescent="0.25">
      <c r="A29" s="704" t="s">
        <v>172</v>
      </c>
      <c r="B29" s="418"/>
      <c r="C29" s="743">
        <v>0</v>
      </c>
      <c r="D29" s="743">
        <v>0</v>
      </c>
      <c r="E29" s="743">
        <v>0</v>
      </c>
      <c r="F29" s="743">
        <v>0</v>
      </c>
      <c r="G29" s="743">
        <v>0</v>
      </c>
      <c r="H29" s="743">
        <f t="shared" ref="H29:H49" si="14">D29/12</f>
        <v>0</v>
      </c>
      <c r="I29" s="411">
        <f t="shared" ref="I29:I35"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0</v>
      </c>
      <c r="F32" s="743">
        <v>139606.14000000001</v>
      </c>
      <c r="G32" s="743">
        <v>139606.14000000001</v>
      </c>
      <c r="H32" s="743">
        <f t="shared" si="14"/>
        <v>93833</v>
      </c>
      <c r="I32" s="411">
        <f t="shared" si="15"/>
        <v>45773.140000000014</v>
      </c>
      <c r="J32" s="411">
        <f t="shared" si="16"/>
        <v>0.48781494783285212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0</v>
      </c>
      <c r="F34" s="743">
        <v>50129.2</v>
      </c>
      <c r="G34" s="743">
        <v>50129.2</v>
      </c>
      <c r="H34" s="743">
        <f t="shared" si="14"/>
        <v>83</v>
      </c>
      <c r="I34" s="411">
        <f t="shared" si="15"/>
        <v>50046.2</v>
      </c>
      <c r="J34" s="411">
        <f t="shared" si="16"/>
        <v>602.96626506024097</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0</v>
      </c>
      <c r="F36" s="743">
        <v>0</v>
      </c>
      <c r="G36" s="743">
        <v>0</v>
      </c>
      <c r="H36" s="743">
        <f t="shared" si="14"/>
        <v>166</v>
      </c>
      <c r="I36" s="411">
        <f t="shared" ref="I36:I41" si="18">G36-H36</f>
        <v>-166</v>
      </c>
      <c r="J36" s="411">
        <f t="shared" ref="J36:J41" si="19">IF(I36=0,"",I36/H36)</f>
        <v>-1</v>
      </c>
      <c r="K36" s="745">
        <f t="shared" si="17"/>
        <v>1992</v>
      </c>
      <c r="L36" s="101"/>
    </row>
    <row r="37" spans="1:12" x14ac:dyDescent="0.25">
      <c r="A37" s="704" t="s">
        <v>1180</v>
      </c>
      <c r="B37" s="418"/>
      <c r="C37" s="743">
        <v>0</v>
      </c>
      <c r="D37" s="743">
        <v>996</v>
      </c>
      <c r="E37" s="743">
        <v>0</v>
      </c>
      <c r="F37" s="743">
        <v>0</v>
      </c>
      <c r="G37" s="743">
        <v>0</v>
      </c>
      <c r="H37" s="743">
        <f t="shared" si="14"/>
        <v>83</v>
      </c>
      <c r="I37" s="411">
        <f t="shared" si="18"/>
        <v>-83</v>
      </c>
      <c r="J37" s="411">
        <f t="shared" si="19"/>
        <v>-1</v>
      </c>
      <c r="K37" s="745">
        <f t="shared" si="17"/>
        <v>996</v>
      </c>
      <c r="L37" s="101"/>
    </row>
    <row r="38" spans="1:12" x14ac:dyDescent="0.25">
      <c r="A38" s="704" t="s">
        <v>1034</v>
      </c>
      <c r="B38" s="418"/>
      <c r="C38" s="743">
        <v>0</v>
      </c>
      <c r="D38" s="743">
        <v>0</v>
      </c>
      <c r="E38" s="743">
        <v>0</v>
      </c>
      <c r="F38" s="743">
        <v>0</v>
      </c>
      <c r="G38" s="743">
        <v>0</v>
      </c>
      <c r="H38" s="743">
        <f t="shared" si="14"/>
        <v>0</v>
      </c>
      <c r="I38" s="411">
        <f t="shared" si="18"/>
        <v>0</v>
      </c>
      <c r="J38" s="411" t="str">
        <f t="shared" si="19"/>
        <v/>
      </c>
      <c r="K38" s="745">
        <f t="shared" si="17"/>
        <v>0</v>
      </c>
      <c r="L38" s="101"/>
    </row>
    <row r="39" spans="1:12" x14ac:dyDescent="0.25">
      <c r="A39" s="704" t="s">
        <v>1181</v>
      </c>
      <c r="B39" s="418"/>
      <c r="C39" s="743">
        <v>0</v>
      </c>
      <c r="D39" s="743">
        <v>0</v>
      </c>
      <c r="E39" s="743">
        <v>0</v>
      </c>
      <c r="F39" s="743">
        <v>0</v>
      </c>
      <c r="G39" s="743">
        <v>0</v>
      </c>
      <c r="H39" s="743">
        <f t="shared" si="14"/>
        <v>0</v>
      </c>
      <c r="I39" s="411">
        <f t="shared" si="18"/>
        <v>0</v>
      </c>
      <c r="J39" s="411" t="str">
        <f t="shared" si="19"/>
        <v/>
      </c>
      <c r="K39" s="745">
        <f t="shared" si="17"/>
        <v>0</v>
      </c>
      <c r="L39" s="101"/>
    </row>
    <row r="40" spans="1:12" x14ac:dyDescent="0.25">
      <c r="A40" s="704" t="s">
        <v>1182</v>
      </c>
      <c r="B40" s="418"/>
      <c r="C40" s="743">
        <v>0</v>
      </c>
      <c r="D40" s="743">
        <v>0</v>
      </c>
      <c r="E40" s="743">
        <v>0</v>
      </c>
      <c r="F40" s="743">
        <v>0</v>
      </c>
      <c r="G40" s="743">
        <v>0</v>
      </c>
      <c r="H40" s="743">
        <f t="shared" si="14"/>
        <v>0</v>
      </c>
      <c r="I40" s="411">
        <f t="shared" si="18"/>
        <v>0</v>
      </c>
      <c r="J40" s="411" t="str">
        <f t="shared" si="19"/>
        <v/>
      </c>
      <c r="K40" s="745">
        <f t="shared" si="17"/>
        <v>0</v>
      </c>
      <c r="L40" s="101"/>
    </row>
    <row r="41" spans="1:12" x14ac:dyDescent="0.25">
      <c r="A41" s="704" t="s">
        <v>1183</v>
      </c>
      <c r="B41" s="418"/>
      <c r="C41" s="743">
        <v>0</v>
      </c>
      <c r="D41" s="743">
        <v>0</v>
      </c>
      <c r="E41" s="743">
        <v>0</v>
      </c>
      <c r="F41" s="743">
        <v>0</v>
      </c>
      <c r="G41" s="743">
        <v>0</v>
      </c>
      <c r="H41" s="743">
        <f t="shared" si="14"/>
        <v>0</v>
      </c>
      <c r="I41" s="411">
        <f t="shared" si="18"/>
        <v>0</v>
      </c>
      <c r="J41" s="411" t="str">
        <f t="shared" si="19"/>
        <v/>
      </c>
      <c r="K41" s="745">
        <f t="shared" si="17"/>
        <v>0</v>
      </c>
      <c r="L41" s="101"/>
    </row>
    <row r="42" spans="1:12" x14ac:dyDescent="0.25">
      <c r="A42" s="704" t="s">
        <v>171</v>
      </c>
      <c r="B42" s="418"/>
      <c r="C42" s="743">
        <v>145529.10999999999</v>
      </c>
      <c r="D42" s="743">
        <v>359988</v>
      </c>
      <c r="E42" s="743">
        <v>0</v>
      </c>
      <c r="F42" s="743">
        <v>20669.939999999999</v>
      </c>
      <c r="G42" s="743">
        <v>20669.939999999999</v>
      </c>
      <c r="H42" s="743">
        <f t="shared" si="14"/>
        <v>29999</v>
      </c>
      <c r="I42" s="411">
        <f t="shared" si="2"/>
        <v>-9329.0600000000013</v>
      </c>
      <c r="J42" s="411">
        <f t="shared" si="3"/>
        <v>-0.31097903263442117</v>
      </c>
      <c r="K42" s="745">
        <f t="shared" si="17"/>
        <v>359988</v>
      </c>
      <c r="L42" s="101"/>
    </row>
    <row r="43" spans="1:12" x14ac:dyDescent="0.25">
      <c r="A43" s="704" t="s">
        <v>1184</v>
      </c>
      <c r="B43" s="418"/>
      <c r="C43" s="743">
        <v>0</v>
      </c>
      <c r="D43" s="743">
        <v>0</v>
      </c>
      <c r="E43" s="743">
        <v>0</v>
      </c>
      <c r="F43" s="743">
        <v>0</v>
      </c>
      <c r="G43" s="743">
        <v>0</v>
      </c>
      <c r="H43" s="743">
        <f t="shared" si="14"/>
        <v>0</v>
      </c>
      <c r="I43" s="411">
        <f t="shared" si="2"/>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2"/>
        <v>0</v>
      </c>
      <c r="J44" s="411" t="str">
        <f t="shared" si="3"/>
        <v/>
      </c>
      <c r="K44" s="745">
        <f t="shared" si="17"/>
        <v>0</v>
      </c>
      <c r="L44" s="101"/>
    </row>
    <row r="45" spans="1:12" x14ac:dyDescent="0.25">
      <c r="A45" s="704" t="s">
        <v>1186</v>
      </c>
      <c r="B45" s="418"/>
      <c r="C45" s="743">
        <v>88345.440000000017</v>
      </c>
      <c r="D45" s="743">
        <v>210996</v>
      </c>
      <c r="E45" s="743">
        <v>0</v>
      </c>
      <c r="F45" s="743">
        <v>8995.66</v>
      </c>
      <c r="G45" s="743">
        <v>8995.66</v>
      </c>
      <c r="H45" s="743">
        <f t="shared" si="14"/>
        <v>17583</v>
      </c>
      <c r="I45" s="411">
        <f t="shared" si="2"/>
        <v>-8587.34</v>
      </c>
      <c r="J45" s="411">
        <f t="shared" si="3"/>
        <v>-0.48838878462150942</v>
      </c>
      <c r="K45" s="745">
        <f t="shared" si="17"/>
        <v>210996</v>
      </c>
      <c r="L45" s="101"/>
    </row>
    <row r="46" spans="1:12" x14ac:dyDescent="0.25">
      <c r="A46" s="704" t="s">
        <v>1187</v>
      </c>
      <c r="B46" s="418"/>
      <c r="C46" s="743">
        <v>0</v>
      </c>
      <c r="D46" s="743">
        <v>0</v>
      </c>
      <c r="E46" s="743">
        <v>0</v>
      </c>
      <c r="F46" s="743">
        <v>0</v>
      </c>
      <c r="G46" s="743">
        <v>0</v>
      </c>
      <c r="H46" s="743">
        <f t="shared" si="14"/>
        <v>0</v>
      </c>
      <c r="I46" s="411">
        <f t="shared" si="2"/>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2"/>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2"/>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2"/>
        <v>0</v>
      </c>
      <c r="J49" s="411" t="str">
        <f t="shared" si="3"/>
        <v/>
      </c>
      <c r="K49" s="745">
        <f t="shared" si="17"/>
        <v>0</v>
      </c>
      <c r="L49" s="101"/>
    </row>
    <row r="50" spans="1:12" x14ac:dyDescent="0.25">
      <c r="A50" s="616" t="s">
        <v>115</v>
      </c>
      <c r="B50" s="418"/>
      <c r="C50" s="620">
        <f>SUM(C51:C55)</f>
        <v>26732122.819999997</v>
      </c>
      <c r="D50" s="620">
        <f t="shared" ref="D50:K50" si="20">SUM(D51:D55)</f>
        <v>11874948</v>
      </c>
      <c r="E50" s="620">
        <f t="shared" si="20"/>
        <v>0</v>
      </c>
      <c r="F50" s="620">
        <f t="shared" si="20"/>
        <v>230734.85999999996</v>
      </c>
      <c r="G50" s="620">
        <f t="shared" si="20"/>
        <v>230734.85999999996</v>
      </c>
      <c r="H50" s="620">
        <f t="shared" si="20"/>
        <v>989579</v>
      </c>
      <c r="I50" s="620">
        <f t="shared" ref="I50:I55" si="21">G50-H50</f>
        <v>-758844.14</v>
      </c>
      <c r="J50" s="620">
        <f t="shared" ref="J50:J55" si="22">IF(I50=0,"",I50/H50)</f>
        <v>-0.76683533098418621</v>
      </c>
      <c r="K50" s="623">
        <f t="shared" si="20"/>
        <v>11874948</v>
      </c>
      <c r="L50" s="101"/>
    </row>
    <row r="51" spans="1:12" x14ac:dyDescent="0.25">
      <c r="A51" s="704" t="s">
        <v>1191</v>
      </c>
      <c r="B51" s="418"/>
      <c r="C51" s="743">
        <v>0</v>
      </c>
      <c r="D51" s="743">
        <v>0</v>
      </c>
      <c r="E51" s="743">
        <v>0</v>
      </c>
      <c r="F51" s="743">
        <v>0</v>
      </c>
      <c r="G51" s="743">
        <v>0</v>
      </c>
      <c r="H51" s="743">
        <f t="shared" ref="H51:H55" si="23">D51/12</f>
        <v>0</v>
      </c>
      <c r="I51" s="411">
        <f t="shared" si="21"/>
        <v>0</v>
      </c>
      <c r="J51" s="411" t="str">
        <f t="shared" si="22"/>
        <v/>
      </c>
      <c r="K51" s="745">
        <f t="shared" ref="K51:K55" si="24">D51</f>
        <v>0</v>
      </c>
      <c r="L51" s="101"/>
    </row>
    <row r="52" spans="1:12" x14ac:dyDescent="0.25">
      <c r="A52" s="704" t="s">
        <v>1192</v>
      </c>
      <c r="B52" s="418"/>
      <c r="C52" s="743">
        <v>0</v>
      </c>
      <c r="D52" s="743">
        <v>0</v>
      </c>
      <c r="E52" s="743">
        <v>0</v>
      </c>
      <c r="F52" s="743">
        <v>0</v>
      </c>
      <c r="G52" s="743">
        <v>0</v>
      </c>
      <c r="H52" s="743">
        <f t="shared" si="23"/>
        <v>0</v>
      </c>
      <c r="I52" s="411">
        <f t="shared" si="21"/>
        <v>0</v>
      </c>
      <c r="J52" s="411" t="str">
        <f t="shared" si="22"/>
        <v/>
      </c>
      <c r="K52" s="745">
        <f t="shared" si="24"/>
        <v>0</v>
      </c>
      <c r="L52" s="101"/>
    </row>
    <row r="53" spans="1:12" x14ac:dyDescent="0.25">
      <c r="A53" s="704" t="s">
        <v>1193</v>
      </c>
      <c r="B53" s="418"/>
      <c r="C53" s="743">
        <v>6310176.4399999995</v>
      </c>
      <c r="D53" s="743">
        <v>207000</v>
      </c>
      <c r="E53" s="743">
        <v>0</v>
      </c>
      <c r="F53" s="743">
        <v>95856.729999999981</v>
      </c>
      <c r="G53" s="743">
        <v>95856.729999999981</v>
      </c>
      <c r="H53" s="743">
        <f t="shared" si="23"/>
        <v>17250</v>
      </c>
      <c r="I53" s="411">
        <f t="shared" si="21"/>
        <v>78606.729999999981</v>
      </c>
      <c r="J53" s="411">
        <f t="shared" si="22"/>
        <v>4.5569118840579703</v>
      </c>
      <c r="K53" s="745">
        <f t="shared" si="24"/>
        <v>207000</v>
      </c>
      <c r="L53" s="101"/>
    </row>
    <row r="54" spans="1:12" x14ac:dyDescent="0.25">
      <c r="A54" s="704" t="s">
        <v>1194</v>
      </c>
      <c r="B54" s="418"/>
      <c r="C54" s="743">
        <v>20100298.969999999</v>
      </c>
      <c r="D54" s="743">
        <v>11667948</v>
      </c>
      <c r="E54" s="743">
        <v>0</v>
      </c>
      <c r="F54" s="743">
        <v>117489.36</v>
      </c>
      <c r="G54" s="743">
        <v>117489.36</v>
      </c>
      <c r="H54" s="743">
        <f t="shared" si="23"/>
        <v>972329</v>
      </c>
      <c r="I54" s="411">
        <f t="shared" si="21"/>
        <v>-854839.64</v>
      </c>
      <c r="J54" s="411">
        <f t="shared" si="22"/>
        <v>-0.87916707205071531</v>
      </c>
      <c r="K54" s="745">
        <f t="shared" si="24"/>
        <v>11667948</v>
      </c>
      <c r="L54" s="101"/>
    </row>
    <row r="55" spans="1:12" x14ac:dyDescent="0.25">
      <c r="A55" s="704" t="s">
        <v>1195</v>
      </c>
      <c r="B55" s="418"/>
      <c r="C55" s="743">
        <v>321647.40999999997</v>
      </c>
      <c r="D55" s="743">
        <v>0</v>
      </c>
      <c r="E55" s="743">
        <v>0</v>
      </c>
      <c r="F55" s="743">
        <v>17388.77</v>
      </c>
      <c r="G55" s="743">
        <v>17388.77</v>
      </c>
      <c r="H55" s="743">
        <f t="shared" si="23"/>
        <v>0</v>
      </c>
      <c r="I55" s="411">
        <f t="shared" si="21"/>
        <v>17388.77</v>
      </c>
      <c r="J55" s="411" t="e">
        <f t="shared" si="22"/>
        <v>#DIV/0!</v>
      </c>
      <c r="K55" s="745">
        <f t="shared" si="24"/>
        <v>0</v>
      </c>
      <c r="L55" s="101"/>
    </row>
    <row r="56" spans="1:12" x14ac:dyDescent="0.25">
      <c r="A56" s="616" t="s">
        <v>116</v>
      </c>
      <c r="B56" s="418"/>
      <c r="C56" s="620">
        <f>SUM(C57:C62)</f>
        <v>532618.05999999994</v>
      </c>
      <c r="D56" s="620">
        <f t="shared" ref="D56:K56" si="25">SUM(D57:D62)</f>
        <v>354000</v>
      </c>
      <c r="E56" s="620">
        <f t="shared" si="25"/>
        <v>0</v>
      </c>
      <c r="F56" s="620">
        <f t="shared" si="25"/>
        <v>48041.61</v>
      </c>
      <c r="G56" s="620">
        <f t="shared" si="25"/>
        <v>48041.61</v>
      </c>
      <c r="H56" s="620">
        <f t="shared" si="25"/>
        <v>29500</v>
      </c>
      <c r="I56" s="620">
        <f t="shared" si="2"/>
        <v>18541.61</v>
      </c>
      <c r="J56" s="620">
        <f t="shared" si="3"/>
        <v>0.62852915254237285</v>
      </c>
      <c r="K56" s="623">
        <f t="shared" si="25"/>
        <v>354000</v>
      </c>
      <c r="L56" s="101"/>
    </row>
    <row r="57" spans="1:12" x14ac:dyDescent="0.25">
      <c r="A57" s="704" t="s">
        <v>174</v>
      </c>
      <c r="B57" s="418"/>
      <c r="C57" s="743">
        <v>1072</v>
      </c>
      <c r="D57" s="743">
        <v>0</v>
      </c>
      <c r="E57" s="743">
        <v>0</v>
      </c>
      <c r="F57" s="743">
        <v>0</v>
      </c>
      <c r="G57" s="743">
        <v>0</v>
      </c>
      <c r="H57" s="743">
        <f t="shared" ref="H57:H61" si="26">D57/12</f>
        <v>0</v>
      </c>
      <c r="I57" s="411">
        <f t="shared" si="2"/>
        <v>0</v>
      </c>
      <c r="J57" s="411" t="str">
        <f t="shared" si="3"/>
        <v/>
      </c>
      <c r="K57" s="745">
        <f t="shared" ref="K57:K62" si="27">D57</f>
        <v>0</v>
      </c>
      <c r="L57" s="101"/>
    </row>
    <row r="58" spans="1:12" x14ac:dyDescent="0.25">
      <c r="A58" s="704" t="s">
        <v>1196</v>
      </c>
      <c r="B58" s="418"/>
      <c r="C58" s="743"/>
      <c r="D58" s="743"/>
      <c r="E58" s="743">
        <v>0</v>
      </c>
      <c r="F58" s="743"/>
      <c r="G58" s="743"/>
      <c r="H58" s="743">
        <f t="shared" si="26"/>
        <v>0</v>
      </c>
      <c r="I58" s="411">
        <f t="shared" si="2"/>
        <v>0</v>
      </c>
      <c r="J58" s="411" t="str">
        <f t="shared" si="3"/>
        <v/>
      </c>
      <c r="K58" s="745">
        <f t="shared" si="27"/>
        <v>0</v>
      </c>
      <c r="L58" s="101"/>
    </row>
    <row r="59" spans="1:12" x14ac:dyDescent="0.25">
      <c r="A59" s="704" t="s">
        <v>1197</v>
      </c>
      <c r="B59" s="418"/>
      <c r="C59" s="743"/>
      <c r="D59" s="743"/>
      <c r="E59" s="743">
        <v>0</v>
      </c>
      <c r="F59" s="743"/>
      <c r="G59" s="743"/>
      <c r="H59" s="743">
        <f t="shared" si="26"/>
        <v>0</v>
      </c>
      <c r="I59" s="411">
        <f>G59-H59</f>
        <v>0</v>
      </c>
      <c r="J59" s="411" t="str">
        <f>IF(I59=0,"",I59/H59)</f>
        <v/>
      </c>
      <c r="K59" s="745">
        <f t="shared" si="27"/>
        <v>0</v>
      </c>
      <c r="L59" s="101"/>
    </row>
    <row r="60" spans="1:12" x14ac:dyDescent="0.25">
      <c r="A60" s="704" t="s">
        <v>1198</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1199</v>
      </c>
      <c r="B61" s="418"/>
      <c r="C61" s="743">
        <v>531546.05999999994</v>
      </c>
      <c r="D61" s="743">
        <v>354000</v>
      </c>
      <c r="E61" s="743">
        <v>0</v>
      </c>
      <c r="F61" s="743">
        <v>48041.61</v>
      </c>
      <c r="G61" s="743">
        <v>48041.61</v>
      </c>
      <c r="H61" s="743">
        <f t="shared" si="26"/>
        <v>29500</v>
      </c>
      <c r="I61" s="411">
        <f t="shared" si="2"/>
        <v>18541.61</v>
      </c>
      <c r="J61" s="411">
        <f t="shared" si="3"/>
        <v>0.62852915254237285</v>
      </c>
      <c r="K61" s="745">
        <f t="shared" si="27"/>
        <v>354000</v>
      </c>
      <c r="L61" s="101"/>
    </row>
    <row r="62" spans="1:12" x14ac:dyDescent="0.25">
      <c r="A62" s="704" t="s">
        <v>1200</v>
      </c>
      <c r="B62" s="418"/>
      <c r="C62" s="743"/>
      <c r="D62" s="743"/>
      <c r="E62" s="743">
        <v>0</v>
      </c>
      <c r="F62" s="743"/>
      <c r="G62" s="743"/>
      <c r="H62" s="743">
        <f t="shared" ref="H62" si="28">D62/12*7</f>
        <v>0</v>
      </c>
      <c r="I62" s="411">
        <f t="shared" si="2"/>
        <v>0</v>
      </c>
      <c r="J62" s="411" t="str">
        <f t="shared" si="3"/>
        <v/>
      </c>
      <c r="K62" s="745">
        <f t="shared" si="27"/>
        <v>0</v>
      </c>
      <c r="L62" s="101"/>
    </row>
    <row r="63" spans="1:12" x14ac:dyDescent="0.25">
      <c r="A63" s="616" t="s">
        <v>733</v>
      </c>
      <c r="B63" s="418"/>
      <c r="C63" s="620">
        <f t="shared" ref="C63:H63" si="29">SUM(C64:C65)</f>
        <v>305517.13</v>
      </c>
      <c r="D63" s="620">
        <f t="shared" si="29"/>
        <v>8857992</v>
      </c>
      <c r="E63" s="620">
        <f t="shared" si="29"/>
        <v>0</v>
      </c>
      <c r="F63" s="620">
        <f t="shared" si="29"/>
        <v>85104.14</v>
      </c>
      <c r="G63" s="620">
        <f t="shared" si="29"/>
        <v>85104.14</v>
      </c>
      <c r="H63" s="620">
        <f t="shared" si="29"/>
        <v>738166</v>
      </c>
      <c r="I63" s="620">
        <f>G63-H63</f>
        <v>-653061.86</v>
      </c>
      <c r="J63" s="620">
        <f>IF(I63=0,"",I63/H63)</f>
        <v>-0.88470866986558572</v>
      </c>
      <c r="K63" s="623">
        <f>SUM(K64:K65)</f>
        <v>8857992</v>
      </c>
      <c r="L63" s="101"/>
    </row>
    <row r="64" spans="1:12" x14ac:dyDescent="0.25">
      <c r="A64" s="704" t="s">
        <v>733</v>
      </c>
      <c r="B64" s="418"/>
      <c r="C64" s="743">
        <v>305517.13</v>
      </c>
      <c r="D64" s="743">
        <v>8857992</v>
      </c>
      <c r="E64" s="743">
        <v>0</v>
      </c>
      <c r="F64" s="743">
        <v>85104.14</v>
      </c>
      <c r="G64" s="743">
        <v>85104.14</v>
      </c>
      <c r="H64" s="743">
        <f>D64/12</f>
        <v>738166</v>
      </c>
      <c r="I64" s="411">
        <f>G64-H64</f>
        <v>-653061.86</v>
      </c>
      <c r="J64" s="411">
        <f>IF(I64=0,"",I64/H64)</f>
        <v>-0.88470866986558572</v>
      </c>
      <c r="K64" s="745">
        <f>D64</f>
        <v>8857992</v>
      </c>
      <c r="L64" s="101"/>
    </row>
    <row r="65" spans="1:12" x14ac:dyDescent="0.25">
      <c r="A65" s="704" t="s">
        <v>1201</v>
      </c>
      <c r="B65" s="418"/>
      <c r="C65" s="743"/>
      <c r="D65" s="743"/>
      <c r="E65" s="743"/>
      <c r="F65" s="743"/>
      <c r="G65" s="743"/>
      <c r="H65" s="743">
        <f>D65/12*7</f>
        <v>0</v>
      </c>
      <c r="I65" s="411">
        <f>G65-H65</f>
        <v>0</v>
      </c>
      <c r="J65" s="411" t="str">
        <f>IF(I65=0,"",I65/H65)</f>
        <v/>
      </c>
      <c r="K65" s="745"/>
      <c r="L65" s="101"/>
    </row>
    <row r="66" spans="1:12" x14ac:dyDescent="0.25">
      <c r="A66" s="616" t="s">
        <v>630</v>
      </c>
      <c r="B66" s="418"/>
      <c r="C66" s="620">
        <f t="shared" ref="C66:H66" si="30">SUM(C67:C73)</f>
        <v>0</v>
      </c>
      <c r="D66" s="620">
        <f t="shared" si="30"/>
        <v>2988</v>
      </c>
      <c r="E66" s="620">
        <f t="shared" si="30"/>
        <v>0</v>
      </c>
      <c r="F66" s="620">
        <f t="shared" si="30"/>
        <v>224</v>
      </c>
      <c r="G66" s="620">
        <f t="shared" si="30"/>
        <v>224</v>
      </c>
      <c r="H66" s="620">
        <f t="shared" si="30"/>
        <v>249</v>
      </c>
      <c r="I66" s="620">
        <f t="shared" si="2"/>
        <v>-25</v>
      </c>
      <c r="J66" s="620">
        <f t="shared" si="3"/>
        <v>-0.10040160642570281</v>
      </c>
      <c r="K66" s="620">
        <f>SUM(K67:K73)</f>
        <v>2988</v>
      </c>
      <c r="L66" s="101"/>
    </row>
    <row r="67" spans="1:12" x14ac:dyDescent="0.25">
      <c r="A67" s="704" t="s">
        <v>534</v>
      </c>
      <c r="B67" s="418"/>
      <c r="C67" s="743">
        <v>0</v>
      </c>
      <c r="D67" s="743">
        <v>0</v>
      </c>
      <c r="E67" s="743">
        <v>0</v>
      </c>
      <c r="F67" s="743">
        <v>0</v>
      </c>
      <c r="G67" s="743">
        <v>0</v>
      </c>
      <c r="H67" s="743">
        <v>0</v>
      </c>
      <c r="I67" s="411">
        <f t="shared" si="2"/>
        <v>0</v>
      </c>
      <c r="J67" s="411" t="str">
        <f t="shared" si="3"/>
        <v/>
      </c>
      <c r="K67" s="745"/>
      <c r="L67" s="101"/>
    </row>
    <row r="68" spans="1:12" x14ac:dyDescent="0.25">
      <c r="A68" s="704" t="s">
        <v>1202</v>
      </c>
      <c r="B68" s="418"/>
      <c r="C68" s="743">
        <v>0</v>
      </c>
      <c r="D68" s="743">
        <v>2988</v>
      </c>
      <c r="E68" s="743">
        <v>0</v>
      </c>
      <c r="F68" s="743">
        <v>224</v>
      </c>
      <c r="G68" s="743">
        <v>224</v>
      </c>
      <c r="H68" s="743">
        <v>249</v>
      </c>
      <c r="I68" s="411">
        <f t="shared" si="2"/>
        <v>-25</v>
      </c>
      <c r="J68" s="411">
        <f t="shared" si="3"/>
        <v>-0.10040160642570281</v>
      </c>
      <c r="K68" s="745">
        <f>D68</f>
        <v>2988</v>
      </c>
      <c r="L68" s="101"/>
    </row>
    <row r="69" spans="1:12" x14ac:dyDescent="0.25">
      <c r="A69" s="704" t="s">
        <v>1203</v>
      </c>
      <c r="B69" s="418"/>
      <c r="C69" s="743"/>
      <c r="D69" s="743"/>
      <c r="E69" s="743"/>
      <c r="F69" s="743"/>
      <c r="G69" s="743"/>
      <c r="H69" s="743">
        <f t="shared" ref="H69:H73" si="31">D69/12*7</f>
        <v>0</v>
      </c>
      <c r="I69" s="411">
        <f>G69-H69</f>
        <v>0</v>
      </c>
      <c r="J69" s="411" t="str">
        <f>IF(I69=0,"",I69/H69)</f>
        <v/>
      </c>
      <c r="K69" s="745"/>
      <c r="L69" s="101"/>
    </row>
    <row r="70" spans="1:12" x14ac:dyDescent="0.25">
      <c r="A70" s="704" t="s">
        <v>1204</v>
      </c>
      <c r="B70" s="418"/>
      <c r="C70" s="743"/>
      <c r="D70" s="743"/>
      <c r="E70" s="743"/>
      <c r="F70" s="743"/>
      <c r="G70" s="743"/>
      <c r="H70" s="743">
        <f t="shared" si="31"/>
        <v>0</v>
      </c>
      <c r="I70" s="411">
        <f>G70-H70</f>
        <v>0</v>
      </c>
      <c r="J70" s="411" t="str">
        <f>IF(I70=0,"",I70/H70)</f>
        <v/>
      </c>
      <c r="K70" s="745"/>
      <c r="L70" s="101"/>
    </row>
    <row r="71" spans="1:12" ht="20.399999999999999" x14ac:dyDescent="0.25">
      <c r="A71" s="704" t="s">
        <v>1205</v>
      </c>
      <c r="B71" s="418"/>
      <c r="C71" s="743"/>
      <c r="D71" s="743"/>
      <c r="E71" s="743"/>
      <c r="F71" s="743"/>
      <c r="G71" s="743"/>
      <c r="H71" s="743">
        <f t="shared" si="31"/>
        <v>0</v>
      </c>
      <c r="I71" s="411">
        <f t="shared" si="2"/>
        <v>0</v>
      </c>
      <c r="J71" s="411" t="str">
        <f t="shared" si="3"/>
        <v/>
      </c>
      <c r="K71" s="745"/>
      <c r="L71" s="101"/>
    </row>
    <row r="72" spans="1:12" x14ac:dyDescent="0.25">
      <c r="A72" s="704" t="s">
        <v>1206</v>
      </c>
      <c r="B72" s="418"/>
      <c r="C72" s="743"/>
      <c r="D72" s="743"/>
      <c r="E72" s="743"/>
      <c r="F72" s="743"/>
      <c r="G72" s="743"/>
      <c r="H72" s="743">
        <f t="shared" si="31"/>
        <v>0</v>
      </c>
      <c r="I72" s="411">
        <f t="shared" si="2"/>
        <v>0</v>
      </c>
      <c r="J72" s="411" t="str">
        <f t="shared" si="3"/>
        <v/>
      </c>
      <c r="K72" s="745"/>
      <c r="L72" s="101"/>
    </row>
    <row r="73" spans="1:12" x14ac:dyDescent="0.25">
      <c r="A73" s="704" t="s">
        <v>1207</v>
      </c>
      <c r="B73" s="418"/>
      <c r="C73" s="743"/>
      <c r="D73" s="743"/>
      <c r="E73" s="743"/>
      <c r="F73" s="743"/>
      <c r="G73" s="743"/>
      <c r="H73" s="743">
        <f t="shared" si="31"/>
        <v>0</v>
      </c>
      <c r="I73" s="411">
        <f t="shared" si="2"/>
        <v>0</v>
      </c>
      <c r="J73" s="411" t="str">
        <f t="shared" si="3"/>
        <v/>
      </c>
      <c r="K73" s="745"/>
      <c r="L73" s="101"/>
    </row>
    <row r="74" spans="1:12" x14ac:dyDescent="0.25">
      <c r="A74" s="417" t="s">
        <v>117</v>
      </c>
      <c r="B74" s="420"/>
      <c r="C74" s="614">
        <f>C75+C86+C93</f>
        <v>111137766.10000002</v>
      </c>
      <c r="D74" s="614">
        <f t="shared" ref="D74:K74" si="32">D75+D86+D93</f>
        <v>123099912</v>
      </c>
      <c r="E74" s="614">
        <f t="shared" si="32"/>
        <v>0</v>
      </c>
      <c r="F74" s="614">
        <f t="shared" si="32"/>
        <v>11276023.199999999</v>
      </c>
      <c r="G74" s="614">
        <f t="shared" si="32"/>
        <v>11276023.199999999</v>
      </c>
      <c r="H74" s="614">
        <f t="shared" si="32"/>
        <v>10258326</v>
      </c>
      <c r="I74" s="614">
        <f t="shared" si="2"/>
        <v>1017697.1999999993</v>
      </c>
      <c r="J74" s="614">
        <f t="shared" si="3"/>
        <v>9.9206946630473553E-2</v>
      </c>
      <c r="K74" s="615">
        <f t="shared" si="32"/>
        <v>123099912</v>
      </c>
      <c r="L74" s="101"/>
    </row>
    <row r="75" spans="1:12" x14ac:dyDescent="0.25">
      <c r="A75" s="616" t="s">
        <v>118</v>
      </c>
      <c r="B75" s="420"/>
      <c r="C75" s="620">
        <f t="shared" ref="C75:H75" si="33">SUM(C76:C85)</f>
        <v>18940312.600000001</v>
      </c>
      <c r="D75" s="620">
        <f t="shared" si="33"/>
        <v>53480928</v>
      </c>
      <c r="E75" s="620">
        <f t="shared" si="33"/>
        <v>0</v>
      </c>
      <c r="F75" s="620">
        <f t="shared" si="33"/>
        <v>961267.44000000006</v>
      </c>
      <c r="G75" s="620">
        <f t="shared" si="33"/>
        <v>961267.44000000006</v>
      </c>
      <c r="H75" s="620">
        <f t="shared" si="33"/>
        <v>4456744</v>
      </c>
      <c r="I75" s="620">
        <f t="shared" si="2"/>
        <v>-3495476.56</v>
      </c>
      <c r="J75" s="620">
        <f t="shared" si="3"/>
        <v>-0.7843117217412533</v>
      </c>
      <c r="K75" s="620">
        <f>SUM(K76:K85)</f>
        <v>53480928</v>
      </c>
      <c r="L75" s="101"/>
    </row>
    <row r="76" spans="1:12" x14ac:dyDescent="0.25">
      <c r="A76" s="704" t="s">
        <v>1208</v>
      </c>
      <c r="B76" s="420"/>
      <c r="C76" s="743">
        <v>0</v>
      </c>
      <c r="D76" s="743">
        <v>0</v>
      </c>
      <c r="E76" s="743">
        <v>0</v>
      </c>
      <c r="F76" s="743">
        <v>0</v>
      </c>
      <c r="G76" s="743">
        <v>0</v>
      </c>
      <c r="H76" s="980">
        <f t="shared" ref="H76:H85" si="34">D76/12</f>
        <v>0</v>
      </c>
      <c r="I76" s="411">
        <f>G76-H76</f>
        <v>0</v>
      </c>
      <c r="J76" s="411" t="str">
        <f>IF(I76=0,"",I76/H76)</f>
        <v/>
      </c>
      <c r="K76" s="745">
        <f>D76</f>
        <v>0</v>
      </c>
      <c r="L76" s="101"/>
    </row>
    <row r="77" spans="1:12" x14ac:dyDescent="0.25">
      <c r="A77" s="704" t="s">
        <v>1209</v>
      </c>
      <c r="B77" s="420"/>
      <c r="C77" s="743">
        <v>0</v>
      </c>
      <c r="D77" s="743">
        <v>1992</v>
      </c>
      <c r="E77" s="743">
        <v>0</v>
      </c>
      <c r="F77" s="743">
        <v>0</v>
      </c>
      <c r="G77" s="743">
        <v>0</v>
      </c>
      <c r="H77" s="743">
        <f t="shared" si="34"/>
        <v>166</v>
      </c>
      <c r="I77" s="411">
        <f t="shared" si="2"/>
        <v>-166</v>
      </c>
      <c r="J77" s="411">
        <f t="shared" si="3"/>
        <v>-1</v>
      </c>
      <c r="K77" s="745">
        <f t="shared" ref="K77:K85" si="35">D77</f>
        <v>1992</v>
      </c>
      <c r="L77" s="101"/>
    </row>
    <row r="78" spans="1:12" x14ac:dyDescent="0.25">
      <c r="A78" s="704" t="s">
        <v>1210</v>
      </c>
      <c r="B78" s="420"/>
      <c r="C78" s="743">
        <v>0</v>
      </c>
      <c r="D78" s="743">
        <v>0</v>
      </c>
      <c r="E78" s="743">
        <v>0</v>
      </c>
      <c r="F78" s="743">
        <v>0</v>
      </c>
      <c r="G78" s="743">
        <v>0</v>
      </c>
      <c r="H78" s="743">
        <f t="shared" si="34"/>
        <v>0</v>
      </c>
      <c r="I78" s="411">
        <f t="shared" si="2"/>
        <v>0</v>
      </c>
      <c r="J78" s="411" t="str">
        <f t="shared" si="3"/>
        <v/>
      </c>
      <c r="K78" s="745">
        <f t="shared" si="35"/>
        <v>0</v>
      </c>
      <c r="L78" s="101"/>
    </row>
    <row r="79" spans="1:12" x14ac:dyDescent="0.25">
      <c r="A79" s="704" t="s">
        <v>1211</v>
      </c>
      <c r="B79" s="420"/>
      <c r="C79" s="743">
        <v>0</v>
      </c>
      <c r="D79" s="743">
        <v>0</v>
      </c>
      <c r="E79" s="743">
        <v>0</v>
      </c>
      <c r="F79" s="743">
        <v>0</v>
      </c>
      <c r="G79" s="743">
        <v>0</v>
      </c>
      <c r="H79" s="743">
        <f t="shared" si="34"/>
        <v>0</v>
      </c>
      <c r="I79" s="411">
        <f>G79-H79</f>
        <v>0</v>
      </c>
      <c r="J79" s="411" t="str">
        <f>IF(I79=0,"",I79/H79)</f>
        <v/>
      </c>
      <c r="K79" s="745">
        <f t="shared" si="35"/>
        <v>0</v>
      </c>
      <c r="L79" s="101"/>
    </row>
    <row r="80" spans="1:12" x14ac:dyDescent="0.25">
      <c r="A80" s="704" t="s">
        <v>1212</v>
      </c>
      <c r="B80" s="420"/>
      <c r="C80" s="743">
        <v>193651.27</v>
      </c>
      <c r="D80" s="743">
        <v>39972</v>
      </c>
      <c r="E80" s="743">
        <v>0</v>
      </c>
      <c r="F80" s="743">
        <v>482.61</v>
      </c>
      <c r="G80" s="743">
        <v>482.61</v>
      </c>
      <c r="H80" s="743">
        <f t="shared" si="34"/>
        <v>3331</v>
      </c>
      <c r="I80" s="411">
        <f>G80-H80</f>
        <v>-2848.39</v>
      </c>
      <c r="J80" s="411">
        <f>IF(I80=0,"",I80/H80)</f>
        <v>-0.85511558090663464</v>
      </c>
      <c r="K80" s="745">
        <f t="shared" si="35"/>
        <v>39972</v>
      </c>
      <c r="L80" s="101"/>
    </row>
    <row r="81" spans="1:12" x14ac:dyDescent="0.25">
      <c r="A81" s="704" t="s">
        <v>1213</v>
      </c>
      <c r="B81" s="420"/>
      <c r="C81" s="743">
        <v>10878456.58</v>
      </c>
      <c r="D81" s="743">
        <v>0</v>
      </c>
      <c r="E81" s="743">
        <v>0</v>
      </c>
      <c r="F81" s="743">
        <v>151705.46</v>
      </c>
      <c r="G81" s="743">
        <v>151705.46</v>
      </c>
      <c r="H81" s="743">
        <f t="shared" si="34"/>
        <v>0</v>
      </c>
      <c r="I81" s="411">
        <f>G81-H81</f>
        <v>151705.46</v>
      </c>
      <c r="J81" s="411" t="e">
        <f>IF(I81=0,"",I81/H81)</f>
        <v>#DIV/0!</v>
      </c>
      <c r="K81" s="745">
        <f t="shared" si="35"/>
        <v>0</v>
      </c>
      <c r="L81" s="101"/>
    </row>
    <row r="82" spans="1:12" ht="20.399999999999999" x14ac:dyDescent="0.25">
      <c r="A82" s="704" t="s">
        <v>1214</v>
      </c>
      <c r="B82" s="420"/>
      <c r="C82" s="743">
        <v>7868204.75</v>
      </c>
      <c r="D82" s="743">
        <v>53437968</v>
      </c>
      <c r="E82" s="743">
        <v>0</v>
      </c>
      <c r="F82" s="743">
        <v>809079.37000000011</v>
      </c>
      <c r="G82" s="743">
        <v>809079.37000000011</v>
      </c>
      <c r="H82" s="743">
        <f t="shared" si="34"/>
        <v>4453164</v>
      </c>
      <c r="I82" s="411">
        <f>G82-H82</f>
        <v>-3644084.63</v>
      </c>
      <c r="J82" s="411">
        <f>IF(I82=0,"",I82/H82)</f>
        <v>-0.81831359231324063</v>
      </c>
      <c r="K82" s="745">
        <f t="shared" si="35"/>
        <v>53437968</v>
      </c>
      <c r="L82" s="101"/>
    </row>
    <row r="83" spans="1:12" x14ac:dyDescent="0.25">
      <c r="A83" s="704" t="s">
        <v>1215</v>
      </c>
      <c r="B83" s="420"/>
      <c r="C83" s="743">
        <v>0</v>
      </c>
      <c r="D83" s="743">
        <v>996</v>
      </c>
      <c r="E83" s="743">
        <v>0</v>
      </c>
      <c r="F83" s="743">
        <v>0</v>
      </c>
      <c r="G83" s="743">
        <v>0</v>
      </c>
      <c r="H83" s="743">
        <f t="shared" si="34"/>
        <v>83</v>
      </c>
      <c r="I83" s="411">
        <f t="shared" si="2"/>
        <v>-83</v>
      </c>
      <c r="J83" s="411">
        <f t="shared" si="3"/>
        <v>-1</v>
      </c>
      <c r="K83" s="745">
        <f t="shared" si="35"/>
        <v>996</v>
      </c>
      <c r="L83" s="101"/>
    </row>
    <row r="84" spans="1:12" x14ac:dyDescent="0.25">
      <c r="A84" s="704" t="s">
        <v>1216</v>
      </c>
      <c r="B84" s="420"/>
      <c r="C84" s="743"/>
      <c r="D84" s="743"/>
      <c r="E84" s="743">
        <v>0</v>
      </c>
      <c r="F84" s="743"/>
      <c r="G84" s="743"/>
      <c r="H84" s="743">
        <f t="shared" si="34"/>
        <v>0</v>
      </c>
      <c r="I84" s="411">
        <f t="shared" si="2"/>
        <v>0</v>
      </c>
      <c r="J84" s="411" t="str">
        <f t="shared" si="3"/>
        <v/>
      </c>
      <c r="K84" s="745">
        <f t="shared" si="35"/>
        <v>0</v>
      </c>
      <c r="L84" s="101"/>
    </row>
    <row r="85" spans="1:12" x14ac:dyDescent="0.25">
      <c r="A85" s="704" t="s">
        <v>1217</v>
      </c>
      <c r="B85" s="420"/>
      <c r="C85" s="743"/>
      <c r="D85" s="743"/>
      <c r="E85" s="743">
        <v>0</v>
      </c>
      <c r="F85" s="743"/>
      <c r="G85" s="743"/>
      <c r="H85" s="743">
        <f t="shared" si="34"/>
        <v>0</v>
      </c>
      <c r="I85" s="411">
        <f t="shared" si="2"/>
        <v>0</v>
      </c>
      <c r="J85" s="411" t="str">
        <f t="shared" si="3"/>
        <v/>
      </c>
      <c r="K85" s="745">
        <f t="shared" si="35"/>
        <v>0</v>
      </c>
      <c r="L85" s="101"/>
    </row>
    <row r="86" spans="1:12" x14ac:dyDescent="0.25">
      <c r="A86" s="616" t="s">
        <v>119</v>
      </c>
      <c r="B86" s="420"/>
      <c r="C86" s="620">
        <f>SUM(C87:C92)</f>
        <v>92197453.030000016</v>
      </c>
      <c r="D86" s="620">
        <f t="shared" ref="D86:K86" si="36">SUM(D87:D92)</f>
        <v>66161976</v>
      </c>
      <c r="E86" s="620">
        <f t="shared" si="36"/>
        <v>0</v>
      </c>
      <c r="F86" s="620">
        <f t="shared" si="36"/>
        <v>10314755.76</v>
      </c>
      <c r="G86" s="620">
        <f t="shared" si="36"/>
        <v>10314755.76</v>
      </c>
      <c r="H86" s="620">
        <f t="shared" si="36"/>
        <v>5513498</v>
      </c>
      <c r="I86" s="620">
        <f t="shared" si="2"/>
        <v>4801257.76</v>
      </c>
      <c r="J86" s="620">
        <f t="shared" si="3"/>
        <v>0.87081880867645178</v>
      </c>
      <c r="K86" s="623">
        <f t="shared" si="36"/>
        <v>66161976</v>
      </c>
      <c r="L86" s="101"/>
    </row>
    <row r="87" spans="1:12" x14ac:dyDescent="0.25">
      <c r="A87" s="704" t="s">
        <v>1218</v>
      </c>
      <c r="B87" s="420"/>
      <c r="C87" s="743"/>
      <c r="D87" s="743"/>
      <c r="E87" s="743">
        <v>0</v>
      </c>
      <c r="F87" s="743"/>
      <c r="G87" s="743"/>
      <c r="H87" s="743">
        <f t="shared" ref="H87:H94" si="37">D87/12</f>
        <v>0</v>
      </c>
      <c r="I87" s="411">
        <f t="shared" si="2"/>
        <v>0</v>
      </c>
      <c r="J87" s="411" t="str">
        <f t="shared" si="3"/>
        <v/>
      </c>
      <c r="K87" s="745">
        <f t="shared" ref="K87:K92" si="38">D87</f>
        <v>0</v>
      </c>
      <c r="L87" s="101"/>
    </row>
    <row r="88" spans="1:12" x14ac:dyDescent="0.25">
      <c r="A88" s="704" t="s">
        <v>1219</v>
      </c>
      <c r="B88" s="420"/>
      <c r="C88" s="743"/>
      <c r="D88" s="743"/>
      <c r="E88" s="743">
        <v>0</v>
      </c>
      <c r="F88" s="743"/>
      <c r="G88" s="743"/>
      <c r="H88" s="743">
        <f t="shared" si="37"/>
        <v>0</v>
      </c>
      <c r="I88" s="411">
        <f>G88-H88</f>
        <v>0</v>
      </c>
      <c r="J88" s="411" t="str">
        <f>IF(I88=0,"",I88/H88)</f>
        <v/>
      </c>
      <c r="K88" s="745">
        <f t="shared" si="38"/>
        <v>0</v>
      </c>
      <c r="L88" s="101"/>
    </row>
    <row r="89" spans="1:12" x14ac:dyDescent="0.25">
      <c r="A89" s="704" t="s">
        <v>1220</v>
      </c>
      <c r="B89" s="420"/>
      <c r="C89" s="743">
        <v>0</v>
      </c>
      <c r="D89" s="743">
        <v>3984</v>
      </c>
      <c r="E89" s="743">
        <v>0</v>
      </c>
      <c r="F89" s="743">
        <v>0</v>
      </c>
      <c r="G89" s="743">
        <v>0</v>
      </c>
      <c r="H89" s="743">
        <f t="shared" si="37"/>
        <v>332</v>
      </c>
      <c r="I89" s="411">
        <f t="shared" si="2"/>
        <v>-332</v>
      </c>
      <c r="J89" s="411">
        <f t="shared" si="3"/>
        <v>-1</v>
      </c>
      <c r="K89" s="745">
        <f t="shared" si="38"/>
        <v>3984</v>
      </c>
      <c r="L89" s="101"/>
    </row>
    <row r="90" spans="1:12" x14ac:dyDescent="0.25">
      <c r="A90" s="704" t="s">
        <v>1221</v>
      </c>
      <c r="B90" s="420"/>
      <c r="C90" s="743">
        <v>16490669.34</v>
      </c>
      <c r="D90" s="743">
        <v>65886000</v>
      </c>
      <c r="E90" s="743">
        <v>0</v>
      </c>
      <c r="F90" s="743">
        <v>1133737.4099999999</v>
      </c>
      <c r="G90" s="743">
        <v>1133737.4099999999</v>
      </c>
      <c r="H90" s="743">
        <f t="shared" si="37"/>
        <v>5490500</v>
      </c>
      <c r="I90" s="411">
        <f t="shared" si="2"/>
        <v>-4356762.59</v>
      </c>
      <c r="J90" s="411">
        <f t="shared" si="3"/>
        <v>-0.79350925963027041</v>
      </c>
      <c r="K90" s="745">
        <f t="shared" si="38"/>
        <v>65886000</v>
      </c>
      <c r="L90" s="101"/>
    </row>
    <row r="91" spans="1:12" x14ac:dyDescent="0.25">
      <c r="A91" s="704" t="s">
        <v>175</v>
      </c>
      <c r="B91" s="420"/>
      <c r="C91" s="743">
        <v>75706783.690000013</v>
      </c>
      <c r="D91" s="743">
        <v>271992</v>
      </c>
      <c r="E91" s="743">
        <v>0</v>
      </c>
      <c r="F91" s="743">
        <v>9181018.3499999996</v>
      </c>
      <c r="G91" s="743">
        <v>9181018.3499999996</v>
      </c>
      <c r="H91" s="743">
        <f t="shared" si="37"/>
        <v>22666</v>
      </c>
      <c r="I91" s="411">
        <f t="shared" si="2"/>
        <v>9158352.3499999996</v>
      </c>
      <c r="J91" s="411">
        <f t="shared" si="3"/>
        <v>404.05684064237181</v>
      </c>
      <c r="K91" s="745">
        <f t="shared" si="38"/>
        <v>271992</v>
      </c>
      <c r="L91" s="101"/>
    </row>
    <row r="92" spans="1:12" x14ac:dyDescent="0.25">
      <c r="A92" s="704" t="s">
        <v>1222</v>
      </c>
      <c r="B92" s="420"/>
      <c r="C92" s="743"/>
      <c r="D92" s="743"/>
      <c r="E92" s="743">
        <v>0</v>
      </c>
      <c r="F92" s="743"/>
      <c r="G92" s="743"/>
      <c r="H92" s="743">
        <f t="shared" si="37"/>
        <v>0</v>
      </c>
      <c r="I92" s="411">
        <f t="shared" si="2"/>
        <v>0</v>
      </c>
      <c r="J92" s="411" t="str">
        <f t="shared" si="3"/>
        <v/>
      </c>
      <c r="K92" s="745">
        <f t="shared" si="38"/>
        <v>0</v>
      </c>
      <c r="L92" s="101"/>
    </row>
    <row r="93" spans="1:12" x14ac:dyDescent="0.25">
      <c r="A93" s="616" t="s">
        <v>120</v>
      </c>
      <c r="B93" s="420"/>
      <c r="C93" s="620">
        <f>SUM(C94:C99)</f>
        <v>0.47</v>
      </c>
      <c r="D93" s="620">
        <f t="shared" ref="D93:K93" si="39">SUM(D94:D99)</f>
        <v>3457008</v>
      </c>
      <c r="E93" s="620">
        <f t="shared" si="39"/>
        <v>0</v>
      </c>
      <c r="F93" s="620">
        <f t="shared" si="39"/>
        <v>0</v>
      </c>
      <c r="G93" s="620">
        <f t="shared" si="39"/>
        <v>0</v>
      </c>
      <c r="H93" s="620">
        <f t="shared" si="39"/>
        <v>288084</v>
      </c>
      <c r="I93" s="620">
        <f t="shared" si="2"/>
        <v>-288084</v>
      </c>
      <c r="J93" s="620">
        <f t="shared" si="3"/>
        <v>-1</v>
      </c>
      <c r="K93" s="623">
        <f t="shared" si="39"/>
        <v>3457008</v>
      </c>
      <c r="L93" s="101"/>
    </row>
    <row r="94" spans="1:12" x14ac:dyDescent="0.25">
      <c r="A94" s="704" t="s">
        <v>1223</v>
      </c>
      <c r="B94" s="420"/>
      <c r="C94" s="743">
        <v>0</v>
      </c>
      <c r="D94" s="743">
        <v>3457008</v>
      </c>
      <c r="E94" s="743">
        <v>0</v>
      </c>
      <c r="F94" s="743">
        <v>0</v>
      </c>
      <c r="G94" s="743">
        <v>0</v>
      </c>
      <c r="H94" s="743">
        <f t="shared" si="37"/>
        <v>288084</v>
      </c>
      <c r="I94" s="411">
        <f t="shared" si="2"/>
        <v>-288084</v>
      </c>
      <c r="J94" s="411">
        <f t="shared" si="3"/>
        <v>-1</v>
      </c>
      <c r="K94" s="745">
        <f t="shared" ref="K94:K99" si="40">D94</f>
        <v>3457008</v>
      </c>
      <c r="L94" s="101"/>
    </row>
    <row r="95" spans="1:12" x14ac:dyDescent="0.25">
      <c r="A95" s="704" t="s">
        <v>1224</v>
      </c>
      <c r="B95" s="420"/>
      <c r="C95" s="743">
        <v>0</v>
      </c>
      <c r="D95" s="743">
        <v>0</v>
      </c>
      <c r="E95" s="743">
        <v>0</v>
      </c>
      <c r="F95" s="743">
        <v>0</v>
      </c>
      <c r="G95" s="743">
        <v>0</v>
      </c>
      <c r="H95" s="743">
        <v>0</v>
      </c>
      <c r="I95" s="411">
        <f t="shared" si="2"/>
        <v>0</v>
      </c>
      <c r="J95" s="411" t="str">
        <f t="shared" si="3"/>
        <v/>
      </c>
      <c r="K95" s="745">
        <f t="shared" si="40"/>
        <v>0</v>
      </c>
      <c r="L95" s="101"/>
    </row>
    <row r="96" spans="1:12" x14ac:dyDescent="0.25">
      <c r="A96" s="704" t="s">
        <v>1225</v>
      </c>
      <c r="B96" s="420"/>
      <c r="C96" s="743">
        <v>0</v>
      </c>
      <c r="D96" s="743">
        <v>0</v>
      </c>
      <c r="E96" s="743">
        <v>0</v>
      </c>
      <c r="F96" s="743">
        <v>0</v>
      </c>
      <c r="G96" s="743">
        <v>0</v>
      </c>
      <c r="H96" s="743">
        <v>0</v>
      </c>
      <c r="I96" s="411">
        <f>G96-H96</f>
        <v>0</v>
      </c>
      <c r="J96" s="411" t="str">
        <f>IF(I96=0,"",I96/H96)</f>
        <v/>
      </c>
      <c r="K96" s="745">
        <f t="shared" si="40"/>
        <v>0</v>
      </c>
      <c r="L96" s="101"/>
    </row>
    <row r="97" spans="1:12" x14ac:dyDescent="0.25">
      <c r="A97" s="704" t="s">
        <v>1226</v>
      </c>
      <c r="B97" s="420"/>
      <c r="C97" s="743">
        <v>0.47</v>
      </c>
      <c r="D97" s="743">
        <v>0</v>
      </c>
      <c r="E97" s="743">
        <v>0</v>
      </c>
      <c r="F97" s="743">
        <v>0</v>
      </c>
      <c r="G97" s="743">
        <v>0</v>
      </c>
      <c r="H97" s="743">
        <v>0</v>
      </c>
      <c r="I97" s="411">
        <f>G97-H97</f>
        <v>0</v>
      </c>
      <c r="J97" s="411" t="str">
        <f>IF(I97=0,"",I97/H97)</f>
        <v/>
      </c>
      <c r="K97" s="745">
        <f t="shared" si="40"/>
        <v>0</v>
      </c>
      <c r="L97" s="101"/>
    </row>
    <row r="98" spans="1:12" x14ac:dyDescent="0.25">
      <c r="A98" s="704" t="s">
        <v>176</v>
      </c>
      <c r="B98" s="420"/>
      <c r="C98" s="743"/>
      <c r="D98" s="743"/>
      <c r="E98" s="743">
        <v>0</v>
      </c>
      <c r="F98" s="743"/>
      <c r="G98" s="743"/>
      <c r="H98" s="743">
        <v>0</v>
      </c>
      <c r="I98" s="411">
        <f t="shared" si="2"/>
        <v>0</v>
      </c>
      <c r="J98" s="411" t="str">
        <f t="shared" si="3"/>
        <v/>
      </c>
      <c r="K98" s="745">
        <f t="shared" si="40"/>
        <v>0</v>
      </c>
      <c r="L98" s="101"/>
    </row>
    <row r="99" spans="1:12" x14ac:dyDescent="0.25">
      <c r="A99" s="704" t="s">
        <v>1227</v>
      </c>
      <c r="B99" s="420"/>
      <c r="C99" s="743"/>
      <c r="D99" s="743"/>
      <c r="E99" s="743">
        <v>0</v>
      </c>
      <c r="F99" s="743"/>
      <c r="G99" s="743"/>
      <c r="H99" s="743">
        <f t="shared" ref="H99" si="41">E99/12*10</f>
        <v>0</v>
      </c>
      <c r="I99" s="411">
        <f t="shared" si="2"/>
        <v>0</v>
      </c>
      <c r="J99" s="411" t="str">
        <f t="shared" si="3"/>
        <v/>
      </c>
      <c r="K99" s="745">
        <f t="shared" si="40"/>
        <v>0</v>
      </c>
      <c r="L99" s="101"/>
    </row>
    <row r="100" spans="1:12" x14ac:dyDescent="0.25">
      <c r="A100" s="417" t="s">
        <v>121</v>
      </c>
      <c r="B100" s="420"/>
      <c r="C100" s="614">
        <f>C101+C105+C109+C114</f>
        <v>1431156813.77</v>
      </c>
      <c r="D100" s="614">
        <f t="shared" ref="D100:I100" si="42">D101+D105+D109+D114</f>
        <v>1766230956</v>
      </c>
      <c r="E100" s="614">
        <f t="shared" si="42"/>
        <v>0</v>
      </c>
      <c r="F100" s="614">
        <f t="shared" si="42"/>
        <v>119513432.97000001</v>
      </c>
      <c r="G100" s="614">
        <f t="shared" si="42"/>
        <v>119513432.97000001</v>
      </c>
      <c r="H100" s="614">
        <f t="shared" si="42"/>
        <v>147185913</v>
      </c>
      <c r="I100" s="614">
        <f t="shared" si="42"/>
        <v>-27672480.02999999</v>
      </c>
      <c r="J100" s="614">
        <f t="shared" si="3"/>
        <v>-0.18801038405081599</v>
      </c>
      <c r="K100" s="615">
        <f>K101+K105+K109+K114</f>
        <v>1766230956</v>
      </c>
      <c r="L100" s="101"/>
    </row>
    <row r="101" spans="1:12" x14ac:dyDescent="0.25">
      <c r="A101" s="616" t="s">
        <v>1228</v>
      </c>
      <c r="B101" s="420"/>
      <c r="C101" s="620">
        <f>SUM(C102:C104)</f>
        <v>956100536.37</v>
      </c>
      <c r="D101" s="620">
        <f t="shared" ref="D101:K101" si="43">SUM(D102:D104)</f>
        <v>1192843992</v>
      </c>
      <c r="E101" s="620">
        <f t="shared" si="43"/>
        <v>0</v>
      </c>
      <c r="F101" s="620">
        <f t="shared" si="43"/>
        <v>73541086.38000001</v>
      </c>
      <c r="G101" s="620">
        <f t="shared" si="43"/>
        <v>73541086.38000001</v>
      </c>
      <c r="H101" s="620">
        <f t="shared" si="43"/>
        <v>99403666</v>
      </c>
      <c r="I101" s="620">
        <f t="shared" si="2"/>
        <v>-25862579.61999999</v>
      </c>
      <c r="J101" s="620">
        <f t="shared" si="3"/>
        <v>-0.26017732203156363</v>
      </c>
      <c r="K101" s="623">
        <f t="shared" si="43"/>
        <v>1192843992</v>
      </c>
      <c r="L101" s="101"/>
    </row>
    <row r="102" spans="1:12" x14ac:dyDescent="0.25">
      <c r="A102" s="704" t="s">
        <v>1229</v>
      </c>
      <c r="B102" s="420"/>
      <c r="C102" s="743">
        <v>956100536.37</v>
      </c>
      <c r="D102" s="743">
        <v>1192843992</v>
      </c>
      <c r="E102" s="743">
        <v>0</v>
      </c>
      <c r="F102" s="743">
        <v>73541086.38000001</v>
      </c>
      <c r="G102" s="743">
        <v>73541086.38000001</v>
      </c>
      <c r="H102" s="743">
        <f t="shared" ref="H102:H104" si="44">D102/12</f>
        <v>99403666</v>
      </c>
      <c r="I102" s="411">
        <f t="shared" si="2"/>
        <v>-25862579.61999999</v>
      </c>
      <c r="J102" s="411">
        <f t="shared" si="3"/>
        <v>-0.26017732203156363</v>
      </c>
      <c r="K102" s="745">
        <f>D102</f>
        <v>1192843992</v>
      </c>
      <c r="L102" s="101"/>
    </row>
    <row r="103" spans="1:12" x14ac:dyDescent="0.25">
      <c r="A103" s="704" t="s">
        <v>1230</v>
      </c>
      <c r="B103" s="420"/>
      <c r="C103" s="743"/>
      <c r="D103" s="743"/>
      <c r="E103" s="743">
        <v>0</v>
      </c>
      <c r="F103" s="743"/>
      <c r="G103" s="743"/>
      <c r="H103" s="743">
        <f t="shared" si="44"/>
        <v>0</v>
      </c>
      <c r="I103" s="411">
        <f>G103-H103</f>
        <v>0</v>
      </c>
      <c r="J103" s="411" t="str">
        <f>IF(I103=0,"",I103/H103)</f>
        <v/>
      </c>
      <c r="K103" s="745">
        <f>D103</f>
        <v>0</v>
      </c>
      <c r="L103" s="101"/>
    </row>
    <row r="104" spans="1:12" x14ac:dyDescent="0.25">
      <c r="A104" s="704" t="s">
        <v>1231</v>
      </c>
      <c r="B104" s="420"/>
      <c r="C104" s="743"/>
      <c r="D104" s="743"/>
      <c r="E104" s="743">
        <v>0</v>
      </c>
      <c r="F104" s="743"/>
      <c r="G104" s="743"/>
      <c r="H104" s="743">
        <f t="shared" si="44"/>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5">SUM(D106:D108)</f>
        <v>310981968</v>
      </c>
      <c r="E105" s="620">
        <f t="shared" si="45"/>
        <v>0</v>
      </c>
      <c r="F105" s="620">
        <f t="shared" si="45"/>
        <v>26757393.540000003</v>
      </c>
      <c r="G105" s="620">
        <f t="shared" si="45"/>
        <v>26757393.540000003</v>
      </c>
      <c r="H105" s="620">
        <f t="shared" si="45"/>
        <v>25915164</v>
      </c>
      <c r="I105" s="620">
        <f t="shared" si="2"/>
        <v>842229.54000000283</v>
      </c>
      <c r="J105" s="620">
        <f t="shared" si="3"/>
        <v>3.2499487172838376E-2</v>
      </c>
      <c r="K105" s="623">
        <f t="shared" si="45"/>
        <v>310981968</v>
      </c>
      <c r="L105" s="101"/>
    </row>
    <row r="106" spans="1:12" x14ac:dyDescent="0.25">
      <c r="A106" s="704" t="s">
        <v>1233</v>
      </c>
      <c r="B106" s="420"/>
      <c r="C106" s="743">
        <v>0</v>
      </c>
      <c r="D106" s="743">
        <v>996</v>
      </c>
      <c r="E106" s="743">
        <v>0</v>
      </c>
      <c r="F106" s="743">
        <v>0</v>
      </c>
      <c r="G106" s="743">
        <v>0</v>
      </c>
      <c r="H106" s="743">
        <f t="shared" ref="H106:H108" si="46">D106/12</f>
        <v>83</v>
      </c>
      <c r="I106" s="411">
        <f t="shared" si="2"/>
        <v>-83</v>
      </c>
      <c r="J106" s="411">
        <f t="shared" si="3"/>
        <v>-1</v>
      </c>
      <c r="K106" s="745">
        <f>D106</f>
        <v>996</v>
      </c>
      <c r="L106" s="101"/>
    </row>
    <row r="107" spans="1:12" x14ac:dyDescent="0.25">
      <c r="A107" s="704" t="s">
        <v>177</v>
      </c>
      <c r="B107" s="420"/>
      <c r="C107" s="743">
        <v>260621321.38999999</v>
      </c>
      <c r="D107" s="743">
        <v>310980972</v>
      </c>
      <c r="E107" s="743">
        <v>0</v>
      </c>
      <c r="F107" s="743">
        <v>26757393.540000003</v>
      </c>
      <c r="G107" s="743">
        <v>26757393.540000003</v>
      </c>
      <c r="H107" s="743">
        <f t="shared" si="46"/>
        <v>25915081</v>
      </c>
      <c r="I107" s="411">
        <f>G107-H107</f>
        <v>842312.54000000283</v>
      </c>
      <c r="J107" s="411">
        <f>IF(I107=0,"",I107/H107)</f>
        <v>3.2502794029468894E-2</v>
      </c>
      <c r="K107" s="745">
        <f>D107</f>
        <v>310980972</v>
      </c>
      <c r="L107" s="101"/>
    </row>
    <row r="108" spans="1:12" x14ac:dyDescent="0.25">
      <c r="A108" s="704" t="s">
        <v>178</v>
      </c>
      <c r="B108" s="420"/>
      <c r="C108" s="743"/>
      <c r="D108" s="743"/>
      <c r="E108" s="743">
        <v>0</v>
      </c>
      <c r="F108" s="743"/>
      <c r="G108" s="743"/>
      <c r="H108" s="743">
        <f t="shared" si="46"/>
        <v>0</v>
      </c>
      <c r="I108" s="411">
        <f t="shared" si="2"/>
        <v>0</v>
      </c>
      <c r="J108" s="411" t="str">
        <f t="shared" si="3"/>
        <v/>
      </c>
      <c r="K108" s="745">
        <f>D108</f>
        <v>0</v>
      </c>
      <c r="L108" s="101"/>
    </row>
    <row r="109" spans="1:12" x14ac:dyDescent="0.25">
      <c r="A109" s="616" t="s">
        <v>122</v>
      </c>
      <c r="B109" s="420"/>
      <c r="C109" s="620">
        <f>SUM(C110:C113)</f>
        <v>107299037.64999999</v>
      </c>
      <c r="D109" s="620">
        <f t="shared" ref="D109:K109" si="47">SUM(D110:D113)</f>
        <v>133774008</v>
      </c>
      <c r="E109" s="620">
        <f t="shared" si="47"/>
        <v>0</v>
      </c>
      <c r="F109" s="620">
        <f t="shared" si="47"/>
        <v>9609100.209999999</v>
      </c>
      <c r="G109" s="620">
        <f t="shared" si="47"/>
        <v>9609100.209999999</v>
      </c>
      <c r="H109" s="620">
        <f t="shared" si="47"/>
        <v>11147834</v>
      </c>
      <c r="I109" s="620">
        <f t="shared" si="2"/>
        <v>-1538733.790000001</v>
      </c>
      <c r="J109" s="620">
        <f t="shared" si="3"/>
        <v>-0.13802984418318401</v>
      </c>
      <c r="K109" s="623">
        <f t="shared" si="47"/>
        <v>133774008</v>
      </c>
      <c r="L109" s="101"/>
    </row>
    <row r="110" spans="1:12" x14ac:dyDescent="0.25">
      <c r="A110" s="704" t="s">
        <v>181</v>
      </c>
      <c r="B110" s="420"/>
      <c r="C110" s="743">
        <v>0</v>
      </c>
      <c r="D110" s="743">
        <v>0</v>
      </c>
      <c r="E110" s="743">
        <v>0</v>
      </c>
      <c r="F110" s="743">
        <v>0</v>
      </c>
      <c r="G110" s="743">
        <v>0</v>
      </c>
      <c r="H110" s="743">
        <f t="shared" ref="H110:H113" si="48">D110/12</f>
        <v>0</v>
      </c>
      <c r="I110" s="411">
        <f t="shared" si="2"/>
        <v>0</v>
      </c>
      <c r="J110" s="411" t="str">
        <f t="shared" si="3"/>
        <v/>
      </c>
      <c r="K110" s="745">
        <f>D110</f>
        <v>0</v>
      </c>
      <c r="L110" s="101"/>
    </row>
    <row r="111" spans="1:12" x14ac:dyDescent="0.25">
      <c r="A111" s="704" t="s">
        <v>179</v>
      </c>
      <c r="B111" s="420"/>
      <c r="C111" s="743">
        <v>107299037.64999999</v>
      </c>
      <c r="D111" s="743">
        <v>133774008</v>
      </c>
      <c r="E111" s="743">
        <v>0</v>
      </c>
      <c r="F111" s="743">
        <v>9609100.209999999</v>
      </c>
      <c r="G111" s="743">
        <v>9609100.209999999</v>
      </c>
      <c r="H111" s="743">
        <f t="shared" si="48"/>
        <v>11147834</v>
      </c>
      <c r="I111" s="411">
        <f t="shared" si="2"/>
        <v>-1538733.790000001</v>
      </c>
      <c r="J111" s="411">
        <f t="shared" si="3"/>
        <v>-0.13802984418318401</v>
      </c>
      <c r="K111" s="745">
        <f t="shared" ref="K111:K112" si="49">D111</f>
        <v>133774008</v>
      </c>
      <c r="L111" s="101"/>
    </row>
    <row r="112" spans="1:12" x14ac:dyDescent="0.25">
      <c r="A112" s="704" t="s">
        <v>180</v>
      </c>
      <c r="B112" s="420"/>
      <c r="C112" s="743">
        <v>0</v>
      </c>
      <c r="D112" s="743">
        <v>0</v>
      </c>
      <c r="E112" s="743">
        <v>0</v>
      </c>
      <c r="F112" s="743">
        <v>0</v>
      </c>
      <c r="G112" s="743">
        <v>0</v>
      </c>
      <c r="H112" s="743">
        <f t="shared" si="48"/>
        <v>0</v>
      </c>
      <c r="I112" s="411">
        <f>G112-H112</f>
        <v>0</v>
      </c>
      <c r="J112" s="411" t="str">
        <f>IF(I112=0,"",I112/H112)</f>
        <v/>
      </c>
      <c r="K112" s="745">
        <f t="shared" si="49"/>
        <v>0</v>
      </c>
      <c r="L112" s="101"/>
    </row>
    <row r="113" spans="1:12" x14ac:dyDescent="0.25">
      <c r="A113" s="704" t="s">
        <v>1234</v>
      </c>
      <c r="B113" s="420"/>
      <c r="C113" s="743"/>
      <c r="D113" s="743"/>
      <c r="E113" s="743">
        <v>0</v>
      </c>
      <c r="F113" s="743"/>
      <c r="G113" s="743"/>
      <c r="H113" s="743">
        <f t="shared" si="48"/>
        <v>0</v>
      </c>
      <c r="I113" s="411">
        <f t="shared" si="2"/>
        <v>0</v>
      </c>
      <c r="J113" s="411" t="str">
        <f t="shared" si="3"/>
        <v/>
      </c>
      <c r="K113" s="745">
        <f>D113</f>
        <v>0</v>
      </c>
      <c r="L113" s="101"/>
    </row>
    <row r="114" spans="1:12" x14ac:dyDescent="0.25">
      <c r="A114" s="616" t="s">
        <v>123</v>
      </c>
      <c r="B114" s="420"/>
      <c r="C114" s="620">
        <f t="shared" ref="C114:H114" si="50">SUM(C115:C118)</f>
        <v>107135918.36000001</v>
      </c>
      <c r="D114" s="620">
        <f t="shared" si="50"/>
        <v>128630988</v>
      </c>
      <c r="E114" s="620">
        <f t="shared" si="50"/>
        <v>0</v>
      </c>
      <c r="F114" s="620">
        <f t="shared" si="50"/>
        <v>9605852.8399999999</v>
      </c>
      <c r="G114" s="620">
        <f t="shared" si="50"/>
        <v>9605852.8399999999</v>
      </c>
      <c r="H114" s="620">
        <f t="shared" si="50"/>
        <v>10719249</v>
      </c>
      <c r="I114" s="620">
        <f t="shared" si="2"/>
        <v>-1113396.1600000001</v>
      </c>
      <c r="J114" s="620">
        <f t="shared" si="3"/>
        <v>-0.10386885872321841</v>
      </c>
      <c r="K114" s="620">
        <f>SUM(K115:K118)</f>
        <v>128630988</v>
      </c>
      <c r="L114" s="101"/>
    </row>
    <row r="115" spans="1:12" x14ac:dyDescent="0.25">
      <c r="A115" s="704" t="s">
        <v>1235</v>
      </c>
      <c r="B115" s="420"/>
      <c r="C115" s="743">
        <v>0</v>
      </c>
      <c r="D115" s="743">
        <v>0</v>
      </c>
      <c r="E115" s="743">
        <v>0</v>
      </c>
      <c r="F115" s="743">
        <v>0</v>
      </c>
      <c r="G115" s="743">
        <v>0</v>
      </c>
      <c r="H115" s="743">
        <f t="shared" ref="H115:H117" si="51">D115/12</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 t="shared" si="51"/>
        <v>0</v>
      </c>
      <c r="I116" s="411">
        <f>G116-H116</f>
        <v>0</v>
      </c>
      <c r="J116" s="411" t="str">
        <f>IF(I116=0,"",I116/H116)</f>
        <v/>
      </c>
      <c r="K116" s="745">
        <f>E116</f>
        <v>0</v>
      </c>
      <c r="L116" s="101"/>
    </row>
    <row r="117" spans="1:12" x14ac:dyDescent="0.25">
      <c r="A117" s="704" t="s">
        <v>1237</v>
      </c>
      <c r="B117" s="420"/>
      <c r="C117" s="743">
        <v>107135918.36000001</v>
      </c>
      <c r="D117" s="743">
        <v>128630988</v>
      </c>
      <c r="E117" s="743">
        <v>0</v>
      </c>
      <c r="F117" s="743">
        <v>9605852.8399999999</v>
      </c>
      <c r="G117" s="743">
        <v>9605852.8399999999</v>
      </c>
      <c r="H117" s="743">
        <f t="shared" si="51"/>
        <v>10719249</v>
      </c>
      <c r="I117" s="411">
        <f t="shared" si="2"/>
        <v>-1113396.1600000001</v>
      </c>
      <c r="J117" s="411">
        <f t="shared" si="3"/>
        <v>-0.10386885872321841</v>
      </c>
      <c r="K117" s="745">
        <f>D117</f>
        <v>128630988</v>
      </c>
      <c r="L117" s="101"/>
    </row>
    <row r="118" spans="1:12" x14ac:dyDescent="0.25">
      <c r="A118" s="704" t="s">
        <v>1238</v>
      </c>
      <c r="B118" s="420"/>
      <c r="C118" s="743"/>
      <c r="D118" s="743"/>
      <c r="E118" s="743">
        <v>0</v>
      </c>
      <c r="F118" s="743"/>
      <c r="G118" s="743"/>
      <c r="H118" s="743">
        <f t="shared" ref="H118" si="52">E118/12*10</f>
        <v>0</v>
      </c>
      <c r="I118" s="411">
        <f>G118-H118</f>
        <v>0</v>
      </c>
      <c r="J118" s="411" t="str">
        <f>IF(I118=0,"",I118/H118)</f>
        <v/>
      </c>
      <c r="K118" s="745">
        <f>D118</f>
        <v>0</v>
      </c>
      <c r="L118" s="101"/>
    </row>
    <row r="119" spans="1:12" x14ac:dyDescent="0.25">
      <c r="A119" s="417" t="s">
        <v>740</v>
      </c>
      <c r="B119" s="420"/>
      <c r="C119" s="620">
        <f>SUM(C120:C125)</f>
        <v>0</v>
      </c>
      <c r="D119" s="620">
        <f t="shared" ref="D119:K119" si="53">SUM(D120:D125)</f>
        <v>0</v>
      </c>
      <c r="E119" s="620">
        <f t="shared" si="53"/>
        <v>0</v>
      </c>
      <c r="F119" s="620">
        <f t="shared" si="53"/>
        <v>0</v>
      </c>
      <c r="G119" s="620">
        <f t="shared" si="53"/>
        <v>0</v>
      </c>
      <c r="H119" s="620">
        <f t="shared" si="53"/>
        <v>0</v>
      </c>
      <c r="I119" s="620">
        <f t="shared" si="2"/>
        <v>0</v>
      </c>
      <c r="J119" s="620" t="str">
        <f t="shared" si="3"/>
        <v/>
      </c>
      <c r="K119" s="623">
        <f t="shared" si="53"/>
        <v>0</v>
      </c>
      <c r="L119" s="101"/>
    </row>
    <row r="120" spans="1:12" x14ac:dyDescent="0.25">
      <c r="A120" s="616" t="s">
        <v>450</v>
      </c>
      <c r="B120" s="420"/>
      <c r="C120" s="743"/>
      <c r="D120" s="743"/>
      <c r="E120" s="743"/>
      <c r="F120" s="743"/>
      <c r="G120" s="743"/>
      <c r="H120" s="743"/>
      <c r="I120" s="411">
        <f t="shared" si="2"/>
        <v>0</v>
      </c>
      <c r="J120" s="411" t="str">
        <f t="shared" si="3"/>
        <v/>
      </c>
      <c r="K120" s="745"/>
      <c r="L120" s="101"/>
    </row>
    <row r="121" spans="1:12" x14ac:dyDescent="0.25">
      <c r="A121" s="616" t="s">
        <v>182</v>
      </c>
      <c r="B121" s="420"/>
      <c r="C121" s="743"/>
      <c r="D121" s="743"/>
      <c r="E121" s="743"/>
      <c r="F121" s="743"/>
      <c r="G121" s="743"/>
      <c r="H121" s="743"/>
      <c r="I121" s="411">
        <f t="shared" si="2"/>
        <v>0</v>
      </c>
      <c r="J121" s="411" t="str">
        <f t="shared" si="3"/>
        <v/>
      </c>
      <c r="K121" s="745"/>
      <c r="L121" s="101"/>
    </row>
    <row r="122" spans="1:12" x14ac:dyDescent="0.25">
      <c r="A122" s="616" t="s">
        <v>1239</v>
      </c>
      <c r="B122" s="420"/>
      <c r="C122" s="743"/>
      <c r="D122" s="743"/>
      <c r="E122" s="743"/>
      <c r="F122" s="743"/>
      <c r="G122" s="743"/>
      <c r="H122" s="743"/>
      <c r="I122" s="411">
        <f>G122-H122</f>
        <v>0</v>
      </c>
      <c r="J122" s="411" t="str">
        <f>IF(I122=0,"",I122/H122)</f>
        <v/>
      </c>
      <c r="K122" s="745"/>
      <c r="L122" s="101"/>
    </row>
    <row r="123" spans="1:12" x14ac:dyDescent="0.25">
      <c r="A123" s="616" t="s">
        <v>1240</v>
      </c>
      <c r="B123" s="420"/>
      <c r="C123" s="743"/>
      <c r="D123" s="743"/>
      <c r="E123" s="743"/>
      <c r="F123" s="743"/>
      <c r="G123" s="743"/>
      <c r="H123" s="743"/>
      <c r="I123" s="411">
        <f t="shared" si="2"/>
        <v>0</v>
      </c>
      <c r="J123" s="411" t="str">
        <f t="shared" si="3"/>
        <v/>
      </c>
      <c r="K123" s="745"/>
      <c r="L123" s="101"/>
    </row>
    <row r="124" spans="1:12" x14ac:dyDescent="0.25">
      <c r="A124" s="616" t="s">
        <v>451</v>
      </c>
      <c r="B124" s="418"/>
      <c r="C124" s="743"/>
      <c r="D124" s="743"/>
      <c r="E124" s="743"/>
      <c r="F124" s="743"/>
      <c r="G124" s="743"/>
      <c r="H124" s="743"/>
      <c r="I124" s="411">
        <f t="shared" si="2"/>
        <v>0</v>
      </c>
      <c r="J124" s="411" t="str">
        <f t="shared" si="3"/>
        <v/>
      </c>
      <c r="K124" s="745"/>
      <c r="L124" s="101"/>
    </row>
    <row r="125" spans="1:12" x14ac:dyDescent="0.25">
      <c r="A125" s="616" t="s">
        <v>183</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4">C6+C27+C74+C100+C119</f>
        <v>3646742448.3600001</v>
      </c>
      <c r="D126" s="625">
        <f t="shared" si="54"/>
        <v>5062923624</v>
      </c>
      <c r="E126" s="625">
        <f t="shared" si="54"/>
        <v>0</v>
      </c>
      <c r="F126" s="625">
        <f t="shared" si="54"/>
        <v>653597252.29850006</v>
      </c>
      <c r="G126" s="625">
        <f t="shared" si="54"/>
        <v>653597252.29850006</v>
      </c>
      <c r="H126" s="625">
        <f t="shared" si="54"/>
        <v>421910302</v>
      </c>
      <c r="I126" s="625">
        <f>G126-H126</f>
        <v>231686950.29850006</v>
      </c>
      <c r="J126" s="625">
        <f>IF(I126=0,"",I126/H126)</f>
        <v>0.54913793097780306</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5">C130+C133+C148</f>
        <v>991449111.93000185</v>
      </c>
      <c r="D129" s="614">
        <f t="shared" si="55"/>
        <v>1228897836</v>
      </c>
      <c r="E129" s="614">
        <f t="shared" si="55"/>
        <v>0</v>
      </c>
      <c r="F129" s="614">
        <f t="shared" si="55"/>
        <v>165211158.65000001</v>
      </c>
      <c r="G129" s="614">
        <f t="shared" si="55"/>
        <v>165211158.65000001</v>
      </c>
      <c r="H129" s="614">
        <f>H130+H133+H148</f>
        <v>102408153</v>
      </c>
      <c r="I129" s="614">
        <f t="shared" ref="I129:I246" si="56">G129-H129</f>
        <v>62803005.650000006</v>
      </c>
      <c r="J129" s="614">
        <f t="shared" ref="J129:J246" si="57">IF(I129=0,"",I129/H129)</f>
        <v>0.61326177467530352</v>
      </c>
      <c r="K129" s="615">
        <f t="shared" si="55"/>
        <v>1228897836</v>
      </c>
      <c r="L129" s="101"/>
    </row>
    <row r="130" spans="1:12" x14ac:dyDescent="0.25">
      <c r="A130" s="616" t="str">
        <f>A7</f>
        <v>Executive and council</v>
      </c>
      <c r="B130" s="629"/>
      <c r="C130" s="617">
        <f t="shared" ref="C130:K130" si="58">SUM(C131:C132)</f>
        <v>104806196.77000001</v>
      </c>
      <c r="D130" s="617">
        <f t="shared" si="58"/>
        <v>330171120</v>
      </c>
      <c r="E130" s="617">
        <f t="shared" si="58"/>
        <v>0</v>
      </c>
      <c r="F130" s="617">
        <f t="shared" si="58"/>
        <v>10726237.029999999</v>
      </c>
      <c r="G130" s="617">
        <f t="shared" si="58"/>
        <v>10726237.029999999</v>
      </c>
      <c r="H130" s="617">
        <f t="shared" si="58"/>
        <v>27514260</v>
      </c>
      <c r="I130" s="617">
        <f t="shared" si="56"/>
        <v>-16788022.969999999</v>
      </c>
      <c r="J130" s="617">
        <f t="shared" si="57"/>
        <v>-0.61015716831926425</v>
      </c>
      <c r="K130" s="619">
        <f t="shared" si="58"/>
        <v>330171120</v>
      </c>
      <c r="L130" s="101"/>
    </row>
    <row r="131" spans="1:12" x14ac:dyDescent="0.25">
      <c r="A131" s="704" t="str">
        <f>A8</f>
        <v>Mayor and Council</v>
      </c>
      <c r="B131" s="629"/>
      <c r="C131" s="743">
        <v>81467240.730000019</v>
      </c>
      <c r="D131" s="743">
        <v>304341192</v>
      </c>
      <c r="E131" s="743">
        <v>0</v>
      </c>
      <c r="F131" s="743">
        <v>10726237.029999999</v>
      </c>
      <c r="G131" s="743">
        <v>10726237.029999999</v>
      </c>
      <c r="H131" s="743">
        <f t="shared" ref="H131:H132" si="59">D131/12</f>
        <v>25361766</v>
      </c>
      <c r="I131" s="411">
        <f t="shared" si="56"/>
        <v>-14635528.970000001</v>
      </c>
      <c r="J131" s="411">
        <f t="shared" si="57"/>
        <v>-0.57707057820815788</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0</v>
      </c>
      <c r="F132" s="743">
        <v>0</v>
      </c>
      <c r="G132" s="743">
        <v>0</v>
      </c>
      <c r="H132" s="743">
        <f t="shared" si="59"/>
        <v>2152494</v>
      </c>
      <c r="I132" s="411">
        <f t="shared" si="56"/>
        <v>-2152494</v>
      </c>
      <c r="J132" s="411">
        <f t="shared" si="57"/>
        <v>-1</v>
      </c>
      <c r="K132" s="745">
        <f>D132</f>
        <v>25829928</v>
      </c>
      <c r="L132" s="101"/>
    </row>
    <row r="133" spans="1:12" x14ac:dyDescent="0.25">
      <c r="A133" s="616" t="str">
        <f>A10</f>
        <v>Finance and administration</v>
      </c>
      <c r="B133" s="629"/>
      <c r="C133" s="617">
        <f t="shared" ref="C133:H133" si="60">SUM(C134:C147)</f>
        <v>879048443.24000192</v>
      </c>
      <c r="D133" s="617">
        <f t="shared" si="60"/>
        <v>885212796</v>
      </c>
      <c r="E133" s="617">
        <f t="shared" si="60"/>
        <v>0</v>
      </c>
      <c r="F133" s="617">
        <f t="shared" si="60"/>
        <v>154484921.62</v>
      </c>
      <c r="G133" s="617">
        <f t="shared" si="60"/>
        <v>154484921.62</v>
      </c>
      <c r="H133" s="617">
        <f t="shared" si="60"/>
        <v>73767733</v>
      </c>
      <c r="I133" s="617">
        <f t="shared" si="56"/>
        <v>80717188.620000005</v>
      </c>
      <c r="J133" s="617">
        <f t="shared" si="57"/>
        <v>1.0942072548169537</v>
      </c>
      <c r="K133" s="617">
        <f>SUM(K134:K147)</f>
        <v>885212796</v>
      </c>
      <c r="L133" s="101"/>
    </row>
    <row r="134" spans="1:12" x14ac:dyDescent="0.25">
      <c r="A134" s="704" t="str">
        <f t="shared" ref="A134:A147" si="61">A11</f>
        <v>Administrative and Corporate Support</v>
      </c>
      <c r="B134" s="418"/>
      <c r="C134" s="743">
        <v>70109750.189999983</v>
      </c>
      <c r="D134" s="743">
        <v>28920228</v>
      </c>
      <c r="E134" s="743">
        <v>0</v>
      </c>
      <c r="F134" s="743">
        <v>0</v>
      </c>
      <c r="G134" s="743">
        <v>0</v>
      </c>
      <c r="H134" s="743">
        <f t="shared" ref="H134:H147" si="62">D134/12</f>
        <v>2410019</v>
      </c>
      <c r="I134" s="411">
        <f t="shared" si="56"/>
        <v>-2410019</v>
      </c>
      <c r="J134" s="411">
        <f t="shared" si="57"/>
        <v>-1</v>
      </c>
      <c r="K134" s="745">
        <f>D134</f>
        <v>28920228</v>
      </c>
      <c r="L134" s="101"/>
    </row>
    <row r="135" spans="1:12" x14ac:dyDescent="0.25">
      <c r="A135" s="704" t="str">
        <f t="shared" si="61"/>
        <v>Asset Management</v>
      </c>
      <c r="B135" s="418"/>
      <c r="C135" s="743">
        <v>26463048.919999998</v>
      </c>
      <c r="D135" s="743">
        <v>55913916</v>
      </c>
      <c r="E135" s="743">
        <v>0</v>
      </c>
      <c r="F135" s="743">
        <v>14506139.130000001</v>
      </c>
      <c r="G135" s="743">
        <v>14506139.130000001</v>
      </c>
      <c r="H135" s="743">
        <f t="shared" si="62"/>
        <v>4659493</v>
      </c>
      <c r="I135" s="411">
        <f t="shared" si="56"/>
        <v>9846646.1300000008</v>
      </c>
      <c r="J135" s="411">
        <f t="shared" si="57"/>
        <v>2.1132441083182227</v>
      </c>
      <c r="K135" s="745">
        <f t="shared" ref="K135:K146" si="63">D135</f>
        <v>55913916</v>
      </c>
      <c r="L135" s="101"/>
    </row>
    <row r="136" spans="1:12" x14ac:dyDescent="0.25">
      <c r="A136" s="704" t="str">
        <f t="shared" si="61"/>
        <v>Budget and Treasury Office</v>
      </c>
      <c r="B136" s="418"/>
      <c r="C136" s="743">
        <v>391435469.840002</v>
      </c>
      <c r="D136" s="743">
        <v>367345980</v>
      </c>
      <c r="E136" s="743">
        <v>0</v>
      </c>
      <c r="F136" s="743">
        <v>138909905.09</v>
      </c>
      <c r="G136" s="743">
        <v>138909905.09</v>
      </c>
      <c r="H136" s="743">
        <f t="shared" si="62"/>
        <v>30612165</v>
      </c>
      <c r="I136" s="411">
        <f t="shared" si="56"/>
        <v>108297740.09</v>
      </c>
      <c r="J136" s="411">
        <f t="shared" si="57"/>
        <v>3.5377354097627531</v>
      </c>
      <c r="K136" s="745">
        <f t="shared" si="63"/>
        <v>367345980</v>
      </c>
      <c r="L136" s="101"/>
    </row>
    <row r="137" spans="1:12" x14ac:dyDescent="0.25">
      <c r="A137" s="704" t="str">
        <f t="shared" si="61"/>
        <v>Finance</v>
      </c>
      <c r="B137" s="418"/>
      <c r="C137" s="743">
        <v>98472897.020000011</v>
      </c>
      <c r="D137" s="743">
        <v>76876836</v>
      </c>
      <c r="E137" s="743">
        <v>0</v>
      </c>
      <c r="F137" s="743">
        <v>0</v>
      </c>
      <c r="G137" s="743">
        <v>0</v>
      </c>
      <c r="H137" s="743">
        <f t="shared" si="62"/>
        <v>6406403</v>
      </c>
      <c r="I137" s="411">
        <f t="shared" si="56"/>
        <v>-6406403</v>
      </c>
      <c r="J137" s="411">
        <f t="shared" si="57"/>
        <v>-1</v>
      </c>
      <c r="K137" s="745">
        <f t="shared" si="63"/>
        <v>76876836</v>
      </c>
      <c r="L137" s="101"/>
    </row>
    <row r="138" spans="1:12" x14ac:dyDescent="0.25">
      <c r="A138" s="704" t="str">
        <f t="shared" si="61"/>
        <v>Fleet Management</v>
      </c>
      <c r="B138" s="418"/>
      <c r="C138" s="743">
        <v>58368595.220000029</v>
      </c>
      <c r="D138" s="743">
        <v>51958404</v>
      </c>
      <c r="E138" s="743">
        <v>0</v>
      </c>
      <c r="F138" s="743">
        <v>0</v>
      </c>
      <c r="G138" s="743">
        <v>0</v>
      </c>
      <c r="H138" s="743">
        <f t="shared" si="62"/>
        <v>4329867</v>
      </c>
      <c r="I138" s="411">
        <f t="shared" si="56"/>
        <v>-4329867</v>
      </c>
      <c r="J138" s="411">
        <f t="shared" si="57"/>
        <v>-1</v>
      </c>
      <c r="K138" s="745">
        <f t="shared" si="63"/>
        <v>51958404</v>
      </c>
      <c r="L138" s="101"/>
    </row>
    <row r="139" spans="1:12" x14ac:dyDescent="0.25">
      <c r="A139" s="704" t="str">
        <f t="shared" si="61"/>
        <v>Human Resources</v>
      </c>
      <c r="B139" s="418"/>
      <c r="C139" s="743">
        <v>34011209.130000003</v>
      </c>
      <c r="D139" s="743">
        <v>70403640</v>
      </c>
      <c r="E139" s="743">
        <v>0</v>
      </c>
      <c r="F139" s="743">
        <v>1060180.46</v>
      </c>
      <c r="G139" s="743">
        <v>1060180.46</v>
      </c>
      <c r="H139" s="743">
        <f t="shared" si="62"/>
        <v>5866970</v>
      </c>
      <c r="I139" s="411">
        <f t="shared" si="56"/>
        <v>-4806789.54</v>
      </c>
      <c r="J139" s="411">
        <f t="shared" si="57"/>
        <v>-0.81929676476954882</v>
      </c>
      <c r="K139" s="745">
        <f t="shared" si="63"/>
        <v>70403640</v>
      </c>
      <c r="L139" s="101"/>
    </row>
    <row r="140" spans="1:12" x14ac:dyDescent="0.25">
      <c r="A140" s="704" t="str">
        <f t="shared" si="61"/>
        <v>Information Technology</v>
      </c>
      <c r="B140" s="418"/>
      <c r="C140" s="743">
        <v>22095162.289999999</v>
      </c>
      <c r="D140" s="743">
        <v>31015524</v>
      </c>
      <c r="E140" s="743">
        <v>0</v>
      </c>
      <c r="F140" s="743">
        <v>0</v>
      </c>
      <c r="G140" s="743">
        <v>0</v>
      </c>
      <c r="H140" s="743">
        <f t="shared" si="62"/>
        <v>2584627</v>
      </c>
      <c r="I140" s="411">
        <f t="shared" si="56"/>
        <v>-2584627</v>
      </c>
      <c r="J140" s="411">
        <f t="shared" si="57"/>
        <v>-1</v>
      </c>
      <c r="K140" s="745">
        <f t="shared" si="63"/>
        <v>31015524</v>
      </c>
      <c r="L140" s="101"/>
    </row>
    <row r="141" spans="1:12" x14ac:dyDescent="0.25">
      <c r="A141" s="704" t="str">
        <f t="shared" si="61"/>
        <v>Legal Services</v>
      </c>
      <c r="B141" s="418"/>
      <c r="C141" s="743">
        <v>19132471.289999999</v>
      </c>
      <c r="D141" s="743">
        <v>16056912</v>
      </c>
      <c r="E141" s="743">
        <v>0</v>
      </c>
      <c r="F141" s="743">
        <v>0</v>
      </c>
      <c r="G141" s="743">
        <v>0</v>
      </c>
      <c r="H141" s="743">
        <f t="shared" si="62"/>
        <v>1338076</v>
      </c>
      <c r="I141" s="411">
        <f t="shared" si="56"/>
        <v>-1338076</v>
      </c>
      <c r="J141" s="411">
        <f t="shared" si="57"/>
        <v>-1</v>
      </c>
      <c r="K141" s="745">
        <f t="shared" si="63"/>
        <v>16056912</v>
      </c>
      <c r="L141" s="101"/>
    </row>
    <row r="142" spans="1:12" ht="20.399999999999999" x14ac:dyDescent="0.25">
      <c r="A142" s="704" t="str">
        <f t="shared" si="61"/>
        <v>Marketing, Customer Relations, Publicity and Media Co-ordination</v>
      </c>
      <c r="B142" s="418"/>
      <c r="C142" s="743">
        <v>57277156.590000004</v>
      </c>
      <c r="D142" s="743">
        <v>59836908</v>
      </c>
      <c r="E142" s="743">
        <v>0</v>
      </c>
      <c r="F142" s="743">
        <v>6696.94</v>
      </c>
      <c r="G142" s="743">
        <v>6696.94</v>
      </c>
      <c r="H142" s="743">
        <f t="shared" si="62"/>
        <v>4986409</v>
      </c>
      <c r="I142" s="411">
        <f t="shared" si="56"/>
        <v>-4979712.0599999996</v>
      </c>
      <c r="J142" s="411">
        <f t="shared" si="57"/>
        <v>-0.99865696135234783</v>
      </c>
      <c r="K142" s="745">
        <f t="shared" si="63"/>
        <v>59836908</v>
      </c>
      <c r="L142" s="101"/>
    </row>
    <row r="143" spans="1:12" x14ac:dyDescent="0.25">
      <c r="A143" s="704" t="str">
        <f t="shared" si="61"/>
        <v>Property Services</v>
      </c>
      <c r="B143" s="418"/>
      <c r="C143" s="743">
        <v>1891411.38</v>
      </c>
      <c r="D143" s="743">
        <v>5631816</v>
      </c>
      <c r="E143" s="743">
        <v>0</v>
      </c>
      <c r="F143" s="743">
        <v>0</v>
      </c>
      <c r="G143" s="743">
        <v>0</v>
      </c>
      <c r="H143" s="743">
        <f t="shared" si="62"/>
        <v>469318</v>
      </c>
      <c r="I143" s="411">
        <f t="shared" si="56"/>
        <v>-469318</v>
      </c>
      <c r="J143" s="411">
        <f t="shared" si="57"/>
        <v>-1</v>
      </c>
      <c r="K143" s="745">
        <f t="shared" si="63"/>
        <v>5631816</v>
      </c>
      <c r="L143" s="101"/>
    </row>
    <row r="144" spans="1:12" x14ac:dyDescent="0.25">
      <c r="A144" s="704" t="str">
        <f t="shared" si="61"/>
        <v>Risk Management</v>
      </c>
      <c r="B144" s="418"/>
      <c r="C144" s="743">
        <v>83501651.26000002</v>
      </c>
      <c r="D144" s="743">
        <v>99995628</v>
      </c>
      <c r="E144" s="743">
        <v>0</v>
      </c>
      <c r="F144" s="743">
        <v>2000</v>
      </c>
      <c r="G144" s="743">
        <v>2000</v>
      </c>
      <c r="H144" s="743">
        <f t="shared" si="62"/>
        <v>8332969</v>
      </c>
      <c r="I144" s="411">
        <f t="shared" si="56"/>
        <v>-8330969</v>
      </c>
      <c r="J144" s="411">
        <f t="shared" si="57"/>
        <v>-0.99975998950674128</v>
      </c>
      <c r="K144" s="745">
        <f t="shared" si="63"/>
        <v>99995628</v>
      </c>
      <c r="L144" s="101"/>
    </row>
    <row r="145" spans="1:12" x14ac:dyDescent="0.25">
      <c r="A145" s="704" t="str">
        <f t="shared" si="61"/>
        <v>Security Services</v>
      </c>
      <c r="B145" s="418"/>
      <c r="C145" s="743">
        <v>16289620.110000001</v>
      </c>
      <c r="D145" s="743">
        <v>21257004</v>
      </c>
      <c r="E145" s="743">
        <v>0</v>
      </c>
      <c r="F145" s="743">
        <v>0</v>
      </c>
      <c r="G145" s="743">
        <v>0</v>
      </c>
      <c r="H145" s="743">
        <f t="shared" si="62"/>
        <v>1771417</v>
      </c>
      <c r="I145" s="411">
        <f t="shared" si="56"/>
        <v>-1771417</v>
      </c>
      <c r="J145" s="411">
        <f t="shared" si="57"/>
        <v>-1</v>
      </c>
      <c r="K145" s="745">
        <f t="shared" si="63"/>
        <v>21257004</v>
      </c>
      <c r="L145" s="101"/>
    </row>
    <row r="146" spans="1:12" x14ac:dyDescent="0.25">
      <c r="A146" s="704" t="str">
        <f t="shared" si="61"/>
        <v xml:space="preserve">Supply Chain Management </v>
      </c>
      <c r="B146" s="418"/>
      <c r="C146" s="743">
        <v>0</v>
      </c>
      <c r="D146" s="743">
        <v>0</v>
      </c>
      <c r="E146" s="743">
        <v>0</v>
      </c>
      <c r="F146" s="743">
        <v>0</v>
      </c>
      <c r="G146" s="743">
        <v>0</v>
      </c>
      <c r="H146" s="743">
        <f t="shared" si="62"/>
        <v>0</v>
      </c>
      <c r="I146" s="411">
        <f t="shared" si="56"/>
        <v>0</v>
      </c>
      <c r="J146" s="411" t="str">
        <f t="shared" si="57"/>
        <v/>
      </c>
      <c r="K146" s="745">
        <f t="shared" si="63"/>
        <v>0</v>
      </c>
      <c r="L146" s="101"/>
    </row>
    <row r="147" spans="1:12" x14ac:dyDescent="0.25">
      <c r="A147" s="704" t="str">
        <f t="shared" si="61"/>
        <v>Valuation Service</v>
      </c>
      <c r="B147" s="418"/>
      <c r="C147" s="743"/>
      <c r="D147" s="743"/>
      <c r="E147" s="743">
        <v>0</v>
      </c>
      <c r="F147" s="743"/>
      <c r="G147" s="743"/>
      <c r="H147" s="743">
        <f t="shared" si="62"/>
        <v>0</v>
      </c>
      <c r="I147" s="411">
        <f t="shared" si="56"/>
        <v>0</v>
      </c>
      <c r="J147" s="411" t="str">
        <f t="shared" si="57"/>
        <v/>
      </c>
      <c r="K147" s="745">
        <f t="shared" ref="K147" si="64">D147</f>
        <v>0</v>
      </c>
      <c r="L147" s="101"/>
    </row>
    <row r="148" spans="1:12" x14ac:dyDescent="0.25">
      <c r="A148" s="616" t="str">
        <f>A25</f>
        <v>Internal audit</v>
      </c>
      <c r="B148" s="629"/>
      <c r="C148" s="617">
        <f t="shared" ref="C148:H148" si="65">SUM(C149:C149)</f>
        <v>7594471.9199999999</v>
      </c>
      <c r="D148" s="617">
        <f t="shared" si="65"/>
        <v>13513920</v>
      </c>
      <c r="E148" s="617">
        <f t="shared" si="65"/>
        <v>0</v>
      </c>
      <c r="F148" s="617">
        <f t="shared" si="65"/>
        <v>0</v>
      </c>
      <c r="G148" s="617">
        <f t="shared" si="65"/>
        <v>0</v>
      </c>
      <c r="H148" s="617">
        <f t="shared" si="65"/>
        <v>1126160</v>
      </c>
      <c r="I148" s="617">
        <f t="shared" si="56"/>
        <v>-1126160</v>
      </c>
      <c r="J148" s="617">
        <f t="shared" si="57"/>
        <v>-1</v>
      </c>
      <c r="K148" s="619">
        <f>SUM(K149:K149)</f>
        <v>13513920</v>
      </c>
      <c r="L148" s="101"/>
    </row>
    <row r="149" spans="1:12" x14ac:dyDescent="0.25">
      <c r="A149" s="704" t="str">
        <f>A26</f>
        <v>Governance Function</v>
      </c>
      <c r="B149" s="629"/>
      <c r="C149" s="743">
        <v>7594471.9199999999</v>
      </c>
      <c r="D149" s="743">
        <v>13513920</v>
      </c>
      <c r="E149" s="743">
        <v>0</v>
      </c>
      <c r="F149" s="743">
        <v>0</v>
      </c>
      <c r="G149" s="743">
        <v>0</v>
      </c>
      <c r="H149" s="743">
        <f>D149/12</f>
        <v>1126160</v>
      </c>
      <c r="I149" s="411">
        <f t="shared" si="56"/>
        <v>-1126160</v>
      </c>
      <c r="J149" s="411">
        <f t="shared" si="57"/>
        <v>-1</v>
      </c>
      <c r="K149" s="745">
        <f>D149</f>
        <v>13513920</v>
      </c>
      <c r="L149" s="101"/>
    </row>
    <row r="150" spans="1:12" x14ac:dyDescent="0.25">
      <c r="A150" s="417" t="str">
        <f>A27</f>
        <v>Community and public safety</v>
      </c>
      <c r="B150" s="629"/>
      <c r="C150" s="614">
        <f t="shared" ref="C150:H150" si="66">C151+C173+C179+C186+C189</f>
        <v>212715115.09999999</v>
      </c>
      <c r="D150" s="614">
        <f t="shared" si="66"/>
        <v>272800224</v>
      </c>
      <c r="E150" s="614">
        <f t="shared" si="66"/>
        <v>0</v>
      </c>
      <c r="F150" s="614">
        <f t="shared" si="66"/>
        <v>37565.760000000002</v>
      </c>
      <c r="G150" s="614">
        <f t="shared" si="66"/>
        <v>37565.760000000002</v>
      </c>
      <c r="H150" s="614">
        <f t="shared" si="66"/>
        <v>56867559</v>
      </c>
      <c r="I150" s="614">
        <f t="shared" si="56"/>
        <v>-56829993.240000002</v>
      </c>
      <c r="J150" s="614">
        <f t="shared" si="57"/>
        <v>-0.99933941669625737</v>
      </c>
      <c r="K150" s="615">
        <f>K151+K173+K179+K186+K189</f>
        <v>272800224</v>
      </c>
      <c r="L150" s="101"/>
    </row>
    <row r="151" spans="1:12" x14ac:dyDescent="0.25">
      <c r="A151" s="616" t="str">
        <f>A28</f>
        <v>Community and social services</v>
      </c>
      <c r="B151" s="629"/>
      <c r="C151" s="620">
        <f t="shared" ref="C151:H151" si="67">SUM(C152:C172)</f>
        <v>66389373.119999997</v>
      </c>
      <c r="D151" s="620">
        <f t="shared" si="67"/>
        <v>65851692</v>
      </c>
      <c r="E151" s="620">
        <f t="shared" si="67"/>
        <v>0</v>
      </c>
      <c r="F151" s="620">
        <f t="shared" si="67"/>
        <v>37565.760000000002</v>
      </c>
      <c r="G151" s="620">
        <f t="shared" si="67"/>
        <v>37565.760000000002</v>
      </c>
      <c r="H151" s="620">
        <f t="shared" si="67"/>
        <v>5487641</v>
      </c>
      <c r="I151" s="620">
        <f t="shared" si="56"/>
        <v>-5450075.2400000002</v>
      </c>
      <c r="J151" s="620">
        <f t="shared" si="57"/>
        <v>-0.99315447931087331</v>
      </c>
      <c r="K151" s="623">
        <f>SUM(K152:K172)</f>
        <v>65851692</v>
      </c>
      <c r="L151" s="101"/>
    </row>
    <row r="152" spans="1:12" x14ac:dyDescent="0.25">
      <c r="A152" s="704" t="str">
        <f t="shared" ref="A152:A172" si="68">A29</f>
        <v>Aged Care</v>
      </c>
      <c r="B152" s="629"/>
      <c r="C152" s="743">
        <v>0</v>
      </c>
      <c r="D152" s="743">
        <v>0</v>
      </c>
      <c r="E152" s="743">
        <v>0</v>
      </c>
      <c r="F152" s="743">
        <v>0</v>
      </c>
      <c r="G152" s="743">
        <v>0</v>
      </c>
      <c r="H152" s="743">
        <f t="shared" ref="H152:H172" si="69">D152/12</f>
        <v>0</v>
      </c>
      <c r="I152" s="411">
        <f t="shared" si="56"/>
        <v>0</v>
      </c>
      <c r="J152" s="411" t="str">
        <f t="shared" si="57"/>
        <v/>
      </c>
      <c r="K152" s="745">
        <f>D152</f>
        <v>0</v>
      </c>
      <c r="L152" s="101"/>
    </row>
    <row r="153" spans="1:12" x14ac:dyDescent="0.25">
      <c r="A153" s="704" t="str">
        <f t="shared" si="68"/>
        <v>Agricultural</v>
      </c>
      <c r="B153" s="629"/>
      <c r="C153" s="743">
        <v>0</v>
      </c>
      <c r="D153" s="743">
        <v>0</v>
      </c>
      <c r="E153" s="743">
        <v>0</v>
      </c>
      <c r="F153" s="743">
        <v>0</v>
      </c>
      <c r="G153" s="743">
        <v>0</v>
      </c>
      <c r="H153" s="743">
        <f t="shared" si="69"/>
        <v>0</v>
      </c>
      <c r="I153" s="411">
        <f t="shared" si="56"/>
        <v>0</v>
      </c>
      <c r="J153" s="411" t="str">
        <f t="shared" si="57"/>
        <v/>
      </c>
      <c r="K153" s="745">
        <f t="shared" ref="K153:K172" si="70">D153</f>
        <v>0</v>
      </c>
      <c r="L153" s="101"/>
    </row>
    <row r="154" spans="1:12" x14ac:dyDescent="0.25">
      <c r="A154" s="704" t="str">
        <f t="shared" si="68"/>
        <v>Animal Care and Diseases</v>
      </c>
      <c r="B154" s="629"/>
      <c r="C154" s="743">
        <v>0</v>
      </c>
      <c r="D154" s="743">
        <v>0</v>
      </c>
      <c r="E154" s="743">
        <v>0</v>
      </c>
      <c r="F154" s="743">
        <v>0</v>
      </c>
      <c r="G154" s="743">
        <v>0</v>
      </c>
      <c r="H154" s="743">
        <f t="shared" si="69"/>
        <v>0</v>
      </c>
      <c r="I154" s="411">
        <f t="shared" si="56"/>
        <v>0</v>
      </c>
      <c r="J154" s="411" t="str">
        <f t="shared" si="57"/>
        <v/>
      </c>
      <c r="K154" s="745">
        <f t="shared" si="70"/>
        <v>0</v>
      </c>
      <c r="L154" s="101"/>
    </row>
    <row r="155" spans="1:12" x14ac:dyDescent="0.25">
      <c r="A155" s="704" t="str">
        <f t="shared" si="68"/>
        <v>Cemeteries, Funeral Parlours and Crematoriums</v>
      </c>
      <c r="B155" s="629"/>
      <c r="C155" s="743">
        <v>14303708.589999998</v>
      </c>
      <c r="D155" s="743">
        <v>7052016</v>
      </c>
      <c r="E155" s="743">
        <v>0</v>
      </c>
      <c r="F155" s="743">
        <v>0</v>
      </c>
      <c r="G155" s="743">
        <v>0</v>
      </c>
      <c r="H155" s="743">
        <f t="shared" si="69"/>
        <v>587668</v>
      </c>
      <c r="I155" s="411">
        <f t="shared" si="56"/>
        <v>-587668</v>
      </c>
      <c r="J155" s="411">
        <f t="shared" si="57"/>
        <v>-1</v>
      </c>
      <c r="K155" s="745">
        <f t="shared" si="70"/>
        <v>7052016</v>
      </c>
      <c r="L155" s="101"/>
    </row>
    <row r="156" spans="1:12" x14ac:dyDescent="0.25">
      <c r="A156" s="704" t="str">
        <f t="shared" si="68"/>
        <v>Child Care Facilities</v>
      </c>
      <c r="B156" s="629"/>
      <c r="C156" s="743">
        <v>0</v>
      </c>
      <c r="D156" s="743">
        <v>0</v>
      </c>
      <c r="E156" s="743">
        <v>0</v>
      </c>
      <c r="F156" s="743">
        <v>0</v>
      </c>
      <c r="G156" s="743">
        <v>0</v>
      </c>
      <c r="H156" s="743">
        <f t="shared" si="69"/>
        <v>0</v>
      </c>
      <c r="I156" s="411">
        <f t="shared" si="56"/>
        <v>0</v>
      </c>
      <c r="J156" s="411" t="str">
        <f t="shared" si="57"/>
        <v/>
      </c>
      <c r="K156" s="745">
        <f t="shared" si="70"/>
        <v>0</v>
      </c>
      <c r="L156" s="101"/>
    </row>
    <row r="157" spans="1:12" x14ac:dyDescent="0.25">
      <c r="A157" s="704" t="str">
        <f t="shared" si="68"/>
        <v>Community Halls and Facilities</v>
      </c>
      <c r="B157" s="629"/>
      <c r="C157" s="743">
        <v>23514169.120000001</v>
      </c>
      <c r="D157" s="743">
        <v>12372984</v>
      </c>
      <c r="E157" s="743">
        <v>0</v>
      </c>
      <c r="F157" s="743">
        <v>18574.29</v>
      </c>
      <c r="G157" s="743">
        <v>18574.29</v>
      </c>
      <c r="H157" s="743">
        <f t="shared" si="69"/>
        <v>1031082</v>
      </c>
      <c r="I157" s="411">
        <f t="shared" si="56"/>
        <v>-1012507.71</v>
      </c>
      <c r="J157" s="411">
        <f t="shared" si="57"/>
        <v>-0.98198563256850568</v>
      </c>
      <c r="K157" s="745">
        <f t="shared" si="70"/>
        <v>12372984</v>
      </c>
      <c r="L157" s="101"/>
    </row>
    <row r="158" spans="1:12" x14ac:dyDescent="0.25">
      <c r="A158" s="704" t="str">
        <f t="shared" si="68"/>
        <v>Consumer Protection</v>
      </c>
      <c r="B158" s="629"/>
      <c r="C158" s="743">
        <v>0</v>
      </c>
      <c r="D158" s="743">
        <v>0</v>
      </c>
      <c r="E158" s="743">
        <v>0</v>
      </c>
      <c r="F158" s="743">
        <v>0</v>
      </c>
      <c r="G158" s="743">
        <v>0</v>
      </c>
      <c r="H158" s="743">
        <f t="shared" si="69"/>
        <v>0</v>
      </c>
      <c r="I158" s="411">
        <f t="shared" si="56"/>
        <v>0</v>
      </c>
      <c r="J158" s="411" t="str">
        <f t="shared" si="57"/>
        <v/>
      </c>
      <c r="K158" s="745">
        <f t="shared" si="70"/>
        <v>0</v>
      </c>
      <c r="L158" s="101"/>
    </row>
    <row r="159" spans="1:12" x14ac:dyDescent="0.25">
      <c r="A159" s="704" t="str">
        <f t="shared" si="68"/>
        <v>Cultural Matters</v>
      </c>
      <c r="B159" s="629"/>
      <c r="C159" s="743">
        <v>3582035.4499999988</v>
      </c>
      <c r="D159" s="743">
        <v>5061900</v>
      </c>
      <c r="E159" s="743">
        <v>0</v>
      </c>
      <c r="F159" s="743">
        <v>0</v>
      </c>
      <c r="G159" s="743">
        <v>0</v>
      </c>
      <c r="H159" s="743">
        <f t="shared" si="69"/>
        <v>421825</v>
      </c>
      <c r="I159" s="411">
        <f>G159-H159</f>
        <v>-421825</v>
      </c>
      <c r="J159" s="411">
        <f>IF(I159=0,"",I159/H159)</f>
        <v>-1</v>
      </c>
      <c r="K159" s="745">
        <f t="shared" si="70"/>
        <v>5061900</v>
      </c>
      <c r="L159" s="101"/>
    </row>
    <row r="160" spans="1:12" x14ac:dyDescent="0.25">
      <c r="A160" s="704" t="str">
        <f t="shared" si="68"/>
        <v>Disaster Management</v>
      </c>
      <c r="B160" s="629"/>
      <c r="C160" s="743">
        <v>136965.64000000001</v>
      </c>
      <c r="D160" s="743">
        <v>8503992</v>
      </c>
      <c r="E160" s="743">
        <v>0</v>
      </c>
      <c r="F160" s="743">
        <v>0</v>
      </c>
      <c r="G160" s="743">
        <v>0</v>
      </c>
      <c r="H160" s="743">
        <f t="shared" si="69"/>
        <v>708666</v>
      </c>
      <c r="I160" s="411">
        <f>G160-H160</f>
        <v>-708666</v>
      </c>
      <c r="J160" s="411">
        <f>IF(I160=0,"",I160/H160)</f>
        <v>-1</v>
      </c>
      <c r="K160" s="745">
        <f t="shared" si="70"/>
        <v>8503992</v>
      </c>
      <c r="L160" s="101"/>
    </row>
    <row r="161" spans="1:12" x14ac:dyDescent="0.25">
      <c r="A161" s="704" t="str">
        <f t="shared" si="68"/>
        <v>Education</v>
      </c>
      <c r="B161" s="629"/>
      <c r="C161" s="743">
        <v>0</v>
      </c>
      <c r="D161" s="743">
        <v>0</v>
      </c>
      <c r="E161" s="743">
        <v>0</v>
      </c>
      <c r="F161" s="743">
        <v>0</v>
      </c>
      <c r="G161" s="743">
        <v>0</v>
      </c>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v>0</v>
      </c>
      <c r="D162" s="743">
        <v>0</v>
      </c>
      <c r="E162" s="743">
        <v>0</v>
      </c>
      <c r="F162" s="743">
        <v>0</v>
      </c>
      <c r="G162" s="743">
        <v>0</v>
      </c>
      <c r="H162" s="743">
        <f t="shared" si="69"/>
        <v>0</v>
      </c>
      <c r="I162" s="411">
        <f t="shared" si="71"/>
        <v>0</v>
      </c>
      <c r="J162" s="411" t="str">
        <f t="shared" si="72"/>
        <v/>
      </c>
      <c r="K162" s="745">
        <f t="shared" si="70"/>
        <v>0</v>
      </c>
      <c r="L162" s="101"/>
    </row>
    <row r="163" spans="1:12" x14ac:dyDescent="0.25">
      <c r="A163" s="704" t="str">
        <f t="shared" si="68"/>
        <v>Industrial Promotion</v>
      </c>
      <c r="B163" s="629"/>
      <c r="C163" s="743">
        <v>0</v>
      </c>
      <c r="D163" s="743">
        <v>0</v>
      </c>
      <c r="E163" s="743">
        <v>0</v>
      </c>
      <c r="F163" s="743">
        <v>0</v>
      </c>
      <c r="G163" s="743">
        <v>0</v>
      </c>
      <c r="H163" s="743">
        <f t="shared" si="69"/>
        <v>0</v>
      </c>
      <c r="I163" s="411">
        <f t="shared" si="71"/>
        <v>0</v>
      </c>
      <c r="J163" s="411" t="str">
        <f t="shared" si="72"/>
        <v/>
      </c>
      <c r="K163" s="745">
        <f t="shared" si="70"/>
        <v>0</v>
      </c>
      <c r="L163" s="101"/>
    </row>
    <row r="164" spans="1:12" x14ac:dyDescent="0.25">
      <c r="A164" s="704" t="str">
        <f t="shared" si="68"/>
        <v>Language Policy</v>
      </c>
      <c r="B164" s="629"/>
      <c r="C164" s="743">
        <v>0</v>
      </c>
      <c r="D164" s="743">
        <v>0</v>
      </c>
      <c r="E164" s="743">
        <v>0</v>
      </c>
      <c r="F164" s="743">
        <v>0</v>
      </c>
      <c r="G164" s="743">
        <v>0</v>
      </c>
      <c r="H164" s="743">
        <f t="shared" si="69"/>
        <v>0</v>
      </c>
      <c r="I164" s="411">
        <f t="shared" si="71"/>
        <v>0</v>
      </c>
      <c r="J164" s="411" t="str">
        <f t="shared" si="72"/>
        <v/>
      </c>
      <c r="K164" s="745">
        <f t="shared" si="70"/>
        <v>0</v>
      </c>
      <c r="L164" s="101"/>
    </row>
    <row r="165" spans="1:12" x14ac:dyDescent="0.25">
      <c r="A165" s="704" t="str">
        <f t="shared" si="68"/>
        <v>Libraries and Archives</v>
      </c>
      <c r="B165" s="629"/>
      <c r="C165" s="743">
        <v>16911705.619999997</v>
      </c>
      <c r="D165" s="743">
        <v>21293292</v>
      </c>
      <c r="E165" s="743">
        <v>0</v>
      </c>
      <c r="F165" s="743">
        <v>18991.47</v>
      </c>
      <c r="G165" s="743">
        <v>18991.47</v>
      </c>
      <c r="H165" s="743">
        <f t="shared" si="69"/>
        <v>1774441</v>
      </c>
      <c r="I165" s="411">
        <f t="shared" si="71"/>
        <v>-1755449.53</v>
      </c>
      <c r="J165" s="411">
        <f t="shared" si="72"/>
        <v>-0.98929720965644952</v>
      </c>
      <c r="K165" s="745">
        <f t="shared" si="70"/>
        <v>21293292</v>
      </c>
      <c r="L165" s="101"/>
    </row>
    <row r="166" spans="1:12" x14ac:dyDescent="0.25">
      <c r="A166" s="704" t="str">
        <f t="shared" si="68"/>
        <v>Literacy Programmes</v>
      </c>
      <c r="B166" s="629"/>
      <c r="C166" s="743">
        <v>0</v>
      </c>
      <c r="D166" s="743">
        <v>0</v>
      </c>
      <c r="E166" s="743">
        <v>0</v>
      </c>
      <c r="F166" s="743">
        <v>0</v>
      </c>
      <c r="G166" s="743">
        <v>0</v>
      </c>
      <c r="H166" s="743">
        <f t="shared" si="69"/>
        <v>0</v>
      </c>
      <c r="I166" s="411">
        <f t="shared" si="71"/>
        <v>0</v>
      </c>
      <c r="J166" s="411" t="str">
        <f t="shared" si="72"/>
        <v/>
      </c>
      <c r="K166" s="745">
        <f t="shared" si="70"/>
        <v>0</v>
      </c>
      <c r="L166" s="101"/>
    </row>
    <row r="167" spans="1:12" x14ac:dyDescent="0.25">
      <c r="A167" s="704" t="str">
        <f t="shared" si="68"/>
        <v>Media Services</v>
      </c>
      <c r="B167" s="629"/>
      <c r="C167" s="743">
        <v>0</v>
      </c>
      <c r="D167" s="743">
        <v>0</v>
      </c>
      <c r="E167" s="743">
        <v>0</v>
      </c>
      <c r="F167" s="743">
        <v>0</v>
      </c>
      <c r="G167" s="743">
        <v>0</v>
      </c>
      <c r="H167" s="743">
        <f t="shared" si="69"/>
        <v>0</v>
      </c>
      <c r="I167" s="411">
        <f t="shared" si="56"/>
        <v>0</v>
      </c>
      <c r="J167" s="411" t="str">
        <f t="shared" si="57"/>
        <v/>
      </c>
      <c r="K167" s="745">
        <f t="shared" si="70"/>
        <v>0</v>
      </c>
      <c r="L167" s="101"/>
    </row>
    <row r="168" spans="1:12" x14ac:dyDescent="0.25">
      <c r="A168" s="704" t="str">
        <f t="shared" si="68"/>
        <v>Museums and Art Galleries</v>
      </c>
      <c r="B168" s="629"/>
      <c r="C168" s="743">
        <v>7940788.7000000011</v>
      </c>
      <c r="D168" s="743">
        <v>11567508</v>
      </c>
      <c r="E168" s="743">
        <v>0</v>
      </c>
      <c r="F168" s="743">
        <v>0</v>
      </c>
      <c r="G168" s="743">
        <v>0</v>
      </c>
      <c r="H168" s="743">
        <f t="shared" si="69"/>
        <v>963959</v>
      </c>
      <c r="I168" s="411">
        <f t="shared" si="56"/>
        <v>-963959</v>
      </c>
      <c r="J168" s="411">
        <f t="shared" si="57"/>
        <v>-1</v>
      </c>
      <c r="K168" s="745">
        <f t="shared" si="70"/>
        <v>11567508</v>
      </c>
      <c r="L168" s="101"/>
    </row>
    <row r="169" spans="1:12" x14ac:dyDescent="0.25">
      <c r="A169" s="704" t="str">
        <f t="shared" si="68"/>
        <v>Population Development</v>
      </c>
      <c r="B169" s="629"/>
      <c r="C169" s="743">
        <v>0</v>
      </c>
      <c r="D169" s="743">
        <v>0</v>
      </c>
      <c r="E169" s="743">
        <v>0</v>
      </c>
      <c r="F169" s="743">
        <v>0</v>
      </c>
      <c r="G169" s="743">
        <v>0</v>
      </c>
      <c r="H169" s="743">
        <f t="shared" si="69"/>
        <v>0</v>
      </c>
      <c r="I169" s="411">
        <f t="shared" si="56"/>
        <v>0</v>
      </c>
      <c r="J169" s="411" t="str">
        <f t="shared" si="57"/>
        <v/>
      </c>
      <c r="K169" s="745">
        <f t="shared" si="70"/>
        <v>0</v>
      </c>
      <c r="L169" s="101"/>
    </row>
    <row r="170" spans="1:12" x14ac:dyDescent="0.25">
      <c r="A170" s="704" t="str">
        <f t="shared" si="68"/>
        <v>Provincial Cultural Matters</v>
      </c>
      <c r="B170" s="629"/>
      <c r="C170" s="743">
        <v>0</v>
      </c>
      <c r="D170" s="743">
        <v>0</v>
      </c>
      <c r="E170" s="743">
        <v>0</v>
      </c>
      <c r="F170" s="743">
        <v>0</v>
      </c>
      <c r="G170" s="743">
        <v>0</v>
      </c>
      <c r="H170" s="743">
        <f t="shared" si="69"/>
        <v>0</v>
      </c>
      <c r="I170" s="411">
        <f t="shared" si="56"/>
        <v>0</v>
      </c>
      <c r="J170" s="411" t="str">
        <f t="shared" si="57"/>
        <v/>
      </c>
      <c r="K170" s="745">
        <f t="shared" si="70"/>
        <v>0</v>
      </c>
      <c r="L170" s="101"/>
    </row>
    <row r="171" spans="1:12" x14ac:dyDescent="0.25">
      <c r="A171" s="704" t="str">
        <f t="shared" si="68"/>
        <v>Theatres</v>
      </c>
      <c r="B171" s="629"/>
      <c r="C171" s="743">
        <v>0</v>
      </c>
      <c r="D171" s="743">
        <v>0</v>
      </c>
      <c r="E171" s="743">
        <v>0</v>
      </c>
      <c r="F171" s="743">
        <v>0</v>
      </c>
      <c r="G171" s="743">
        <v>0</v>
      </c>
      <c r="H171" s="743">
        <f t="shared" si="69"/>
        <v>0</v>
      </c>
      <c r="I171" s="411">
        <f t="shared" si="56"/>
        <v>0</v>
      </c>
      <c r="J171" s="411" t="str">
        <f t="shared" si="57"/>
        <v/>
      </c>
      <c r="K171" s="745">
        <f t="shared" si="70"/>
        <v>0</v>
      </c>
      <c r="L171" s="101"/>
    </row>
    <row r="172" spans="1:12" x14ac:dyDescent="0.25">
      <c r="A172" s="704" t="str">
        <f t="shared" si="68"/>
        <v>Zoo's</v>
      </c>
      <c r="B172" s="629"/>
      <c r="C172" s="743">
        <v>0</v>
      </c>
      <c r="D172" s="743">
        <v>0</v>
      </c>
      <c r="E172" s="743">
        <v>0</v>
      </c>
      <c r="F172" s="743">
        <v>0</v>
      </c>
      <c r="G172" s="743">
        <v>0</v>
      </c>
      <c r="H172" s="743">
        <f t="shared" si="69"/>
        <v>0</v>
      </c>
      <c r="I172" s="411">
        <f t="shared" si="56"/>
        <v>0</v>
      </c>
      <c r="J172" s="411" t="str">
        <f t="shared" si="57"/>
        <v/>
      </c>
      <c r="K172" s="745">
        <f t="shared" si="70"/>
        <v>0</v>
      </c>
      <c r="L172" s="101"/>
    </row>
    <row r="173" spans="1:12" x14ac:dyDescent="0.25">
      <c r="A173" s="616" t="str">
        <f t="shared" ref="A173:A181" si="73">A50</f>
        <v>Sport and recreation</v>
      </c>
      <c r="B173" s="629"/>
      <c r="C173" s="620">
        <f t="shared" ref="C173:K173" si="74">SUM(C174:C178)</f>
        <v>85674383.310000002</v>
      </c>
      <c r="D173" s="620">
        <f t="shared" si="74"/>
        <v>136536828</v>
      </c>
      <c r="E173" s="620">
        <f t="shared" si="74"/>
        <v>0</v>
      </c>
      <c r="F173" s="620">
        <f t="shared" si="74"/>
        <v>0</v>
      </c>
      <c r="G173" s="620">
        <f t="shared" si="74"/>
        <v>0</v>
      </c>
      <c r="H173" s="620">
        <f>D173/12*4</f>
        <v>45512276</v>
      </c>
      <c r="I173" s="620">
        <f t="shared" ref="I173:I178" si="75">G173-H173</f>
        <v>-45512276</v>
      </c>
      <c r="J173" s="620">
        <f t="shared" ref="J173:J178" si="76">IF(I173=0,"",I173/H173)</f>
        <v>-1</v>
      </c>
      <c r="K173" s="623">
        <f t="shared" si="74"/>
        <v>136536828</v>
      </c>
      <c r="L173" s="101"/>
    </row>
    <row r="174" spans="1:12" x14ac:dyDescent="0.25">
      <c r="A174" s="704" t="str">
        <f t="shared" si="73"/>
        <v xml:space="preserve">Beaches and Jetties </v>
      </c>
      <c r="B174" s="629"/>
      <c r="C174" s="743">
        <v>0</v>
      </c>
      <c r="D174" s="743">
        <v>0</v>
      </c>
      <c r="E174" s="743">
        <v>0</v>
      </c>
      <c r="F174" s="743">
        <v>0</v>
      </c>
      <c r="G174" s="743">
        <v>0</v>
      </c>
      <c r="H174" s="743">
        <f t="shared" ref="H174:H178" si="77">D174/12</f>
        <v>0</v>
      </c>
      <c r="I174" s="411">
        <f t="shared" si="75"/>
        <v>0</v>
      </c>
      <c r="J174" s="411" t="str">
        <f t="shared" si="76"/>
        <v/>
      </c>
      <c r="K174" s="745">
        <f>D174</f>
        <v>0</v>
      </c>
      <c r="L174" s="101"/>
    </row>
    <row r="175" spans="1:12" x14ac:dyDescent="0.25">
      <c r="A175" s="704" t="str">
        <f t="shared" si="73"/>
        <v>Casinos, Racing, Gambling, Wagering</v>
      </c>
      <c r="B175" s="629"/>
      <c r="C175" s="743">
        <v>0</v>
      </c>
      <c r="D175" s="743">
        <v>0</v>
      </c>
      <c r="E175" s="743">
        <v>0</v>
      </c>
      <c r="F175" s="743">
        <v>0</v>
      </c>
      <c r="G175" s="743">
        <v>0</v>
      </c>
      <c r="H175" s="743">
        <f t="shared" si="77"/>
        <v>0</v>
      </c>
      <c r="I175" s="411">
        <f t="shared" si="75"/>
        <v>0</v>
      </c>
      <c r="J175" s="411" t="str">
        <f t="shared" si="76"/>
        <v/>
      </c>
      <c r="K175" s="745">
        <f>D175</f>
        <v>0</v>
      </c>
      <c r="L175" s="101"/>
    </row>
    <row r="176" spans="1:12" x14ac:dyDescent="0.25">
      <c r="A176" s="704" t="str">
        <f t="shared" si="73"/>
        <v>Community Parks (including Nurseries)</v>
      </c>
      <c r="B176" s="629"/>
      <c r="C176" s="743">
        <v>41495442.839999996</v>
      </c>
      <c r="D176" s="743">
        <v>39189996</v>
      </c>
      <c r="E176" s="743">
        <v>0</v>
      </c>
      <c r="F176" s="743">
        <v>0</v>
      </c>
      <c r="G176" s="743">
        <v>0</v>
      </c>
      <c r="H176" s="743">
        <f t="shared" si="77"/>
        <v>3265833</v>
      </c>
      <c r="I176" s="411">
        <f t="shared" si="75"/>
        <v>-3265833</v>
      </c>
      <c r="J176" s="411">
        <f t="shared" si="76"/>
        <v>-1</v>
      </c>
      <c r="K176" s="745">
        <f>D176</f>
        <v>39189996</v>
      </c>
      <c r="L176" s="101"/>
    </row>
    <row r="177" spans="1:12" x14ac:dyDescent="0.25">
      <c r="A177" s="704" t="str">
        <f t="shared" si="73"/>
        <v>Recreational Facilities</v>
      </c>
      <c r="B177" s="629"/>
      <c r="C177" s="743">
        <v>43080663.31000001</v>
      </c>
      <c r="D177" s="743">
        <v>97346832</v>
      </c>
      <c r="E177" s="743">
        <v>0</v>
      </c>
      <c r="F177" s="743">
        <v>0</v>
      </c>
      <c r="G177" s="743">
        <v>0</v>
      </c>
      <c r="H177" s="743">
        <f t="shared" si="77"/>
        <v>8112236</v>
      </c>
      <c r="I177" s="411">
        <f t="shared" si="75"/>
        <v>-8112236</v>
      </c>
      <c r="J177" s="411">
        <f t="shared" si="76"/>
        <v>-1</v>
      </c>
      <c r="K177" s="745">
        <f>D177</f>
        <v>97346832</v>
      </c>
      <c r="L177" s="101"/>
    </row>
    <row r="178" spans="1:12" x14ac:dyDescent="0.25">
      <c r="A178" s="704" t="str">
        <f t="shared" si="73"/>
        <v>Sports Grounds and Stadiums</v>
      </c>
      <c r="B178" s="629"/>
      <c r="C178" s="743">
        <v>1098277.1599999999</v>
      </c>
      <c r="D178" s="743">
        <v>0</v>
      </c>
      <c r="E178" s="743">
        <v>0</v>
      </c>
      <c r="F178" s="743">
        <v>0</v>
      </c>
      <c r="G178" s="743">
        <v>0</v>
      </c>
      <c r="H178" s="743">
        <f t="shared" si="77"/>
        <v>0</v>
      </c>
      <c r="I178" s="411">
        <f t="shared" si="75"/>
        <v>0</v>
      </c>
      <c r="J178" s="411" t="str">
        <f t="shared" si="76"/>
        <v/>
      </c>
      <c r="K178" s="745">
        <f>D178</f>
        <v>0</v>
      </c>
      <c r="L178" s="101"/>
    </row>
    <row r="179" spans="1:12" x14ac:dyDescent="0.25">
      <c r="A179" s="616" t="str">
        <f t="shared" si="73"/>
        <v>Public safety</v>
      </c>
      <c r="B179" s="629"/>
      <c r="C179" s="620">
        <f t="shared" ref="C179:K179" si="78">SUM(C180:C185)</f>
        <v>56503947.349999994</v>
      </c>
      <c r="D179" s="620">
        <f t="shared" si="78"/>
        <v>51197808</v>
      </c>
      <c r="E179" s="620">
        <f t="shared" si="78"/>
        <v>0</v>
      </c>
      <c r="F179" s="620">
        <f t="shared" si="78"/>
        <v>0</v>
      </c>
      <c r="G179" s="620">
        <f t="shared" si="78"/>
        <v>0</v>
      </c>
      <c r="H179" s="620">
        <f t="shared" si="78"/>
        <v>4266484</v>
      </c>
      <c r="I179" s="620">
        <f t="shared" si="56"/>
        <v>-4266484</v>
      </c>
      <c r="J179" s="620">
        <f t="shared" si="57"/>
        <v>-1</v>
      </c>
      <c r="K179" s="623">
        <f t="shared" si="78"/>
        <v>51197808</v>
      </c>
      <c r="L179" s="101"/>
    </row>
    <row r="180" spans="1:12" x14ac:dyDescent="0.25">
      <c r="A180" s="704" t="str">
        <f t="shared" si="73"/>
        <v>Civil Defence</v>
      </c>
      <c r="B180" s="629"/>
      <c r="C180" s="743">
        <v>6473255.2599999998</v>
      </c>
      <c r="D180" s="743">
        <v>0</v>
      </c>
      <c r="E180" s="743">
        <v>0</v>
      </c>
      <c r="F180" s="743">
        <v>0</v>
      </c>
      <c r="G180" s="743">
        <v>0</v>
      </c>
      <c r="H180" s="743">
        <f t="shared" ref="H180:H185" si="79">D180/12</f>
        <v>0</v>
      </c>
      <c r="I180" s="411">
        <f t="shared" si="56"/>
        <v>0</v>
      </c>
      <c r="J180" s="411" t="str">
        <f t="shared" si="57"/>
        <v/>
      </c>
      <c r="K180" s="745">
        <f t="shared" ref="K180:K185" si="80">D180</f>
        <v>0</v>
      </c>
      <c r="L180" s="101"/>
    </row>
    <row r="181" spans="1:12" x14ac:dyDescent="0.25">
      <c r="A181" s="704" t="str">
        <f t="shared" si="73"/>
        <v>Cleansing</v>
      </c>
      <c r="B181" s="629"/>
      <c r="C181" s="743">
        <v>4021155.87</v>
      </c>
      <c r="D181" s="743">
        <v>0</v>
      </c>
      <c r="E181" s="743">
        <v>0</v>
      </c>
      <c r="F181" s="743">
        <v>0</v>
      </c>
      <c r="G181" s="743">
        <v>0</v>
      </c>
      <c r="H181" s="743">
        <f t="shared" si="79"/>
        <v>0</v>
      </c>
      <c r="I181" s="411">
        <f t="shared" si="56"/>
        <v>0</v>
      </c>
      <c r="J181" s="411" t="str">
        <f t="shared" si="57"/>
        <v/>
      </c>
      <c r="K181" s="745">
        <f t="shared" si="80"/>
        <v>0</v>
      </c>
      <c r="L181" s="101"/>
    </row>
    <row r="182" spans="1:12" x14ac:dyDescent="0.25">
      <c r="A182" s="704" t="str">
        <f t="shared" ref="A182:A189" si="81">A59</f>
        <v>Control of Public Nuisances</v>
      </c>
      <c r="B182" s="629"/>
      <c r="C182" s="743">
        <v>27563368.489999998</v>
      </c>
      <c r="D182" s="743"/>
      <c r="E182" s="743">
        <v>0</v>
      </c>
      <c r="F182" s="743"/>
      <c r="G182" s="743"/>
      <c r="H182" s="743">
        <f t="shared" si="79"/>
        <v>0</v>
      </c>
      <c r="I182" s="411">
        <f>G182-H182</f>
        <v>0</v>
      </c>
      <c r="J182" s="411" t="str">
        <f>IF(I182=0,"",I182/H182)</f>
        <v/>
      </c>
      <c r="K182" s="745">
        <f t="shared" si="80"/>
        <v>0</v>
      </c>
      <c r="L182" s="101"/>
    </row>
    <row r="183" spans="1:12" x14ac:dyDescent="0.25">
      <c r="A183" s="704" t="str">
        <f t="shared" si="81"/>
        <v xml:space="preserve">Fencing and Fences </v>
      </c>
      <c r="B183" s="629"/>
      <c r="C183" s="743"/>
      <c r="D183" s="743"/>
      <c r="E183" s="743">
        <v>0</v>
      </c>
      <c r="F183" s="743"/>
      <c r="G183" s="743"/>
      <c r="H183" s="743">
        <f t="shared" si="79"/>
        <v>0</v>
      </c>
      <c r="I183" s="411">
        <f t="shared" si="56"/>
        <v>0</v>
      </c>
      <c r="J183" s="411" t="str">
        <f t="shared" si="57"/>
        <v/>
      </c>
      <c r="K183" s="745">
        <f t="shared" si="80"/>
        <v>0</v>
      </c>
      <c r="L183" s="101"/>
    </row>
    <row r="184" spans="1:12" x14ac:dyDescent="0.25">
      <c r="A184" s="704" t="str">
        <f t="shared" si="81"/>
        <v>Fire Fighting and Protection</v>
      </c>
      <c r="B184" s="629"/>
      <c r="C184" s="743">
        <v>18446167.73</v>
      </c>
      <c r="D184" s="743">
        <v>51197808</v>
      </c>
      <c r="E184" s="743">
        <v>0</v>
      </c>
      <c r="F184" s="743">
        <v>0</v>
      </c>
      <c r="G184" s="743">
        <v>0</v>
      </c>
      <c r="H184" s="743">
        <f t="shared" si="79"/>
        <v>4266484</v>
      </c>
      <c r="I184" s="411">
        <f t="shared" si="56"/>
        <v>-4266484</v>
      </c>
      <c r="J184" s="411">
        <f t="shared" si="57"/>
        <v>-1</v>
      </c>
      <c r="K184" s="745">
        <f t="shared" si="80"/>
        <v>51197808</v>
      </c>
      <c r="L184" s="101"/>
    </row>
    <row r="185" spans="1:12" x14ac:dyDescent="0.25">
      <c r="A185" s="704" t="str">
        <f t="shared" si="81"/>
        <v>Licensing and Control of Animals</v>
      </c>
      <c r="B185" s="629"/>
      <c r="C185" s="743"/>
      <c r="D185" s="743"/>
      <c r="E185" s="743">
        <v>0</v>
      </c>
      <c r="F185" s="743"/>
      <c r="G185" s="743"/>
      <c r="H185" s="743">
        <f t="shared" si="79"/>
        <v>0</v>
      </c>
      <c r="I185" s="411">
        <f t="shared" si="56"/>
        <v>0</v>
      </c>
      <c r="J185" s="411" t="str">
        <f t="shared" si="57"/>
        <v/>
      </c>
      <c r="K185" s="745">
        <f t="shared" si="80"/>
        <v>0</v>
      </c>
      <c r="L185" s="101"/>
    </row>
    <row r="186" spans="1:12" x14ac:dyDescent="0.25">
      <c r="A186" s="616" t="str">
        <f t="shared" si="81"/>
        <v>Housing</v>
      </c>
      <c r="B186" s="629"/>
      <c r="C186" s="620">
        <f t="shared" ref="C186:H186" si="82">SUM(C187:C188)</f>
        <v>589033.43000000005</v>
      </c>
      <c r="D186" s="620">
        <f t="shared" si="82"/>
        <v>12573336</v>
      </c>
      <c r="E186" s="620">
        <f t="shared" si="82"/>
        <v>0</v>
      </c>
      <c r="F186" s="620">
        <f t="shared" si="82"/>
        <v>0</v>
      </c>
      <c r="G186" s="620">
        <f t="shared" si="82"/>
        <v>0</v>
      </c>
      <c r="H186" s="620">
        <f t="shared" si="82"/>
        <v>1047778</v>
      </c>
      <c r="I186" s="620">
        <f>G186-H186</f>
        <v>-1047778</v>
      </c>
      <c r="J186" s="620">
        <f>IF(I186=0,"",I186/H186)</f>
        <v>-1</v>
      </c>
      <c r="K186" s="620">
        <f>SUM(K187:K188)</f>
        <v>12573336</v>
      </c>
      <c r="L186" s="101"/>
    </row>
    <row r="187" spans="1:12" x14ac:dyDescent="0.25">
      <c r="A187" s="704" t="str">
        <f t="shared" si="81"/>
        <v>Housing</v>
      </c>
      <c r="B187" s="629"/>
      <c r="C187" s="743">
        <v>589033.43000000005</v>
      </c>
      <c r="D187" s="743">
        <v>12573336</v>
      </c>
      <c r="E187" s="743">
        <v>0</v>
      </c>
      <c r="F187" s="743">
        <v>0</v>
      </c>
      <c r="G187" s="743">
        <v>0</v>
      </c>
      <c r="H187" s="743">
        <f t="shared" ref="H187:H188" si="83">D187/12</f>
        <v>1047778</v>
      </c>
      <c r="I187" s="411">
        <f>G187-H187</f>
        <v>-1047778</v>
      </c>
      <c r="J187" s="411">
        <f>IF(I187=0,"",I187/H187)</f>
        <v>-1</v>
      </c>
      <c r="K187" s="745">
        <f>D187</f>
        <v>12573336</v>
      </c>
      <c r="L187" s="101"/>
    </row>
    <row r="188" spans="1:12" x14ac:dyDescent="0.25">
      <c r="A188" s="704" t="str">
        <f t="shared" si="81"/>
        <v>Informal Settlements</v>
      </c>
      <c r="B188" s="629"/>
      <c r="C188" s="743"/>
      <c r="D188" s="743"/>
      <c r="E188" s="743"/>
      <c r="F188" s="743"/>
      <c r="G188" s="743"/>
      <c r="H188" s="743">
        <f t="shared" si="83"/>
        <v>0</v>
      </c>
      <c r="I188" s="411">
        <f>G188-H188</f>
        <v>0</v>
      </c>
      <c r="J188" s="411" t="str">
        <f>IF(I188=0,"",I188/H188)</f>
        <v/>
      </c>
      <c r="K188" s="745">
        <f>D188</f>
        <v>0</v>
      </c>
      <c r="L188" s="101"/>
    </row>
    <row r="189" spans="1:12" x14ac:dyDescent="0.25">
      <c r="A189" s="616" t="str">
        <f t="shared" si="81"/>
        <v>Health</v>
      </c>
      <c r="B189" s="629"/>
      <c r="C189" s="620">
        <f t="shared" ref="C189:K189" si="84">SUM(C190:C196)</f>
        <v>3558377.8899999997</v>
      </c>
      <c r="D189" s="620">
        <f t="shared" si="84"/>
        <v>6640560</v>
      </c>
      <c r="E189" s="620">
        <f t="shared" si="84"/>
        <v>0</v>
      </c>
      <c r="F189" s="620">
        <f t="shared" si="84"/>
        <v>0</v>
      </c>
      <c r="G189" s="620">
        <f t="shared" si="84"/>
        <v>0</v>
      </c>
      <c r="H189" s="620">
        <f t="shared" si="84"/>
        <v>553380</v>
      </c>
      <c r="I189" s="620">
        <f t="shared" si="56"/>
        <v>-553380</v>
      </c>
      <c r="J189" s="620">
        <f t="shared" si="57"/>
        <v>-1</v>
      </c>
      <c r="K189" s="623">
        <f t="shared" si="84"/>
        <v>6640560</v>
      </c>
      <c r="L189" s="101"/>
    </row>
    <row r="190" spans="1:12" x14ac:dyDescent="0.25">
      <c r="A190" s="704" t="str">
        <f t="shared" ref="A190:A208" si="85">A67</f>
        <v>Ambulance</v>
      </c>
      <c r="B190" s="629"/>
      <c r="C190" s="743"/>
      <c r="D190" s="743"/>
      <c r="E190" s="743">
        <v>0</v>
      </c>
      <c r="F190" s="743"/>
      <c r="G190" s="743"/>
      <c r="H190" s="743">
        <f t="shared" ref="H190:H196" si="86">D190/12</f>
        <v>0</v>
      </c>
      <c r="I190" s="411">
        <f t="shared" si="56"/>
        <v>0</v>
      </c>
      <c r="J190" s="411" t="str">
        <f t="shared" si="57"/>
        <v/>
      </c>
      <c r="K190" s="745">
        <f>D190</f>
        <v>0</v>
      </c>
      <c r="L190" s="101"/>
    </row>
    <row r="191" spans="1:12" x14ac:dyDescent="0.25">
      <c r="A191" s="704" t="str">
        <f t="shared" si="85"/>
        <v>Health Services</v>
      </c>
      <c r="B191" s="629"/>
      <c r="C191" s="743">
        <v>3558377.8899999997</v>
      </c>
      <c r="D191" s="743">
        <v>6640560</v>
      </c>
      <c r="E191" s="743">
        <v>0</v>
      </c>
      <c r="F191" s="743">
        <v>0</v>
      </c>
      <c r="G191" s="743">
        <v>0</v>
      </c>
      <c r="H191" s="743">
        <f t="shared" si="86"/>
        <v>553380</v>
      </c>
      <c r="I191" s="411">
        <f t="shared" si="56"/>
        <v>-553380</v>
      </c>
      <c r="J191" s="411">
        <f t="shared" si="57"/>
        <v>-1</v>
      </c>
      <c r="K191" s="745">
        <f>D191</f>
        <v>6640560</v>
      </c>
      <c r="L191" s="101"/>
    </row>
    <row r="192" spans="1:12" x14ac:dyDescent="0.25">
      <c r="A192" s="704" t="str">
        <f t="shared" si="85"/>
        <v>Laboratory Services</v>
      </c>
      <c r="B192" s="629"/>
      <c r="C192" s="743"/>
      <c r="D192" s="743"/>
      <c r="E192" s="743">
        <v>0</v>
      </c>
      <c r="F192" s="743"/>
      <c r="G192" s="743"/>
      <c r="H192" s="743">
        <f t="shared" si="86"/>
        <v>0</v>
      </c>
      <c r="I192" s="411">
        <f t="shared" si="56"/>
        <v>0</v>
      </c>
      <c r="J192" s="411" t="str">
        <f t="shared" si="57"/>
        <v/>
      </c>
      <c r="K192" s="745">
        <f t="shared" ref="K192:K196" si="87">D192</f>
        <v>0</v>
      </c>
      <c r="L192" s="101"/>
    </row>
    <row r="193" spans="1:12" x14ac:dyDescent="0.25">
      <c r="A193" s="704" t="str">
        <f t="shared" si="85"/>
        <v>Food Control</v>
      </c>
      <c r="B193" s="629"/>
      <c r="C193" s="743"/>
      <c r="D193" s="743"/>
      <c r="E193" s="743">
        <v>0</v>
      </c>
      <c r="F193" s="743"/>
      <c r="G193" s="743"/>
      <c r="H193" s="743">
        <f t="shared" si="86"/>
        <v>0</v>
      </c>
      <c r="I193" s="411">
        <f>G193-H193</f>
        <v>0</v>
      </c>
      <c r="J193" s="411" t="str">
        <f>IF(I193=0,"",I193/H193)</f>
        <v/>
      </c>
      <c r="K193" s="745">
        <f t="shared" si="87"/>
        <v>0</v>
      </c>
      <c r="L193" s="101"/>
    </row>
    <row r="194" spans="1:12" ht="24" customHeight="1" x14ac:dyDescent="0.25">
      <c r="A194" s="704" t="str">
        <f t="shared" si="85"/>
        <v>Health Surveillance and Prevention of Communicable Diseases including immunizations</v>
      </c>
      <c r="B194" s="629"/>
      <c r="C194" s="743"/>
      <c r="D194" s="743"/>
      <c r="E194" s="743">
        <v>0</v>
      </c>
      <c r="F194" s="743"/>
      <c r="G194" s="743"/>
      <c r="H194" s="743">
        <f t="shared" si="86"/>
        <v>0</v>
      </c>
      <c r="I194" s="411">
        <f>G194-H194</f>
        <v>0</v>
      </c>
      <c r="J194" s="411" t="str">
        <f>IF(I194=0,"",I194/H194)</f>
        <v/>
      </c>
      <c r="K194" s="745">
        <f t="shared" si="87"/>
        <v>0</v>
      </c>
      <c r="L194" s="101"/>
    </row>
    <row r="195" spans="1:12" x14ac:dyDescent="0.25">
      <c r="A195" s="704" t="str">
        <f t="shared" si="85"/>
        <v>Vector Control</v>
      </c>
      <c r="B195" s="629"/>
      <c r="C195" s="743"/>
      <c r="D195" s="743"/>
      <c r="E195" s="743">
        <v>0</v>
      </c>
      <c r="F195" s="743"/>
      <c r="G195" s="743"/>
      <c r="H195" s="743">
        <f t="shared" si="86"/>
        <v>0</v>
      </c>
      <c r="I195" s="411">
        <f t="shared" si="56"/>
        <v>0</v>
      </c>
      <c r="J195" s="411" t="str">
        <f t="shared" si="57"/>
        <v/>
      </c>
      <c r="K195" s="745">
        <f t="shared" si="87"/>
        <v>0</v>
      </c>
      <c r="L195" s="101"/>
    </row>
    <row r="196" spans="1:12" x14ac:dyDescent="0.25">
      <c r="A196" s="704" t="str">
        <f t="shared" si="85"/>
        <v>Chemical Safety</v>
      </c>
      <c r="B196" s="629"/>
      <c r="C196" s="743"/>
      <c r="D196" s="743"/>
      <c r="E196" s="743">
        <v>0</v>
      </c>
      <c r="F196" s="743"/>
      <c r="G196" s="743"/>
      <c r="H196" s="743">
        <f t="shared" si="86"/>
        <v>0</v>
      </c>
      <c r="I196" s="411">
        <f t="shared" si="56"/>
        <v>0</v>
      </c>
      <c r="J196" s="411" t="str">
        <f t="shared" si="57"/>
        <v/>
      </c>
      <c r="K196" s="745">
        <f t="shared" si="87"/>
        <v>0</v>
      </c>
      <c r="L196" s="101"/>
    </row>
    <row r="197" spans="1:12" x14ac:dyDescent="0.25">
      <c r="A197" s="417" t="str">
        <f t="shared" si="85"/>
        <v>Economic and environmental services</v>
      </c>
      <c r="B197" s="629"/>
      <c r="C197" s="614">
        <f t="shared" ref="C197:K197" si="88">C198+C209+C216</f>
        <v>339575607.47000003</v>
      </c>
      <c r="D197" s="614">
        <f t="shared" si="88"/>
        <v>481477748</v>
      </c>
      <c r="E197" s="614">
        <f t="shared" si="88"/>
        <v>0</v>
      </c>
      <c r="F197" s="614">
        <f t="shared" si="88"/>
        <v>73763.55</v>
      </c>
      <c r="G197" s="614">
        <f t="shared" si="88"/>
        <v>73763.55</v>
      </c>
      <c r="H197" s="614">
        <f t="shared" si="88"/>
        <v>40123145.666666664</v>
      </c>
      <c r="I197" s="614">
        <f t="shared" si="56"/>
        <v>-40049382.116666667</v>
      </c>
      <c r="J197" s="614">
        <f t="shared" si="57"/>
        <v>-0.99816157111377046</v>
      </c>
      <c r="K197" s="615">
        <f t="shared" si="88"/>
        <v>481477748</v>
      </c>
      <c r="L197" s="101"/>
    </row>
    <row r="198" spans="1:12" x14ac:dyDescent="0.25">
      <c r="A198" s="616" t="str">
        <f t="shared" si="85"/>
        <v>Planning and development</v>
      </c>
      <c r="B198" s="629"/>
      <c r="C198" s="620">
        <f t="shared" ref="C198:K198" si="89">SUM(C199:C208)</f>
        <v>109149443.87</v>
      </c>
      <c r="D198" s="620">
        <f t="shared" si="89"/>
        <v>130112276</v>
      </c>
      <c r="E198" s="620">
        <f t="shared" si="89"/>
        <v>0</v>
      </c>
      <c r="F198" s="620">
        <f t="shared" si="89"/>
        <v>63500</v>
      </c>
      <c r="G198" s="620">
        <f t="shared" si="89"/>
        <v>63500</v>
      </c>
      <c r="H198" s="620">
        <f t="shared" si="89"/>
        <v>10842689.666666666</v>
      </c>
      <c r="I198" s="620">
        <f t="shared" si="56"/>
        <v>-10779189.666666666</v>
      </c>
      <c r="J198" s="620">
        <f t="shared" si="57"/>
        <v>-0.99414351955537228</v>
      </c>
      <c r="K198" s="623">
        <f t="shared" si="89"/>
        <v>130112276</v>
      </c>
      <c r="L198" s="101"/>
    </row>
    <row r="199" spans="1:12" x14ac:dyDescent="0.25">
      <c r="A199" s="704" t="str">
        <f t="shared" si="85"/>
        <v>Billboards</v>
      </c>
      <c r="B199" s="629"/>
      <c r="C199" s="743">
        <v>0</v>
      </c>
      <c r="D199" s="743">
        <v>0</v>
      </c>
      <c r="E199" s="743">
        <v>0</v>
      </c>
      <c r="F199" s="743">
        <v>0</v>
      </c>
      <c r="G199" s="743">
        <v>0</v>
      </c>
      <c r="H199" s="743">
        <f t="shared" ref="H199:H208" si="90">D199/12</f>
        <v>0</v>
      </c>
      <c r="I199" s="411">
        <f t="shared" si="56"/>
        <v>0</v>
      </c>
      <c r="J199" s="411" t="str">
        <f t="shared" si="57"/>
        <v/>
      </c>
      <c r="K199" s="745">
        <f>D199</f>
        <v>0</v>
      </c>
      <c r="L199" s="101"/>
    </row>
    <row r="200" spans="1:12" x14ac:dyDescent="0.25">
      <c r="A200" s="704" t="str">
        <f t="shared" si="85"/>
        <v>Corporate Wide Strategic Planning (IDPs, LEDs)</v>
      </c>
      <c r="B200" s="629"/>
      <c r="C200" s="743">
        <v>13105988.980000002</v>
      </c>
      <c r="D200" s="743">
        <v>21528708</v>
      </c>
      <c r="E200" s="743">
        <v>0</v>
      </c>
      <c r="F200" s="743">
        <v>63500</v>
      </c>
      <c r="G200" s="743">
        <v>63500</v>
      </c>
      <c r="H200" s="743">
        <f t="shared" si="90"/>
        <v>1794059</v>
      </c>
      <c r="I200" s="411">
        <f t="shared" si="56"/>
        <v>-1730559</v>
      </c>
      <c r="J200" s="411">
        <f t="shared" si="57"/>
        <v>-0.96460540037980913</v>
      </c>
      <c r="K200" s="745">
        <f t="shared" ref="K200:K208" si="91">D200</f>
        <v>21528708</v>
      </c>
      <c r="L200" s="101"/>
    </row>
    <row r="201" spans="1:12" x14ac:dyDescent="0.25">
      <c r="A201" s="704" t="str">
        <f t="shared" si="85"/>
        <v>Central City Improvement District</v>
      </c>
      <c r="B201" s="629"/>
      <c r="C201" s="743">
        <v>0</v>
      </c>
      <c r="D201" s="743">
        <v>0</v>
      </c>
      <c r="E201" s="743">
        <v>0</v>
      </c>
      <c r="F201" s="743">
        <v>0</v>
      </c>
      <c r="G201" s="743">
        <v>0</v>
      </c>
      <c r="H201" s="743">
        <f t="shared" si="90"/>
        <v>0</v>
      </c>
      <c r="I201" s="411">
        <f t="shared" si="56"/>
        <v>0</v>
      </c>
      <c r="J201" s="411" t="str">
        <f t="shared" si="57"/>
        <v/>
      </c>
      <c r="K201" s="745">
        <f t="shared" si="91"/>
        <v>0</v>
      </c>
      <c r="L201" s="101"/>
    </row>
    <row r="202" spans="1:12" x14ac:dyDescent="0.25">
      <c r="A202" s="704" t="str">
        <f t="shared" si="85"/>
        <v>Development Facilitation</v>
      </c>
      <c r="B202" s="629"/>
      <c r="C202" s="743">
        <v>0</v>
      </c>
      <c r="D202" s="743">
        <v>0</v>
      </c>
      <c r="E202" s="743">
        <v>0</v>
      </c>
      <c r="F202" s="743">
        <v>0</v>
      </c>
      <c r="G202" s="743">
        <v>0</v>
      </c>
      <c r="H202" s="743">
        <f t="shared" si="90"/>
        <v>0</v>
      </c>
      <c r="I202" s="411">
        <f>G202-H202</f>
        <v>0</v>
      </c>
      <c r="J202" s="411" t="str">
        <f>IF(I202=0,"",I202/H202)</f>
        <v/>
      </c>
      <c r="K202" s="745">
        <f t="shared" si="91"/>
        <v>0</v>
      </c>
      <c r="L202" s="101"/>
    </row>
    <row r="203" spans="1:12" x14ac:dyDescent="0.25">
      <c r="A203" s="704" t="str">
        <f t="shared" si="85"/>
        <v>Economic Development/Planning</v>
      </c>
      <c r="B203" s="629"/>
      <c r="C203" s="743">
        <v>19868321.709999993</v>
      </c>
      <c r="D203" s="743">
        <v>22262532</v>
      </c>
      <c r="E203" s="743">
        <v>0</v>
      </c>
      <c r="F203" s="743">
        <v>0</v>
      </c>
      <c r="G203" s="743">
        <v>0</v>
      </c>
      <c r="H203" s="743">
        <f t="shared" si="90"/>
        <v>1855211</v>
      </c>
      <c r="I203" s="411">
        <f>G203-H203</f>
        <v>-1855211</v>
      </c>
      <c r="J203" s="411">
        <f>IF(I203=0,"",I203/H203)</f>
        <v>-1</v>
      </c>
      <c r="K203" s="745">
        <f t="shared" si="91"/>
        <v>22262532</v>
      </c>
      <c r="L203" s="101"/>
    </row>
    <row r="204" spans="1:12" x14ac:dyDescent="0.25">
      <c r="A204" s="704" t="str">
        <f t="shared" si="85"/>
        <v>Regional Planning and Development</v>
      </c>
      <c r="B204" s="629"/>
      <c r="C204" s="743">
        <v>4519685.91</v>
      </c>
      <c r="D204" s="743">
        <v>0</v>
      </c>
      <c r="E204" s="743">
        <v>0</v>
      </c>
      <c r="F204" s="743">
        <v>0</v>
      </c>
      <c r="G204" s="743">
        <v>0</v>
      </c>
      <c r="H204" s="743">
        <f t="shared" si="90"/>
        <v>0</v>
      </c>
      <c r="I204" s="411">
        <f>G204-H204</f>
        <v>0</v>
      </c>
      <c r="J204" s="411" t="str">
        <f>IF(I204=0,"",I204/H204)</f>
        <v/>
      </c>
      <c r="K204" s="745">
        <f t="shared" si="91"/>
        <v>0</v>
      </c>
      <c r="L204" s="101"/>
    </row>
    <row r="205" spans="1:12" ht="20.399999999999999" x14ac:dyDescent="0.25">
      <c r="A205" s="704" t="str">
        <f t="shared" si="85"/>
        <v>Town Planning, Building Regulations and Enforcement, and City Engineer</v>
      </c>
      <c r="B205" s="629"/>
      <c r="C205" s="743">
        <v>29074852.710000005</v>
      </c>
      <c r="D205" s="743">
        <v>37434840</v>
      </c>
      <c r="E205" s="743">
        <v>0</v>
      </c>
      <c r="F205" s="743">
        <v>0</v>
      </c>
      <c r="G205" s="743">
        <v>0</v>
      </c>
      <c r="H205" s="743">
        <f t="shared" si="90"/>
        <v>3119570</v>
      </c>
      <c r="I205" s="411">
        <f>G205-H205</f>
        <v>-3119570</v>
      </c>
      <c r="J205" s="411">
        <f>IF(I205=0,"",I205/H205)</f>
        <v>-1</v>
      </c>
      <c r="K205" s="745">
        <f t="shared" si="91"/>
        <v>37434840</v>
      </c>
      <c r="L205" s="101"/>
    </row>
    <row r="206" spans="1:12" x14ac:dyDescent="0.25">
      <c r="A206" s="704" t="str">
        <f t="shared" si="85"/>
        <v>Project Management Unit</v>
      </c>
      <c r="B206" s="629"/>
      <c r="C206" s="743">
        <v>42580594.560000002</v>
      </c>
      <c r="D206" s="743">
        <v>48886196</v>
      </c>
      <c r="E206" s="743">
        <v>0</v>
      </c>
      <c r="F206" s="743">
        <v>0</v>
      </c>
      <c r="G206" s="743">
        <v>0</v>
      </c>
      <c r="H206" s="743">
        <f t="shared" si="90"/>
        <v>4073849.6666666665</v>
      </c>
      <c r="I206" s="411">
        <f>G206-H206</f>
        <v>-4073849.6666666665</v>
      </c>
      <c r="J206" s="411">
        <f>IF(I206=0,"",I206/H206)</f>
        <v>-1</v>
      </c>
      <c r="K206" s="745">
        <f t="shared" si="91"/>
        <v>48886196</v>
      </c>
      <c r="L206" s="101"/>
    </row>
    <row r="207" spans="1:12" x14ac:dyDescent="0.25">
      <c r="A207" s="704" t="str">
        <f t="shared" si="85"/>
        <v>Provincial Planning</v>
      </c>
      <c r="B207" s="629"/>
      <c r="C207" s="743">
        <v>0</v>
      </c>
      <c r="D207" s="743"/>
      <c r="E207" s="743">
        <v>0</v>
      </c>
      <c r="F207" s="743"/>
      <c r="G207" s="743"/>
      <c r="H207" s="743">
        <f t="shared" si="90"/>
        <v>0</v>
      </c>
      <c r="I207" s="411">
        <f t="shared" si="56"/>
        <v>0</v>
      </c>
      <c r="J207" s="411" t="str">
        <f t="shared" si="57"/>
        <v/>
      </c>
      <c r="K207" s="745">
        <f t="shared" si="91"/>
        <v>0</v>
      </c>
      <c r="L207" s="101"/>
    </row>
    <row r="208" spans="1:12" x14ac:dyDescent="0.25">
      <c r="A208" s="704" t="str">
        <f t="shared" si="85"/>
        <v>Support to Local Municipalities</v>
      </c>
      <c r="B208" s="629"/>
      <c r="C208" s="743">
        <v>0</v>
      </c>
      <c r="D208" s="743">
        <v>0</v>
      </c>
      <c r="E208" s="743">
        <v>0</v>
      </c>
      <c r="F208" s="743"/>
      <c r="G208" s="743"/>
      <c r="H208" s="743">
        <f t="shared" si="90"/>
        <v>0</v>
      </c>
      <c r="I208" s="411">
        <f t="shared" si="56"/>
        <v>0</v>
      </c>
      <c r="J208" s="411" t="str">
        <f t="shared" si="57"/>
        <v/>
      </c>
      <c r="K208" s="745">
        <f t="shared" si="91"/>
        <v>0</v>
      </c>
      <c r="L208" s="101"/>
    </row>
    <row r="209" spans="1:12" x14ac:dyDescent="0.25">
      <c r="A209" s="616" t="str">
        <f t="shared" ref="A209:A248" si="92">A86</f>
        <v>Road transport</v>
      </c>
      <c r="B209" s="629"/>
      <c r="C209" s="620">
        <f t="shared" ref="C209:K209" si="93">SUM(C210:C215)</f>
        <v>230055195.11000001</v>
      </c>
      <c r="D209" s="620">
        <f t="shared" si="93"/>
        <v>331561800</v>
      </c>
      <c r="E209" s="620">
        <f t="shared" si="93"/>
        <v>0</v>
      </c>
      <c r="F209" s="620">
        <f t="shared" si="93"/>
        <v>10263.549999999999</v>
      </c>
      <c r="G209" s="620">
        <f t="shared" si="93"/>
        <v>10263.549999999999</v>
      </c>
      <c r="H209" s="620">
        <f>SUM(H210:H215)</f>
        <v>27630150</v>
      </c>
      <c r="I209" s="620">
        <f t="shared" si="56"/>
        <v>-27619886.449999999</v>
      </c>
      <c r="J209" s="620">
        <f t="shared" si="57"/>
        <v>-0.99962853802820462</v>
      </c>
      <c r="K209" s="623">
        <f t="shared" si="93"/>
        <v>331561800</v>
      </c>
      <c r="L209" s="101"/>
    </row>
    <row r="210" spans="1:12" x14ac:dyDescent="0.25">
      <c r="A210" s="704" t="str">
        <f t="shared" si="92"/>
        <v>Police Forces, Traffic and Street Parking Control</v>
      </c>
      <c r="B210" s="629"/>
      <c r="C210" s="743"/>
      <c r="D210" s="743"/>
      <c r="E210" s="743"/>
      <c r="F210" s="743"/>
      <c r="G210" s="743"/>
      <c r="H210" s="743">
        <f t="shared" ref="H210:H215" si="94">D210/12</f>
        <v>0</v>
      </c>
      <c r="I210" s="411">
        <f t="shared" si="56"/>
        <v>0</v>
      </c>
      <c r="J210" s="411" t="str">
        <f t="shared" si="57"/>
        <v/>
      </c>
      <c r="K210" s="745">
        <f t="shared" ref="K210:K215" si="95">D210</f>
        <v>0</v>
      </c>
      <c r="L210" s="101"/>
    </row>
    <row r="211" spans="1:12" x14ac:dyDescent="0.25">
      <c r="A211" s="704" t="str">
        <f t="shared" si="92"/>
        <v>Pounds</v>
      </c>
      <c r="B211" s="629"/>
      <c r="C211" s="743"/>
      <c r="D211" s="743"/>
      <c r="E211" s="743">
        <v>0</v>
      </c>
      <c r="F211" s="743"/>
      <c r="G211" s="743"/>
      <c r="H211" s="743">
        <f t="shared" si="94"/>
        <v>0</v>
      </c>
      <c r="I211" s="411">
        <f t="shared" si="56"/>
        <v>0</v>
      </c>
      <c r="J211" s="411" t="str">
        <f t="shared" si="57"/>
        <v/>
      </c>
      <c r="K211" s="745">
        <f t="shared" si="95"/>
        <v>0</v>
      </c>
      <c r="L211" s="101"/>
    </row>
    <row r="212" spans="1:12" x14ac:dyDescent="0.25">
      <c r="A212" s="704" t="str">
        <f t="shared" si="92"/>
        <v>Public Transport</v>
      </c>
      <c r="B212" s="629"/>
      <c r="C212" s="743">
        <v>59236205.359999999</v>
      </c>
      <c r="D212" s="743">
        <v>30868920</v>
      </c>
      <c r="E212" s="743">
        <v>0</v>
      </c>
      <c r="F212" s="743">
        <v>0</v>
      </c>
      <c r="G212" s="743">
        <v>0</v>
      </c>
      <c r="H212" s="743">
        <f t="shared" si="94"/>
        <v>2572410</v>
      </c>
      <c r="I212" s="411">
        <f t="shared" si="56"/>
        <v>-2572410</v>
      </c>
      <c r="J212" s="411">
        <f t="shared" si="57"/>
        <v>-1</v>
      </c>
      <c r="K212" s="745">
        <f>D212</f>
        <v>30868920</v>
      </c>
      <c r="L212" s="101"/>
    </row>
    <row r="213" spans="1:12" x14ac:dyDescent="0.25">
      <c r="A213" s="704" t="str">
        <f t="shared" si="92"/>
        <v>Road and Traffic Regulation</v>
      </c>
      <c r="B213" s="629"/>
      <c r="C213" s="743">
        <v>75539076.37999998</v>
      </c>
      <c r="D213" s="743">
        <v>195980796</v>
      </c>
      <c r="E213" s="743">
        <v>0</v>
      </c>
      <c r="F213" s="743">
        <v>0</v>
      </c>
      <c r="G213" s="743">
        <v>0</v>
      </c>
      <c r="H213" s="743">
        <f t="shared" si="94"/>
        <v>16331733</v>
      </c>
      <c r="I213" s="411">
        <f>G213-H213</f>
        <v>-16331733</v>
      </c>
      <c r="J213" s="411">
        <f>IF(I213=0,"",I213/H213)</f>
        <v>-1</v>
      </c>
      <c r="K213" s="745">
        <f t="shared" si="95"/>
        <v>195980796</v>
      </c>
      <c r="L213" s="101"/>
    </row>
    <row r="214" spans="1:12" x14ac:dyDescent="0.25">
      <c r="A214" s="704" t="str">
        <f t="shared" si="92"/>
        <v>Roads</v>
      </c>
      <c r="B214" s="629"/>
      <c r="C214" s="743">
        <v>0</v>
      </c>
      <c r="D214" s="743">
        <v>0</v>
      </c>
      <c r="E214" s="743">
        <v>0</v>
      </c>
      <c r="F214" s="743">
        <v>0</v>
      </c>
      <c r="G214" s="743">
        <v>0</v>
      </c>
      <c r="H214" s="743">
        <f t="shared" si="94"/>
        <v>0</v>
      </c>
      <c r="I214" s="411">
        <f t="shared" si="56"/>
        <v>0</v>
      </c>
      <c r="J214" s="411" t="str">
        <f t="shared" si="57"/>
        <v/>
      </c>
      <c r="K214" s="745">
        <f>E214</f>
        <v>0</v>
      </c>
      <c r="L214" s="101"/>
    </row>
    <row r="215" spans="1:12" x14ac:dyDescent="0.25">
      <c r="A215" s="704" t="str">
        <f t="shared" si="92"/>
        <v>Taxi Ranks</v>
      </c>
      <c r="B215" s="629"/>
      <c r="C215" s="743">
        <v>95279913.37000002</v>
      </c>
      <c r="D215" s="743">
        <v>104712084</v>
      </c>
      <c r="E215" s="743">
        <v>0</v>
      </c>
      <c r="F215" s="743">
        <v>10263.549999999999</v>
      </c>
      <c r="G215" s="743">
        <v>10263.549999999999</v>
      </c>
      <c r="H215" s="743">
        <f t="shared" si="94"/>
        <v>8726007</v>
      </c>
      <c r="I215" s="411">
        <f t="shared" si="56"/>
        <v>-8715743.4499999993</v>
      </c>
      <c r="J215" s="411">
        <f t="shared" si="57"/>
        <v>-0.9988237976430685</v>
      </c>
      <c r="K215" s="745">
        <f t="shared" si="95"/>
        <v>104712084</v>
      </c>
      <c r="L215" s="101"/>
    </row>
    <row r="216" spans="1:12" x14ac:dyDescent="0.25">
      <c r="A216" s="616" t="str">
        <f t="shared" si="92"/>
        <v>Environmental protection</v>
      </c>
      <c r="B216" s="629"/>
      <c r="C216" s="620">
        <f t="shared" ref="C216:K216" si="96">SUM(C217:C222)</f>
        <v>370968.49</v>
      </c>
      <c r="D216" s="620">
        <f t="shared" si="96"/>
        <v>19803672</v>
      </c>
      <c r="E216" s="620">
        <f t="shared" si="96"/>
        <v>0</v>
      </c>
      <c r="F216" s="620">
        <f t="shared" si="96"/>
        <v>0</v>
      </c>
      <c r="G216" s="620">
        <f t="shared" si="96"/>
        <v>0</v>
      </c>
      <c r="H216" s="620">
        <f t="shared" si="96"/>
        <v>1650306</v>
      </c>
      <c r="I216" s="620">
        <f t="shared" si="56"/>
        <v>-1650306</v>
      </c>
      <c r="J216" s="620">
        <f t="shared" si="57"/>
        <v>-1</v>
      </c>
      <c r="K216" s="623">
        <f t="shared" si="96"/>
        <v>19803672</v>
      </c>
      <c r="L216" s="101"/>
    </row>
    <row r="217" spans="1:12" x14ac:dyDescent="0.25">
      <c r="A217" s="704" t="str">
        <f t="shared" si="92"/>
        <v>Biodiversity and Landscape</v>
      </c>
      <c r="B217" s="629"/>
      <c r="C217" s="743">
        <v>370968.49</v>
      </c>
      <c r="D217" s="743">
        <v>19803672</v>
      </c>
      <c r="E217" s="743">
        <v>0</v>
      </c>
      <c r="F217" s="743">
        <v>0</v>
      </c>
      <c r="G217" s="743">
        <v>0</v>
      </c>
      <c r="H217" s="743">
        <f t="shared" ref="H217:H222" si="97">D217/12</f>
        <v>1650306</v>
      </c>
      <c r="I217" s="411">
        <f t="shared" si="56"/>
        <v>-1650306</v>
      </c>
      <c r="J217" s="411">
        <f t="shared" si="57"/>
        <v>-1</v>
      </c>
      <c r="K217" s="745">
        <f t="shared" ref="K217:K222" si="98">D217</f>
        <v>19803672</v>
      </c>
      <c r="L217" s="101"/>
    </row>
    <row r="218" spans="1:12" x14ac:dyDescent="0.25">
      <c r="A218" s="704" t="str">
        <f t="shared" si="92"/>
        <v>Coastal Protection</v>
      </c>
      <c r="B218" s="629"/>
      <c r="C218" s="743"/>
      <c r="D218" s="743"/>
      <c r="E218" s="743">
        <v>0</v>
      </c>
      <c r="F218" s="743"/>
      <c r="G218" s="743"/>
      <c r="H218" s="743">
        <f t="shared" si="97"/>
        <v>0</v>
      </c>
      <c r="I218" s="411">
        <f t="shared" si="56"/>
        <v>0</v>
      </c>
      <c r="J218" s="411" t="str">
        <f t="shared" si="57"/>
        <v/>
      </c>
      <c r="K218" s="745">
        <f t="shared" si="98"/>
        <v>0</v>
      </c>
      <c r="L218" s="101"/>
    </row>
    <row r="219" spans="1:12" x14ac:dyDescent="0.25">
      <c r="A219" s="704" t="str">
        <f t="shared" si="92"/>
        <v>Indigenous Forests</v>
      </c>
      <c r="B219" s="629"/>
      <c r="C219" s="743"/>
      <c r="D219" s="743"/>
      <c r="E219" s="743">
        <v>0</v>
      </c>
      <c r="F219" s="743"/>
      <c r="G219" s="743"/>
      <c r="H219" s="743">
        <f t="shared" si="97"/>
        <v>0</v>
      </c>
      <c r="I219" s="411">
        <f t="shared" si="56"/>
        <v>0</v>
      </c>
      <c r="J219" s="411" t="str">
        <f t="shared" si="57"/>
        <v/>
      </c>
      <c r="K219" s="745">
        <f t="shared" si="98"/>
        <v>0</v>
      </c>
      <c r="L219" s="101"/>
    </row>
    <row r="220" spans="1:12" x14ac:dyDescent="0.25">
      <c r="A220" s="704" t="str">
        <f t="shared" si="92"/>
        <v>Nature Conservation</v>
      </c>
      <c r="B220" s="629"/>
      <c r="C220" s="743"/>
      <c r="D220" s="743"/>
      <c r="E220" s="743">
        <v>0</v>
      </c>
      <c r="F220" s="743"/>
      <c r="G220" s="743"/>
      <c r="H220" s="743">
        <f t="shared" si="97"/>
        <v>0</v>
      </c>
      <c r="I220" s="411">
        <f>G220-H220</f>
        <v>0</v>
      </c>
      <c r="J220" s="411" t="str">
        <f>IF(I220=0,"",I220/H220)</f>
        <v/>
      </c>
      <c r="K220" s="745">
        <f t="shared" si="98"/>
        <v>0</v>
      </c>
      <c r="L220" s="101"/>
    </row>
    <row r="221" spans="1:12" x14ac:dyDescent="0.25">
      <c r="A221" s="704" t="str">
        <f t="shared" si="92"/>
        <v>Pollution Control</v>
      </c>
      <c r="B221" s="629"/>
      <c r="C221" s="743"/>
      <c r="D221" s="743"/>
      <c r="E221" s="743">
        <v>0</v>
      </c>
      <c r="F221" s="743"/>
      <c r="G221" s="743"/>
      <c r="H221" s="743">
        <f t="shared" si="97"/>
        <v>0</v>
      </c>
      <c r="I221" s="411">
        <f>G221-H221</f>
        <v>0</v>
      </c>
      <c r="J221" s="411" t="str">
        <f>IF(I221=0,"",I221/H221)</f>
        <v/>
      </c>
      <c r="K221" s="745">
        <f>E221</f>
        <v>0</v>
      </c>
      <c r="L221" s="101"/>
    </row>
    <row r="222" spans="1:12" x14ac:dyDescent="0.25">
      <c r="A222" s="704" t="str">
        <f t="shared" si="92"/>
        <v>Soil Conservation</v>
      </c>
      <c r="B222" s="629"/>
      <c r="C222" s="743"/>
      <c r="D222" s="743"/>
      <c r="E222" s="743">
        <v>0</v>
      </c>
      <c r="F222" s="743"/>
      <c r="G222" s="743"/>
      <c r="H222" s="743">
        <f t="shared" si="97"/>
        <v>0</v>
      </c>
      <c r="I222" s="411">
        <f t="shared" si="56"/>
        <v>0</v>
      </c>
      <c r="J222" s="411" t="str">
        <f t="shared" si="57"/>
        <v/>
      </c>
      <c r="K222" s="745">
        <f t="shared" si="98"/>
        <v>0</v>
      </c>
      <c r="L222" s="101"/>
    </row>
    <row r="223" spans="1:12" x14ac:dyDescent="0.25">
      <c r="A223" s="417" t="str">
        <f t="shared" si="92"/>
        <v>Trading services</v>
      </c>
      <c r="B223" s="629"/>
      <c r="C223" s="614">
        <f>C224+C228+C232+C237</f>
        <v>1299005411.0699995</v>
      </c>
      <c r="D223" s="614">
        <f t="shared" ref="D223:I223" si="99">D224+D228+D232+D237</f>
        <v>1566754708</v>
      </c>
      <c r="E223" s="614">
        <f t="shared" si="99"/>
        <v>0</v>
      </c>
      <c r="F223" s="614">
        <f t="shared" si="99"/>
        <v>91740190.229999989</v>
      </c>
      <c r="G223" s="614">
        <f t="shared" si="99"/>
        <v>91740190.229999989</v>
      </c>
      <c r="H223" s="614">
        <f>H224+H228+H232+H237</f>
        <v>130562892.33333333</v>
      </c>
      <c r="I223" s="614">
        <f t="shared" si="99"/>
        <v>-38822702.103333332</v>
      </c>
      <c r="J223" s="614">
        <f t="shared" si="57"/>
        <v>-0.29734866782988473</v>
      </c>
      <c r="K223" s="615">
        <f>K224+K228+K232+K237</f>
        <v>1566754708</v>
      </c>
      <c r="L223" s="101"/>
    </row>
    <row r="224" spans="1:12" x14ac:dyDescent="0.25">
      <c r="A224" s="616" t="str">
        <f t="shared" si="92"/>
        <v>Energy sources</v>
      </c>
      <c r="B224" s="629"/>
      <c r="C224" s="620">
        <f t="shared" ref="C224:K224" si="100">SUM(C225:C227)</f>
        <v>798519515.72999966</v>
      </c>
      <c r="D224" s="620">
        <f t="shared" si="100"/>
        <v>961329108</v>
      </c>
      <c r="E224" s="620">
        <f t="shared" si="100"/>
        <v>0</v>
      </c>
      <c r="F224" s="620">
        <f t="shared" si="100"/>
        <v>90715951.439999998</v>
      </c>
      <c r="G224" s="620">
        <f t="shared" si="100"/>
        <v>90715951.439999998</v>
      </c>
      <c r="H224" s="620">
        <f t="shared" si="100"/>
        <v>80110759</v>
      </c>
      <c r="I224" s="620">
        <f t="shared" si="56"/>
        <v>10605192.439999998</v>
      </c>
      <c r="J224" s="620">
        <f t="shared" si="57"/>
        <v>0.13238162479524127</v>
      </c>
      <c r="K224" s="623">
        <f t="shared" si="100"/>
        <v>961329108</v>
      </c>
      <c r="L224" s="101"/>
    </row>
    <row r="225" spans="1:12" x14ac:dyDescent="0.25">
      <c r="A225" s="704" t="str">
        <f t="shared" si="92"/>
        <v xml:space="preserve">Electricity </v>
      </c>
      <c r="B225" s="629"/>
      <c r="C225" s="743">
        <v>797672125.25999963</v>
      </c>
      <c r="D225" s="743">
        <v>961329108</v>
      </c>
      <c r="E225" s="743">
        <v>0</v>
      </c>
      <c r="F225" s="743">
        <v>90715951.439999998</v>
      </c>
      <c r="G225" s="743">
        <v>90715951.439999998</v>
      </c>
      <c r="H225" s="743">
        <f t="shared" ref="H225:H240" si="101">D225/12</f>
        <v>80110759</v>
      </c>
      <c r="I225" s="411">
        <f t="shared" si="56"/>
        <v>10605192.439999998</v>
      </c>
      <c r="J225" s="411">
        <f t="shared" si="57"/>
        <v>0.13238162479524127</v>
      </c>
      <c r="K225" s="745">
        <f>D225</f>
        <v>961329108</v>
      </c>
      <c r="L225" s="101"/>
    </row>
    <row r="226" spans="1:12" x14ac:dyDescent="0.25">
      <c r="A226" s="704" t="str">
        <f t="shared" si="92"/>
        <v>Street Lighting and Signal Systems</v>
      </c>
      <c r="B226" s="629"/>
      <c r="C226" s="743">
        <v>847390.47</v>
      </c>
      <c r="D226" s="743">
        <v>0</v>
      </c>
      <c r="E226" s="743">
        <v>0</v>
      </c>
      <c r="F226" s="743">
        <v>0</v>
      </c>
      <c r="G226" s="743">
        <v>0</v>
      </c>
      <c r="H226" s="743">
        <f t="shared" si="101"/>
        <v>0</v>
      </c>
      <c r="I226" s="411">
        <f>G226-H226</f>
        <v>0</v>
      </c>
      <c r="J226" s="411" t="str">
        <f>IF(I226=0,"",I226/H226)</f>
        <v/>
      </c>
      <c r="K226" s="745">
        <f>E226</f>
        <v>0</v>
      </c>
      <c r="L226" s="101"/>
    </row>
    <row r="227" spans="1:12" x14ac:dyDescent="0.25">
      <c r="A227" s="704" t="str">
        <f t="shared" si="92"/>
        <v>Nonelectric Energy</v>
      </c>
      <c r="B227" s="629"/>
      <c r="C227" s="743"/>
      <c r="D227" s="743"/>
      <c r="E227" s="743">
        <v>0</v>
      </c>
      <c r="F227" s="743"/>
      <c r="G227" s="743"/>
      <c r="H227" s="743">
        <f t="shared" si="101"/>
        <v>0</v>
      </c>
      <c r="I227" s="411">
        <f t="shared" si="56"/>
        <v>0</v>
      </c>
      <c r="J227" s="411" t="str">
        <f t="shared" si="57"/>
        <v/>
      </c>
      <c r="K227" s="745">
        <f>D227</f>
        <v>0</v>
      </c>
      <c r="L227" s="101"/>
    </row>
    <row r="228" spans="1:12" x14ac:dyDescent="0.25">
      <c r="A228" s="616" t="str">
        <f t="shared" si="92"/>
        <v>Water management</v>
      </c>
      <c r="B228" s="629"/>
      <c r="C228" s="620">
        <f t="shared" ref="C228:K228" si="102">SUM(C229:C231)</f>
        <v>269795799.24000001</v>
      </c>
      <c r="D228" s="620">
        <f t="shared" si="102"/>
        <v>398912628</v>
      </c>
      <c r="E228" s="620">
        <f t="shared" si="102"/>
        <v>0</v>
      </c>
      <c r="F228" s="620">
        <f t="shared" si="102"/>
        <v>812067.32</v>
      </c>
      <c r="G228" s="620">
        <f t="shared" si="102"/>
        <v>812067.32</v>
      </c>
      <c r="H228" s="620">
        <f t="shared" si="102"/>
        <v>33242719</v>
      </c>
      <c r="I228" s="620">
        <f t="shared" si="56"/>
        <v>-32430651.68</v>
      </c>
      <c r="J228" s="620">
        <f t="shared" si="57"/>
        <v>-0.97557157343236578</v>
      </c>
      <c r="K228" s="623">
        <f t="shared" si="102"/>
        <v>398912628</v>
      </c>
      <c r="L228" s="101"/>
    </row>
    <row r="229" spans="1:12" x14ac:dyDescent="0.25">
      <c r="A229" s="704" t="str">
        <f t="shared" si="92"/>
        <v>Water Treatment</v>
      </c>
      <c r="B229" s="629"/>
      <c r="C229" s="743">
        <v>35154092.359999999</v>
      </c>
      <c r="D229" s="743">
        <v>13669896</v>
      </c>
      <c r="E229" s="743">
        <v>0</v>
      </c>
      <c r="F229" s="743">
        <v>812067.32</v>
      </c>
      <c r="G229" s="743">
        <v>812067.32</v>
      </c>
      <c r="H229" s="743">
        <f t="shared" si="101"/>
        <v>1139158</v>
      </c>
      <c r="I229" s="411">
        <f t="shared" si="56"/>
        <v>-327090.68000000005</v>
      </c>
      <c r="J229" s="411">
        <f t="shared" si="57"/>
        <v>-0.28713372508466783</v>
      </c>
      <c r="K229" s="745">
        <f>D229</f>
        <v>13669896</v>
      </c>
      <c r="L229" s="101"/>
    </row>
    <row r="230" spans="1:12" x14ac:dyDescent="0.25">
      <c r="A230" s="704" t="str">
        <f t="shared" si="92"/>
        <v>Water Distribution</v>
      </c>
      <c r="B230" s="629"/>
      <c r="C230" s="743">
        <v>221685214.59</v>
      </c>
      <c r="D230" s="743">
        <v>385242732</v>
      </c>
      <c r="E230" s="743">
        <v>0</v>
      </c>
      <c r="F230" s="743">
        <v>0</v>
      </c>
      <c r="G230" s="743">
        <v>0</v>
      </c>
      <c r="H230" s="743">
        <f t="shared" si="101"/>
        <v>32103561</v>
      </c>
      <c r="I230" s="411">
        <f>G230-H230</f>
        <v>-32103561</v>
      </c>
      <c r="J230" s="411">
        <f>IF(I230=0,"",I230/H230)</f>
        <v>-1</v>
      </c>
      <c r="K230" s="745">
        <f>D230</f>
        <v>385242732</v>
      </c>
      <c r="L230" s="101"/>
    </row>
    <row r="231" spans="1:12" x14ac:dyDescent="0.25">
      <c r="A231" s="704" t="str">
        <f t="shared" si="92"/>
        <v>Water Storage</v>
      </c>
      <c r="B231" s="629"/>
      <c r="C231" s="743">
        <v>12956492.290000001</v>
      </c>
      <c r="D231" s="743">
        <v>0</v>
      </c>
      <c r="E231" s="743">
        <v>0</v>
      </c>
      <c r="F231" s="743">
        <v>0</v>
      </c>
      <c r="G231" s="743">
        <v>0</v>
      </c>
      <c r="H231" s="743">
        <f t="shared" si="101"/>
        <v>0</v>
      </c>
      <c r="I231" s="411">
        <f t="shared" si="56"/>
        <v>0</v>
      </c>
      <c r="J231" s="411" t="str">
        <f t="shared" si="57"/>
        <v/>
      </c>
      <c r="K231" s="745">
        <f>E231</f>
        <v>0</v>
      </c>
      <c r="L231" s="101"/>
    </row>
    <row r="232" spans="1:12" x14ac:dyDescent="0.25">
      <c r="A232" s="616" t="str">
        <f t="shared" si="92"/>
        <v>Waste water management</v>
      </c>
      <c r="B232" s="629"/>
      <c r="C232" s="620">
        <f t="shared" ref="C232:K232" si="103">SUM(C233:C236)</f>
        <v>94000072.979999989</v>
      </c>
      <c r="D232" s="620">
        <f t="shared" si="103"/>
        <v>77149276</v>
      </c>
      <c r="E232" s="620">
        <f t="shared" si="103"/>
        <v>0</v>
      </c>
      <c r="F232" s="620">
        <f t="shared" si="103"/>
        <v>214500</v>
      </c>
      <c r="G232" s="620">
        <f t="shared" si="103"/>
        <v>214500</v>
      </c>
      <c r="H232" s="620">
        <f t="shared" si="103"/>
        <v>6429106.333333333</v>
      </c>
      <c r="I232" s="620">
        <f t="shared" si="56"/>
        <v>-6214606.333333333</v>
      </c>
      <c r="J232" s="620">
        <f t="shared" si="57"/>
        <v>-0.96663610945616651</v>
      </c>
      <c r="K232" s="623">
        <f t="shared" si="103"/>
        <v>77149276</v>
      </c>
      <c r="L232" s="101"/>
    </row>
    <row r="233" spans="1:12" x14ac:dyDescent="0.25">
      <c r="A233" s="704" t="str">
        <f t="shared" si="92"/>
        <v>Public Toilets</v>
      </c>
      <c r="B233" s="629"/>
      <c r="C233" s="743">
        <v>0</v>
      </c>
      <c r="D233" s="743">
        <v>0</v>
      </c>
      <c r="E233" s="743">
        <v>0</v>
      </c>
      <c r="F233" s="743">
        <v>0</v>
      </c>
      <c r="G233" s="743">
        <v>0</v>
      </c>
      <c r="H233" s="743">
        <f t="shared" si="101"/>
        <v>0</v>
      </c>
      <c r="I233" s="411">
        <f t="shared" si="56"/>
        <v>0</v>
      </c>
      <c r="J233" s="411" t="str">
        <f t="shared" si="57"/>
        <v/>
      </c>
      <c r="K233" s="745">
        <f t="shared" ref="K233:K236" si="104">D233</f>
        <v>0</v>
      </c>
      <c r="L233" s="101"/>
    </row>
    <row r="234" spans="1:12" x14ac:dyDescent="0.25">
      <c r="A234" s="704" t="str">
        <f t="shared" si="92"/>
        <v>Sewerage</v>
      </c>
      <c r="B234" s="629"/>
      <c r="C234" s="743">
        <v>94000072.979999989</v>
      </c>
      <c r="D234" s="743">
        <v>77149276</v>
      </c>
      <c r="E234" s="743">
        <v>0</v>
      </c>
      <c r="F234" s="743">
        <v>214500</v>
      </c>
      <c r="G234" s="743">
        <v>214500</v>
      </c>
      <c r="H234" s="743">
        <f t="shared" si="101"/>
        <v>6429106.333333333</v>
      </c>
      <c r="I234" s="411">
        <f t="shared" si="56"/>
        <v>-6214606.333333333</v>
      </c>
      <c r="J234" s="411">
        <f t="shared" si="57"/>
        <v>-0.96663610945616651</v>
      </c>
      <c r="K234" s="745">
        <f t="shared" si="104"/>
        <v>77149276</v>
      </c>
      <c r="L234" s="101"/>
    </row>
    <row r="235" spans="1:12" x14ac:dyDescent="0.25">
      <c r="A235" s="704" t="str">
        <f t="shared" si="92"/>
        <v>Storm Water Management</v>
      </c>
      <c r="B235" s="629"/>
      <c r="C235" s="743">
        <v>0</v>
      </c>
      <c r="D235" s="743">
        <v>0</v>
      </c>
      <c r="E235" s="743">
        <v>0</v>
      </c>
      <c r="F235" s="743">
        <v>0</v>
      </c>
      <c r="G235" s="743">
        <v>0</v>
      </c>
      <c r="H235" s="743">
        <f t="shared" si="101"/>
        <v>0</v>
      </c>
      <c r="I235" s="411">
        <f>G235-H235</f>
        <v>0</v>
      </c>
      <c r="J235" s="411" t="str">
        <f>IF(I235=0,"",I235/H235)</f>
        <v/>
      </c>
      <c r="K235" s="745">
        <f t="shared" si="104"/>
        <v>0</v>
      </c>
      <c r="L235" s="101"/>
    </row>
    <row r="236" spans="1:12" x14ac:dyDescent="0.25">
      <c r="A236" s="704" t="str">
        <f t="shared" si="92"/>
        <v>Waste Water Treatment</v>
      </c>
      <c r="B236" s="629"/>
      <c r="C236" s="743"/>
      <c r="D236" s="743"/>
      <c r="E236" s="743">
        <v>0</v>
      </c>
      <c r="F236" s="743"/>
      <c r="G236" s="743"/>
      <c r="H236" s="743">
        <f t="shared" si="101"/>
        <v>0</v>
      </c>
      <c r="I236" s="411">
        <f t="shared" si="56"/>
        <v>0</v>
      </c>
      <c r="J236" s="411" t="str">
        <f t="shared" si="57"/>
        <v/>
      </c>
      <c r="K236" s="745">
        <f t="shared" si="104"/>
        <v>0</v>
      </c>
      <c r="L236" s="101"/>
    </row>
    <row r="237" spans="1:12" x14ac:dyDescent="0.25">
      <c r="A237" s="616" t="str">
        <f t="shared" si="92"/>
        <v>Waste management</v>
      </c>
      <c r="B237" s="629"/>
      <c r="C237" s="620">
        <f t="shared" ref="C237:H237" si="105">SUM(C238:C241)</f>
        <v>136690023.11999997</v>
      </c>
      <c r="D237" s="620">
        <f t="shared" si="105"/>
        <v>129363696</v>
      </c>
      <c r="E237" s="620">
        <f t="shared" si="105"/>
        <v>0</v>
      </c>
      <c r="F237" s="620">
        <f t="shared" si="105"/>
        <v>-2328.5300000000002</v>
      </c>
      <c r="G237" s="620">
        <f t="shared" si="105"/>
        <v>-2328.5300000000002</v>
      </c>
      <c r="H237" s="620">
        <f t="shared" si="105"/>
        <v>10780308</v>
      </c>
      <c r="I237" s="620">
        <f t="shared" si="56"/>
        <v>-10782636.529999999</v>
      </c>
      <c r="J237" s="620">
        <f t="shared" si="57"/>
        <v>-1.0002159984668342</v>
      </c>
      <c r="K237" s="620">
        <f>SUM(K238:K241)</f>
        <v>129363696</v>
      </c>
      <c r="L237" s="101"/>
    </row>
    <row r="238" spans="1:12" x14ac:dyDescent="0.25">
      <c r="A238" s="704" t="str">
        <f t="shared" si="92"/>
        <v>Recycling</v>
      </c>
      <c r="B238" s="629"/>
      <c r="C238" s="743">
        <v>0</v>
      </c>
      <c r="D238" s="743">
        <v>0</v>
      </c>
      <c r="E238" s="743">
        <v>0</v>
      </c>
      <c r="F238" s="743">
        <v>0</v>
      </c>
      <c r="G238" s="743">
        <v>0</v>
      </c>
      <c r="H238" s="743">
        <f t="shared" si="101"/>
        <v>0</v>
      </c>
      <c r="I238" s="411">
        <f>G238-H238</f>
        <v>0</v>
      </c>
      <c r="J238" s="411" t="str">
        <f>IF(I238=0,"",I238/H238)</f>
        <v/>
      </c>
      <c r="K238" s="745">
        <f t="shared" ref="K238:K241" si="106">D238</f>
        <v>0</v>
      </c>
      <c r="L238" s="101"/>
    </row>
    <row r="239" spans="1:12" x14ac:dyDescent="0.25">
      <c r="A239" s="704" t="str">
        <f t="shared" si="92"/>
        <v>Solid Waste Disposal (Landfill Sites)</v>
      </c>
      <c r="B239" s="629"/>
      <c r="C239" s="743">
        <v>0</v>
      </c>
      <c r="D239" s="743">
        <v>0</v>
      </c>
      <c r="E239" s="743">
        <v>0</v>
      </c>
      <c r="F239" s="743">
        <v>0</v>
      </c>
      <c r="G239" s="743">
        <v>0</v>
      </c>
      <c r="H239" s="743">
        <f t="shared" si="101"/>
        <v>0</v>
      </c>
      <c r="I239" s="411">
        <f>G239-H239</f>
        <v>0</v>
      </c>
      <c r="J239" s="411" t="str">
        <f>IF(I239=0,"",I239/H239)</f>
        <v/>
      </c>
      <c r="K239" s="745">
        <f t="shared" si="106"/>
        <v>0</v>
      </c>
      <c r="L239" s="101"/>
    </row>
    <row r="240" spans="1:12" x14ac:dyDescent="0.25">
      <c r="A240" s="704" t="str">
        <f t="shared" si="92"/>
        <v>Solid Waste Removal</v>
      </c>
      <c r="B240" s="629"/>
      <c r="C240" s="743">
        <v>121541830.21999998</v>
      </c>
      <c r="D240" s="743">
        <v>129363696</v>
      </c>
      <c r="E240" s="743">
        <v>0</v>
      </c>
      <c r="F240" s="743">
        <v>-2328.5300000000002</v>
      </c>
      <c r="G240" s="743">
        <v>-2328.5300000000002</v>
      </c>
      <c r="H240" s="743">
        <f t="shared" si="101"/>
        <v>10780308</v>
      </c>
      <c r="I240" s="411">
        <f>G240-H240</f>
        <v>-10782636.529999999</v>
      </c>
      <c r="J240" s="411">
        <f>IF(I240=0,"",I240/H240)</f>
        <v>-1.0002159984668342</v>
      </c>
      <c r="K240" s="745">
        <f t="shared" si="106"/>
        <v>129363696</v>
      </c>
      <c r="L240" s="101"/>
    </row>
    <row r="241" spans="1:12" x14ac:dyDescent="0.25">
      <c r="A241" s="704" t="str">
        <f t="shared" si="92"/>
        <v>Street Cleaning</v>
      </c>
      <c r="B241" s="418"/>
      <c r="C241" s="743">
        <v>15148192.899999999</v>
      </c>
      <c r="D241" s="743">
        <v>0</v>
      </c>
      <c r="E241" s="743">
        <v>0</v>
      </c>
      <c r="F241" s="743">
        <v>0</v>
      </c>
      <c r="G241" s="743">
        <v>0</v>
      </c>
      <c r="H241" s="743">
        <v>0</v>
      </c>
      <c r="I241" s="411">
        <f t="shared" si="56"/>
        <v>0</v>
      </c>
      <c r="J241" s="411" t="str">
        <f t="shared" si="57"/>
        <v/>
      </c>
      <c r="K241" s="745">
        <f t="shared" si="106"/>
        <v>0</v>
      </c>
      <c r="L241" s="101"/>
    </row>
    <row r="242" spans="1:12" x14ac:dyDescent="0.25">
      <c r="A242" s="417" t="str">
        <f t="shared" si="92"/>
        <v>Other</v>
      </c>
      <c r="B242" s="418"/>
      <c r="C242" s="620">
        <f t="shared" ref="C242:K242" si="107">SUM(C243:C248)</f>
        <v>0</v>
      </c>
      <c r="D242" s="620">
        <f t="shared" si="107"/>
        <v>0</v>
      </c>
      <c r="E242" s="620">
        <f t="shared" si="107"/>
        <v>0</v>
      </c>
      <c r="F242" s="620">
        <f t="shared" si="107"/>
        <v>0</v>
      </c>
      <c r="G242" s="620">
        <f t="shared" si="107"/>
        <v>0</v>
      </c>
      <c r="H242" s="620">
        <f t="shared" si="107"/>
        <v>0</v>
      </c>
      <c r="I242" s="620">
        <f t="shared" si="56"/>
        <v>0</v>
      </c>
      <c r="J242" s="620" t="str">
        <f t="shared" si="57"/>
        <v/>
      </c>
      <c r="K242" s="623">
        <f t="shared" si="107"/>
        <v>0</v>
      </c>
      <c r="L242" s="101"/>
    </row>
    <row r="243" spans="1:12" x14ac:dyDescent="0.25">
      <c r="A243" s="616" t="str">
        <f t="shared" si="92"/>
        <v>Abattoirs</v>
      </c>
      <c r="B243" s="418"/>
      <c r="C243" s="743"/>
      <c r="D243" s="743"/>
      <c r="E243" s="743"/>
      <c r="F243" s="743"/>
      <c r="G243" s="743"/>
      <c r="H243" s="743">
        <f t="shared" ref="H243:H248" si="108">D243/12*7</f>
        <v>0</v>
      </c>
      <c r="I243" s="411">
        <f t="shared" si="56"/>
        <v>0</v>
      </c>
      <c r="J243" s="411" t="str">
        <f t="shared" si="57"/>
        <v/>
      </c>
      <c r="K243" s="745"/>
      <c r="L243" s="101"/>
    </row>
    <row r="244" spans="1:12" x14ac:dyDescent="0.25">
      <c r="A244" s="616" t="str">
        <f t="shared" si="92"/>
        <v>Air Transport</v>
      </c>
      <c r="B244" s="418"/>
      <c r="C244" s="743"/>
      <c r="D244" s="743"/>
      <c r="E244" s="743"/>
      <c r="F244" s="743"/>
      <c r="G244" s="743"/>
      <c r="H244" s="743">
        <f t="shared" si="108"/>
        <v>0</v>
      </c>
      <c r="I244" s="411">
        <f t="shared" si="56"/>
        <v>0</v>
      </c>
      <c r="J244" s="411" t="str">
        <f t="shared" si="57"/>
        <v/>
      </c>
      <c r="K244" s="745"/>
      <c r="L244" s="101"/>
    </row>
    <row r="245" spans="1:12" x14ac:dyDescent="0.25">
      <c r="A245" s="616" t="str">
        <f t="shared" si="92"/>
        <v xml:space="preserve">Forestry </v>
      </c>
      <c r="B245" s="418"/>
      <c r="C245" s="743"/>
      <c r="D245" s="743"/>
      <c r="E245" s="743"/>
      <c r="F245" s="743"/>
      <c r="G245" s="743"/>
      <c r="H245" s="743">
        <f t="shared" si="108"/>
        <v>0</v>
      </c>
      <c r="I245" s="411">
        <f>G245-H245</f>
        <v>0</v>
      </c>
      <c r="J245" s="411" t="str">
        <f>IF(I245=0,"",I245/H245)</f>
        <v/>
      </c>
      <c r="K245" s="745"/>
      <c r="L245" s="101"/>
    </row>
    <row r="246" spans="1:12" x14ac:dyDescent="0.25">
      <c r="A246" s="616" t="str">
        <f t="shared" si="92"/>
        <v>Licensing and Regulation</v>
      </c>
      <c r="B246" s="418"/>
      <c r="C246" s="743"/>
      <c r="D246" s="743"/>
      <c r="E246" s="743"/>
      <c r="F246" s="743"/>
      <c r="G246" s="743"/>
      <c r="H246" s="743">
        <f t="shared" si="108"/>
        <v>0</v>
      </c>
      <c r="I246" s="411">
        <f t="shared" si="56"/>
        <v>0</v>
      </c>
      <c r="J246" s="411" t="str">
        <f t="shared" si="57"/>
        <v/>
      </c>
      <c r="K246" s="745"/>
      <c r="L246" s="101"/>
    </row>
    <row r="247" spans="1:12" x14ac:dyDescent="0.25">
      <c r="A247" s="616" t="str">
        <f t="shared" si="92"/>
        <v>Markets</v>
      </c>
      <c r="B247" s="418"/>
      <c r="C247" s="743"/>
      <c r="D247" s="743"/>
      <c r="E247" s="743"/>
      <c r="F247" s="743"/>
      <c r="G247" s="743"/>
      <c r="H247" s="743">
        <f t="shared" si="108"/>
        <v>0</v>
      </c>
      <c r="I247" s="411">
        <f>G247-H247</f>
        <v>0</v>
      </c>
      <c r="J247" s="411" t="str">
        <f>IF(I247=0,"",I247/H247)</f>
        <v/>
      </c>
      <c r="K247" s="745"/>
      <c r="L247" s="101"/>
    </row>
    <row r="248" spans="1:12" x14ac:dyDescent="0.25">
      <c r="A248" s="616" t="str">
        <f t="shared" si="92"/>
        <v>Tourism</v>
      </c>
      <c r="B248" s="418"/>
      <c r="C248" s="743">
        <v>0</v>
      </c>
      <c r="D248" s="743"/>
      <c r="E248" s="743"/>
      <c r="F248" s="743"/>
      <c r="G248" s="743"/>
      <c r="H248" s="743">
        <f t="shared" si="108"/>
        <v>0</v>
      </c>
      <c r="I248" s="411">
        <f>G248-H248</f>
        <v>0</v>
      </c>
      <c r="J248" s="411" t="str">
        <f>IF(I248=0,"",I248/H248)</f>
        <v/>
      </c>
      <c r="K248" s="745"/>
      <c r="L248" s="101"/>
    </row>
    <row r="249" spans="1:12" x14ac:dyDescent="0.25">
      <c r="A249" s="624" t="str">
        <f>"Total "&amp;A128</f>
        <v>Total Expenditure - Functional</v>
      </c>
      <c r="B249" s="418">
        <v>3</v>
      </c>
      <c r="C249" s="549">
        <f t="shared" ref="C249:I249" si="109">C129+C150+C197+C223+C242</f>
        <v>2842745245.5700016</v>
      </c>
      <c r="D249" s="549">
        <f t="shared" si="109"/>
        <v>3549930516</v>
      </c>
      <c r="E249" s="549">
        <f t="shared" si="109"/>
        <v>0</v>
      </c>
      <c r="F249" s="549">
        <f t="shared" si="109"/>
        <v>257062678.19</v>
      </c>
      <c r="G249" s="549">
        <f t="shared" si="109"/>
        <v>257062678.19</v>
      </c>
      <c r="H249" s="549">
        <f>H129+H150+H197+H223+H242</f>
        <v>329961750</v>
      </c>
      <c r="I249" s="549">
        <f t="shared" si="109"/>
        <v>-72899071.810000002</v>
      </c>
      <c r="J249" s="549">
        <f>IF(I249=0,"",I249/H249)</f>
        <v>-0.22093188622620652</v>
      </c>
      <c r="K249" s="606">
        <f>K129+K150+K197+K223+K242</f>
        <v>3549930516</v>
      </c>
      <c r="L249" s="101"/>
    </row>
    <row r="250" spans="1:12" x14ac:dyDescent="0.25">
      <c r="A250" s="630" t="str">
        <f>result</f>
        <v>Surplus/ (Deficit) for the year</v>
      </c>
      <c r="B250" s="631"/>
      <c r="C250" s="77">
        <f t="shared" ref="C250:H250" si="110">C126-C249</f>
        <v>803997202.78999853</v>
      </c>
      <c r="D250" s="77">
        <f t="shared" si="110"/>
        <v>1512993108</v>
      </c>
      <c r="E250" s="77">
        <f t="shared" si="110"/>
        <v>0</v>
      </c>
      <c r="F250" s="77">
        <f t="shared" si="110"/>
        <v>396534574.10850006</v>
      </c>
      <c r="G250" s="77">
        <f t="shared" si="110"/>
        <v>396534574.10850006</v>
      </c>
      <c r="H250" s="77">
        <f t="shared" si="110"/>
        <v>91948552</v>
      </c>
      <c r="I250" s="643">
        <f>G250-H250</f>
        <v>304586022.10850006</v>
      </c>
      <c r="J250" s="643">
        <f>IF(I250=0,"",I250/H250)</f>
        <v>3.3125700784118934</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23" t="s">
        <v>1244</v>
      </c>
      <c r="B255" s="1023"/>
      <c r="C255" s="1023"/>
      <c r="D255" s="1023"/>
      <c r="E255" s="1023"/>
      <c r="F255" s="1023"/>
      <c r="G255" s="1023"/>
      <c r="H255" s="1023"/>
      <c r="I255" s="1023"/>
      <c r="J255" s="1023"/>
      <c r="K255" s="1023"/>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-0.46999979019165039</v>
      </c>
      <c r="D258" s="637">
        <f>D126-'C4-FinPerf RE'!D53</f>
        <v>0</v>
      </c>
      <c r="E258" s="637">
        <f>E126-'C4-FinPerf RE'!E53</f>
        <v>0</v>
      </c>
      <c r="F258" s="637">
        <f>F126-'C4-FinPerf RE'!F53</f>
        <v>0</v>
      </c>
      <c r="G258" s="637">
        <f>G126-'C4-FinPerf RE'!G53</f>
        <v>0</v>
      </c>
      <c r="H258" s="637">
        <f>H126-'C4-FinPerf RE'!H53</f>
        <v>0</v>
      </c>
      <c r="I258" s="637">
        <f>I126-'C4-FinPerf RE'!I53</f>
        <v>231686950.29850006</v>
      </c>
      <c r="J258" s="638"/>
      <c r="K258" s="637">
        <f>K126-'C4-FinPerf RE'!K53</f>
        <v>0</v>
      </c>
    </row>
    <row r="259" spans="1:11" x14ac:dyDescent="0.25">
      <c r="A259" s="82" t="s">
        <v>186</v>
      </c>
      <c r="B259" s="65"/>
      <c r="C259" s="637">
        <f>C249-'C4-FinPerf RE'!C36</f>
        <v>0</v>
      </c>
      <c r="D259" s="637">
        <f>D249-'C4-FinPerf RE'!D36</f>
        <v>0</v>
      </c>
      <c r="E259" s="637">
        <f>E249-'C4-FinPerf RE'!E36</f>
        <v>0</v>
      </c>
      <c r="F259" s="637">
        <f>F249-'C4-FinPerf RE'!F36</f>
        <v>0</v>
      </c>
      <c r="G259" s="637">
        <f>G249-'C4-FinPerf RE'!G36</f>
        <v>0</v>
      </c>
      <c r="H259" s="637">
        <f>H249-'C4-FinPerf RE'!H36</f>
        <v>34134205</v>
      </c>
      <c r="I259" s="637">
        <f>I249-'C4-FinPerf RE'!I36</f>
        <v>-34134205</v>
      </c>
      <c r="J259" s="638"/>
      <c r="K259" s="637">
        <f>K249-'C4-FinPerf RE'!K36</f>
        <v>0</v>
      </c>
    </row>
    <row r="263" spans="1:11" x14ac:dyDescent="0.25">
      <c r="E263" s="639"/>
    </row>
  </sheetData>
  <mergeCells count="4">
    <mergeCell ref="A255:K255"/>
    <mergeCell ref="A1:K1"/>
    <mergeCell ref="A2:A3"/>
    <mergeCell ref="B2:B3"/>
  </mergeCells>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4.xml><?xml version="1.0" encoding="utf-8"?>
<ds:datastoreItem xmlns:ds="http://schemas.openxmlformats.org/officeDocument/2006/customXml" ds:itemID="{7AFB5407-905C-4A55-86D9-F8F24F173B67}">
  <ds:schemaRef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 ds:uri="http://schemas.microsoft.com/sharepoint/v3"/>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Moleboheng Mathebula</dc:creator>
  <cp:lastModifiedBy>Zinzi Mphahlele</cp:lastModifiedBy>
  <cp:lastPrinted>2019-01-11T06:16:54Z</cp:lastPrinted>
  <dcterms:created xsi:type="dcterms:W3CDTF">2004-04-07T16:19:08Z</dcterms:created>
  <dcterms:modified xsi:type="dcterms:W3CDTF">2019-10-11T08:14:16Z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