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
    </mc:Choice>
  </mc:AlternateContent>
  <workbookProtection lockStructure="1"/>
  <bookViews>
    <workbookView xWindow="0" yWindow="0" windowWidth="21600" windowHeight="7335" tabRatio="866" firstSheet="22" activeTab="30"/>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9" sheetId="35" r:id="rId41"/>
    <sheet name="SB20" sheetId="36"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ADJ1" localSheetId="5">'[1]Template names'!#REF!</definedName>
    <definedName name="_ADJ1" localSheetId="4">'[2]Template names'!#REF!</definedName>
    <definedName name="_ADJ1" localSheetId="39">'Template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#REF!</definedName>
    <definedName name="_ccf05" localSheetId="39">#REF!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'[3]Balance Sheet'!$D$50</definedName>
    <definedName name="_cpi2">'[3]Balance Sheet'!$E$50</definedName>
    <definedName name="_cpi3">'[3]Balance Sheet'!$F$50</definedName>
    <definedName name="_ecf04" localSheetId="39">#REF!</definedName>
    <definedName name="_ecf04">#REF!</definedName>
    <definedName name="_ecf05" localSheetId="39">#REF!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9">#REF!</definedName>
    <definedName name="_emp04">#REF!</definedName>
    <definedName name="_emp05" localSheetId="39">#REF!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xlnm._FilterDatabase" localSheetId="4" hidden="1">'Org structure'!$A$1:$D$166</definedName>
    <definedName name="_inf1" localSheetId="39">#REF!</definedName>
    <definedName name="_inf1">#REF!</definedName>
    <definedName name="_inf2" localSheetId="39">#REF!</definedName>
    <definedName name="_inf2">#REF!</definedName>
    <definedName name="_inf3" localSheetId="39">#REF!</definedName>
    <definedName name="_inf3">#REF!</definedName>
    <definedName name="_int04" localSheetId="39">#REF!</definedName>
    <definedName name="_int04">#REF!</definedName>
    <definedName name="_int05" localSheetId="39">#REF!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9">#REF!</definedName>
    <definedName name="_inv04">#REF!</definedName>
    <definedName name="_inv05" localSheetId="39">#REF!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5">'[1]Template names'!#REF!</definedName>
    <definedName name="_MEB1" localSheetId="4">'[2]Template names'!#REF!</definedName>
    <definedName name="_MEB1" localSheetId="39">'Template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'Template names'!#REF!</definedName>
    <definedName name="_rat03" localSheetId="39">#REF!</definedName>
    <definedName name="_rat03">#REF!</definedName>
    <definedName name="_rat04" localSheetId="39">#REF!</definedName>
    <definedName name="_rat04">#REF!</definedName>
    <definedName name="_rat05" localSheetId="39">#REF!</definedName>
    <definedName name="_rat05">#REF!</definedName>
    <definedName name="_rat06" localSheetId="39">#REF!</definedName>
    <definedName name="_rat06">#REF!</definedName>
    <definedName name="_rat07" localSheetId="39">#REF!</definedName>
    <definedName name="_rat07">#REF!</definedName>
    <definedName name="_rat08" localSheetId="39">#REF!</definedName>
    <definedName name="_rat08">#REF!</definedName>
    <definedName name="_rat09" localSheetId="39">#REF!</definedName>
    <definedName name="_rat09">#REF!</definedName>
    <definedName name="_rat10" localSheetId="39">#REF!</definedName>
    <definedName name="_rat10">#REF!</definedName>
    <definedName name="_rat11" localSheetId="39">#REF!</definedName>
    <definedName name="_rat11">#REF!</definedName>
    <definedName name="_rat12" localSheetId="39">#REF!</definedName>
    <definedName name="_rat12">#REF!</definedName>
    <definedName name="_rat13" localSheetId="39">#REF!</definedName>
    <definedName name="_rat13">#REF!</definedName>
    <definedName name="_rgr05" localSheetId="39">#REF!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1">#REF!</definedName>
    <definedName name="_rmc05" localSheetId="39">#REF!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ch1" localSheetId="39">'[4]Template names'!#REF!</definedName>
    <definedName name="_Sch1">'[4]Template names'!#REF!</definedName>
    <definedName name="_Sch10" localSheetId="39">'[4]Template names'!#REF!</definedName>
    <definedName name="_Sch10">'[4]Template names'!#REF!</definedName>
    <definedName name="_sch11" localSheetId="39">'[4]Template names'!#REF!</definedName>
    <definedName name="_sch11">'[4]Template names'!#REF!</definedName>
    <definedName name="_Sch2" localSheetId="39">'[4]Template names'!#REF!</definedName>
    <definedName name="_Sch2">'[4]Template names'!#REF!</definedName>
    <definedName name="_Sch3" localSheetId="39">'[4]Template names'!#REF!</definedName>
    <definedName name="_Sch3">'[4]Template names'!#REF!</definedName>
    <definedName name="_Sch4" localSheetId="39">'[4]Template names'!#REF!</definedName>
    <definedName name="_Sch4">'[4]Template names'!#REF!</definedName>
    <definedName name="_Sch5" localSheetId="39">'[4]Template names'!#REF!</definedName>
    <definedName name="_Sch5">'[4]Template names'!#REF!</definedName>
    <definedName name="_Sch6" localSheetId="39">'[4]Template names'!#REF!</definedName>
    <definedName name="_Sch6">'[4]Template names'!#REF!</definedName>
    <definedName name="_Sch7" localSheetId="39">'[4]Template names'!#REF!</definedName>
    <definedName name="_Sch7">'[4]Template names'!#REF!</definedName>
    <definedName name="_Sch8" localSheetId="39">'[4]Template names'!#REF!</definedName>
    <definedName name="_Sch8">'[4]Template names'!#REF!</definedName>
    <definedName name="_Sch9" localSheetId="39">'[4]Template names'!#REF!</definedName>
    <definedName name="_Sch9">'[4]Template names'!#REF!</definedName>
    <definedName name="_sdc05" localSheetId="1">#REF!</definedName>
    <definedName name="_sdc05" localSheetId="39">#REF!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1">#REF!</definedName>
    <definedName name="_wc05" localSheetId="39">#REF!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9">'Template names'!$B$98</definedName>
    <definedName name="ADJB2">'Template names'!$B$78</definedName>
    <definedName name="ADJB20">'Template names'!$B$99</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lists'!$R$16:$R$29</definedName>
    <definedName name="Asset_sub_class">'Lookup and lists'!$S$16:$S$59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9">#REF!</definedName>
    <definedName name="balloon">#REF!</definedName>
    <definedName name="basedesc">'Template names'!$D$27:$D$27</definedName>
    <definedName name="Bus" localSheetId="39">#REF!</definedName>
    <definedName name="Bus">#REF!</definedName>
    <definedName name="capexfactor" localSheetId="39">#REF!</definedName>
    <definedName name="capexfactor">#REF!</definedName>
    <definedName name="capexlimit06">#REF!</definedName>
    <definedName name="capexlimit07">#REF!</definedName>
    <definedName name="capexlimit08">#REF!</definedName>
    <definedName name="capexlimit09">#REF!</definedName>
    <definedName name="capexrate04" localSheetId="39">#REF!</definedName>
    <definedName name="capexrate04">#REF!</definedName>
    <definedName name="capexrate05" localSheetId="39">#REF!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names'!$B$59</definedName>
    <definedName name="Cash2">'Template names'!$B$60</definedName>
    <definedName name="cfactor08">#REF!</definedName>
    <definedName name="cfactor09">#REF!</definedName>
    <definedName name="cfactor10">#REF!</definedName>
    <definedName name="cfactor11">#REF!</definedName>
    <definedName name="cfactor12">#REF!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#REF!</definedName>
    <definedName name="cpix05" localSheetId="39">#REF!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9">#REF!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#REF!</definedName>
    <definedName name="debt04" localSheetId="39">#REF!</definedName>
    <definedName name="debt04">#REF!</definedName>
    <definedName name="debt05" localSheetId="39">#REF!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9">#REF!</definedName>
    <definedName name="debtrev04">#REF!</definedName>
    <definedName name="debtrev05" localSheetId="39">#REF!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 localSheetId="5">'[1]Template names'!$B$30</definedName>
    <definedName name="desc" localSheetId="4">'[2]Template names'!$B$30</definedName>
    <definedName name="desc">'Template names'!$B$19</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9">#REF!</definedName>
    <definedName name="ecchoice">#REF!</definedName>
    <definedName name="elec05" localSheetId="39">#REF!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9">#REF!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9">#REF!</definedName>
    <definedName name="incentive">#REF!</definedName>
    <definedName name="infra">#REF!</definedName>
    <definedName name="Infrarenewal">#REF!</definedName>
    <definedName name="infrastratnum">#REF!</definedName>
    <definedName name="Instructions" localSheetId="1">#REF!</definedName>
    <definedName name="Instructions">#REF!</definedName>
    <definedName name="inventory" localSheetId="39">#REF!</definedName>
    <definedName name="inventory">#REF!</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#REF!</definedName>
    <definedName name="MEAB1" localSheetId="5">'[1]Template names'!#REF!</definedName>
    <definedName name="MEAB1" localSheetId="4">'[2]Template names'!#REF!</definedName>
    <definedName name="MEAB1" localSheetId="39">'Template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#REF!</definedName>
    <definedName name="nersa08" localSheetId="39">#REF!</definedName>
    <definedName name="nersa08">#REF!</definedName>
    <definedName name="nethhgr05" localSheetId="39">#REF!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[6]Names!$B$89</definedName>
    <definedName name="Orgstructurevotes" localSheetId="4">'Org structure'!$C$2</definedName>
    <definedName name="OrgStructureVotes">#REF!</definedName>
    <definedName name="poorgr06">#REF!</definedName>
    <definedName name="_xlnm.Print_Area" localSheetId="18">'B10-SerDel'!$A$1:$M$95</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RE'!$A$1:$M$62</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'B9-Asset'!$A$1:$M$103</definedName>
    <definedName name="_xlnm.Print_Area" localSheetId="5">Contacts!$A$1:$D$72</definedName>
    <definedName name="_xlnm.Print_Area" localSheetId="1">Instructions!$A$1:$M$47</definedName>
    <definedName name="_xlnm.Print_Area" localSheetId="19">'SB1'!$A$1:$M$175</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'SB14'!$A$1:$R$45</definedName>
    <definedName name="_xlnm.Print_Area" localSheetId="33">'SB15'!$A$1:$R$57</definedName>
    <definedName name="_xlnm.Print_Area" localSheetId="34">'SB16'!$A$1:$R$43</definedName>
    <definedName name="_xlnm.Print_Area" localSheetId="35">'SB17'!$A$1:$Q$29</definedName>
    <definedName name="_xlnm.Print_Area" localSheetId="36">SB18a!$A$1:$M$100</definedName>
    <definedName name="_xlnm.Print_Area" localSheetId="20">'SB2'!$A$1:$M$79</definedName>
    <definedName name="_xlnm.Print_Area" localSheetId="41">'SB20'!$A$1:$M$55</definedName>
    <definedName name="_xlnm.Print_Area" localSheetId="21">'SB3'!$A$1:$M$75</definedName>
    <definedName name="_xlnm.Print_Area" localSheetId="22">'SB4'!$A$1:$J$41</definedName>
    <definedName name="_xlnm.Print_Area" localSheetId="23">'SB5'!$A$1:$K$254</definedName>
    <definedName name="_xlnm.Print_Area" localSheetId="24">'SB6'!$A$1:$K$33</definedName>
    <definedName name="_xlnm.Print_Area" localSheetId="25">'SB7'!$A$1:$K$65</definedName>
    <definedName name="_xlnm.Print_Area" localSheetId="27">'SB9'!$A$1:$K$65</definedName>
    <definedName name="_xlnm.Print_Titles" localSheetId="21">'SB3'!$2:$4</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#REF!</definedName>
    <definedName name="RandM">'Template names'!$B$61</definedName>
    <definedName name="REDHHGR06" localSheetId="39">#REF!</definedName>
    <definedName name="REDHHGR06">#REF!</definedName>
    <definedName name="redhhgr07" localSheetId="39">#REF!</definedName>
    <definedName name="redhhgr07">#REF!</definedName>
    <definedName name="redrev06" localSheetId="39">#REF!</definedName>
    <definedName name="redrev06">#REF!</definedName>
    <definedName name="redrev07" localSheetId="39">#REF!</definedName>
    <definedName name="redrev07">#REF!</definedName>
    <definedName name="Reds" localSheetId="39">#REF!</definedName>
    <definedName name="Reds">#REF!</definedName>
    <definedName name="renewyears">#REF!</definedName>
    <definedName name="Request0506" localSheetId="39">#REF!</definedName>
    <definedName name="Request0506">#REF!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#REF!</definedName>
    <definedName name="rmcred07" localSheetId="1">#REF!</definedName>
    <definedName name="rmcred07" localSheetId="39">#REF!</definedName>
    <definedName name="rmcred07">#REF!</definedName>
    <definedName name="roundfactor" localSheetId="1">#REF!</definedName>
    <definedName name="roundfactor" localSheetId="39">#REF!</definedName>
    <definedName name="roundfactor">#REF!</definedName>
    <definedName name="S71A" localSheetId="5">'[1]Template names'!#REF!</definedName>
    <definedName name="S71A" localSheetId="4">'[2]Template names'!#REF!</definedName>
    <definedName name="S71A" localSheetId="39">'Template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'[4]Template names'!#REF!</definedName>
    <definedName name="scenario" localSheetId="1">#REF!</definedName>
    <definedName name="scenario" localSheetId="39">#REF!</definedName>
    <definedName name="scenario">#REF!</definedName>
    <definedName name="Sch1a" localSheetId="39">'[4]Template names'!#REF!</definedName>
    <definedName name="Sch1a">'[4]Template names'!#REF!</definedName>
    <definedName name="Sch2N" localSheetId="39">'[4]Template names'!#REF!</definedName>
    <definedName name="Sch2N">'[4]Template names'!#REF!</definedName>
    <definedName name="Sch5N" localSheetId="39">'[4]Template names'!#REF!</definedName>
    <definedName name="Sch5N">'[4]Template names'!#REF!</definedName>
    <definedName name="Sch7N" localSheetId="39">'[4]Template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'[4]Template names'!#REF!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'[4]Template names'!#REF!</definedName>
    <definedName name="Table10" localSheetId="39">'[4]Template names'!#REF!</definedName>
    <definedName name="Table10">'[4]Template names'!#REF!</definedName>
    <definedName name="Table11" localSheetId="39">'[4]Template names'!#REF!</definedName>
    <definedName name="Table11">'[4]Template names'!#REF!</definedName>
    <definedName name="Table12" localSheetId="39">'[4]Template names'!#REF!</definedName>
    <definedName name="Table12">'[4]Template names'!#REF!</definedName>
    <definedName name="Table13" localSheetId="39">'[4]Template names'!#REF!</definedName>
    <definedName name="Table13">'[4]Template names'!#REF!</definedName>
    <definedName name="Table14" localSheetId="39">'[4]Template names'!#REF!</definedName>
    <definedName name="Table14">'[4]Template names'!#REF!</definedName>
    <definedName name="Table14A" localSheetId="39">'[4]Template names'!#REF!</definedName>
    <definedName name="Table14A">'[4]Template names'!#REF!</definedName>
    <definedName name="Table14B" localSheetId="39">'[4]Template names'!#REF!</definedName>
    <definedName name="Table14B">'[4]Template names'!#REF!</definedName>
    <definedName name="Table15" localSheetId="39">'[4]Template names'!#REF!</definedName>
    <definedName name="Table15">'[4]Template names'!#REF!</definedName>
    <definedName name="Table15A" localSheetId="39">'[4]Template names'!#REF!</definedName>
    <definedName name="Table15A">'[4]Template names'!#REF!</definedName>
    <definedName name="Table15New" localSheetId="39">'[4]Template names'!#REF!</definedName>
    <definedName name="Table15New">'[4]Template names'!#REF!</definedName>
    <definedName name="Table16" localSheetId="39">'[4]Template names'!#REF!</definedName>
    <definedName name="Table16">'[4]Template names'!#REF!</definedName>
    <definedName name="Table17" localSheetId="39">'[4]Template names'!#REF!</definedName>
    <definedName name="Table17">'[4]Template names'!#REF!</definedName>
    <definedName name="Table18" localSheetId="39">'[4]Template names'!#REF!</definedName>
    <definedName name="Table18">'[4]Template names'!#REF!</definedName>
    <definedName name="Table19" localSheetId="39">'[4]Template names'!#REF!</definedName>
    <definedName name="Table19">'[4]Template names'!#REF!</definedName>
    <definedName name="Table2" localSheetId="39">'[4]Template names'!#REF!</definedName>
    <definedName name="Table2">'[4]Template names'!#REF!</definedName>
    <definedName name="Table20" localSheetId="39">'[4]Template names'!#REF!</definedName>
    <definedName name="Table20">'[4]Template names'!#REF!</definedName>
    <definedName name="Table21" localSheetId="39">'[4]Template names'!#REF!</definedName>
    <definedName name="Table21">'[4]Template names'!#REF!</definedName>
    <definedName name="Table22" localSheetId="39">'[4]Template names'!#REF!</definedName>
    <definedName name="Table22">'[4]Template names'!#REF!</definedName>
    <definedName name="Table23" localSheetId="39">'[4]Template names'!#REF!</definedName>
    <definedName name="Table23">'[4]Template names'!#REF!</definedName>
    <definedName name="Table24" localSheetId="39">'[4]Template names'!#REF!</definedName>
    <definedName name="Table24">'[4]Template names'!#REF!</definedName>
    <definedName name="Table24A" localSheetId="39">'[4]Template names'!#REF!</definedName>
    <definedName name="Table24A">'[4]Template names'!#REF!</definedName>
    <definedName name="Table25" localSheetId="39">'[4]Template names'!#REF!</definedName>
    <definedName name="Table25">'[4]Template names'!#REF!</definedName>
    <definedName name="Table26" localSheetId="39">'[4]Template names'!#REF!</definedName>
    <definedName name="Table26">'[4]Template names'!#REF!</definedName>
    <definedName name="Table27" localSheetId="39">'[4]Template names'!#REF!</definedName>
    <definedName name="Table27">'[4]Template names'!#REF!</definedName>
    <definedName name="Table28" localSheetId="39">'[4]Template names'!#REF!</definedName>
    <definedName name="Table28">'[4]Template names'!#REF!</definedName>
    <definedName name="Table29" localSheetId="39">'[4]Template names'!#REF!</definedName>
    <definedName name="Table29">'[4]Template names'!#REF!</definedName>
    <definedName name="Table3" localSheetId="39">'[4]Template names'!#REF!</definedName>
    <definedName name="Table3">'[4]Template names'!#REF!</definedName>
    <definedName name="Table30" localSheetId="39">'[4]Template names'!#REF!</definedName>
    <definedName name="Table30">'[4]Template names'!#REF!</definedName>
    <definedName name="Table31" localSheetId="39">'[4]Template names'!#REF!</definedName>
    <definedName name="Table31">'[4]Template names'!#REF!</definedName>
    <definedName name="Table32" localSheetId="39">'[4]Template names'!#REF!</definedName>
    <definedName name="Table32">'[4]Template names'!#REF!</definedName>
    <definedName name="Table33" localSheetId="39">'[4]Template names'!#REF!</definedName>
    <definedName name="Table33">'[4]Template names'!#REF!</definedName>
    <definedName name="Table4" localSheetId="39">'[4]Template names'!#REF!</definedName>
    <definedName name="Table4">'[4]Template names'!#REF!</definedName>
    <definedName name="Table5" localSheetId="39">'[4]Template names'!#REF!</definedName>
    <definedName name="Table5">'[4]Template names'!#REF!</definedName>
    <definedName name="Table6" localSheetId="39">'[4]Template names'!#REF!</definedName>
    <definedName name="Table6">'[4]Template names'!#REF!</definedName>
    <definedName name="Table7" localSheetId="39">'[4]Template names'!#REF!</definedName>
    <definedName name="Table7">'[4]Template names'!#REF!</definedName>
    <definedName name="Table8" localSheetId="39">'[4]Template names'!#REF!</definedName>
    <definedName name="Table8">'[4]Template names'!#REF!</definedName>
    <definedName name="Table9" localSheetId="39">'[4]Template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'[4]Template names'!#REF!</definedName>
    <definedName name="tariffdisc05" localSheetId="1">#REF!</definedName>
    <definedName name="tariffdisc05" localSheetId="39">#REF!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#REF!</definedName>
    <definedName name="Vote1" localSheetId="5">'[1]Org structure'!$B$3:$B$12</definedName>
    <definedName name="Vote1" localSheetId="4">'Org structure'!$D$3:$D$12</definedName>
    <definedName name="Vote1">#REF!</definedName>
    <definedName name="Vote10" localSheetId="5">'[1]Org structure'!$B$103:$B$112</definedName>
    <definedName name="Vote10" localSheetId="4">'Org structure'!$D$102:$D$111</definedName>
    <definedName name="Vote10">#REF!</definedName>
    <definedName name="Vote11" localSheetId="5">'[1]Org structure'!$B$114:$B$123</definedName>
    <definedName name="Vote11" localSheetId="4">'Org structure'!$D$113:$D$122</definedName>
    <definedName name="Vote11">#REF!</definedName>
    <definedName name="Vote12" localSheetId="5">'[1]Org structure'!$B$125:$B$134</definedName>
    <definedName name="Vote12" localSheetId="4">'Org structure'!$D$124:$D$133</definedName>
    <definedName name="Vote12">#REF!</definedName>
    <definedName name="Vote13" localSheetId="5">'[1]Org structure'!$B$136:$B$145</definedName>
    <definedName name="Vote13" localSheetId="4">'Org structure'!$D$135:$D$144</definedName>
    <definedName name="Vote13">#REF!</definedName>
    <definedName name="Vote14" localSheetId="5">'[1]Org structure'!$B$147:$B$156</definedName>
    <definedName name="Vote14" localSheetId="4">'Org structure'!$D$146:$D$155</definedName>
    <definedName name="Vote14">#REF!</definedName>
    <definedName name="Vote15" localSheetId="5">'[1]Org structure'!$B$158:$B$167</definedName>
    <definedName name="Vote15" localSheetId="4">'Org structure'!$D$157:$D$166</definedName>
    <definedName name="Vote15">#REF!</definedName>
    <definedName name="Vote2" localSheetId="5">'[1]Org structure'!$B$14:$B$23</definedName>
    <definedName name="Vote2" localSheetId="4">'Org structure'!$D$14:$D$23</definedName>
    <definedName name="Vote2">#REF!</definedName>
    <definedName name="Vote3" localSheetId="5">'[1]Org structure'!$B$25:$B$34</definedName>
    <definedName name="Vote3" localSheetId="4">'Org structure'!$D$25:$D$34</definedName>
    <definedName name="Vote3">#REF!</definedName>
    <definedName name="Vote4" localSheetId="5">'[1]Org structure'!$B$36:$B$45</definedName>
    <definedName name="Vote4" localSheetId="4">'Org structure'!$D$36:$D$45</definedName>
    <definedName name="Vote4">#REF!</definedName>
    <definedName name="Vote5" localSheetId="5">'[1]Org structure'!$B$47:$B$56</definedName>
    <definedName name="Vote5" localSheetId="4">'Org structure'!$D$47:$D$56</definedName>
    <definedName name="Vote5">#REF!</definedName>
    <definedName name="Vote6" localSheetId="5">'[1]Org structure'!$B$58:$B$67</definedName>
    <definedName name="Vote6" localSheetId="4">'Org structure'!$D$58:$D$67</definedName>
    <definedName name="Vote6">#REF!</definedName>
    <definedName name="Vote7" localSheetId="5">'[1]Org structure'!$B$69:$B$78</definedName>
    <definedName name="Vote7" localSheetId="4">'Org structure'!$D$69:$D$78</definedName>
    <definedName name="Vote7">#REF!</definedName>
    <definedName name="Vote8" localSheetId="5">'[1]Org structure'!$B$80:$B$90</definedName>
    <definedName name="Vote8" localSheetId="4">'Org structure'!$D$80:$D$89</definedName>
    <definedName name="Vote8">#REF!</definedName>
    <definedName name="Vote9" localSheetId="5">'[1]Org structure'!$B$92:$B$101</definedName>
    <definedName name="Vote9" localSheetId="4">'Org structure'!$D$91:$D$100</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52511"/>
</workbook>
</file>

<file path=xl/calcChain.xml><?xml version="1.0" encoding="utf-8"?>
<calcChain xmlns="http://schemas.openxmlformats.org/spreadsheetml/2006/main">
  <c r="J45" i="29" l="1"/>
  <c r="J44" i="29"/>
  <c r="J21" i="29"/>
  <c r="J9" i="29"/>
  <c r="M18" i="33" l="1"/>
  <c r="L27" i="32"/>
  <c r="L22" i="33"/>
  <c r="L18" i="33"/>
  <c r="K22" i="33"/>
  <c r="P46" i="31"/>
  <c r="P25" i="31"/>
  <c r="P20" i="31" l="1"/>
  <c r="P11" i="31"/>
  <c r="P10" i="31"/>
  <c r="P9" i="31"/>
  <c r="P8" i="31"/>
  <c r="K13" i="30"/>
  <c r="L13" i="30"/>
  <c r="M27" i="28"/>
  <c r="L27" i="28"/>
  <c r="K27" i="28"/>
  <c r="J27" i="28"/>
  <c r="M21" i="29"/>
  <c r="M9" i="29"/>
  <c r="L21" i="29"/>
  <c r="L9" i="29"/>
  <c r="K9" i="28"/>
  <c r="H15" i="30" l="1"/>
  <c r="M58" i="15"/>
  <c r="L58" i="15"/>
  <c r="C58" i="15"/>
  <c r="I58" i="15"/>
  <c r="C53" i="18"/>
  <c r="I220" i="48"/>
  <c r="I61" i="11"/>
  <c r="I60" i="11"/>
  <c r="I57" i="11"/>
  <c r="I56" i="11"/>
  <c r="I48" i="11"/>
  <c r="I51" i="11"/>
  <c r="I63" i="11"/>
  <c r="I58" i="11"/>
  <c r="I21" i="18"/>
  <c r="I13" i="46"/>
  <c r="I97" i="47"/>
  <c r="I45" i="17"/>
  <c r="I33" i="18"/>
  <c r="I9" i="13"/>
  <c r="I16" i="13"/>
  <c r="I13" i="14"/>
  <c r="I8" i="13" l="1"/>
  <c r="I41" i="13"/>
  <c r="K38" i="14"/>
  <c r="I8" i="17"/>
  <c r="F20" i="14"/>
  <c r="I236" i="48"/>
  <c r="C39" i="14" l="1"/>
  <c r="P21" i="31" l="1"/>
  <c r="G9" i="24" l="1"/>
  <c r="C9" i="24"/>
  <c r="C31" i="24" s="1"/>
  <c r="D9" i="24"/>
  <c r="E9" i="24"/>
  <c r="F9" i="24"/>
  <c r="G50" i="24"/>
  <c r="F50" i="24"/>
  <c r="F51" i="23"/>
  <c r="I9" i="17" l="1"/>
  <c r="L31" i="10"/>
  <c r="H13" i="24" l="1"/>
  <c r="H14" i="24"/>
  <c r="H15" i="24"/>
  <c r="I15" i="24" s="1"/>
  <c r="H16" i="24"/>
  <c r="I16" i="24" s="1"/>
  <c r="H17" i="24"/>
  <c r="H18" i="24"/>
  <c r="I12" i="24"/>
  <c r="I13" i="24"/>
  <c r="I14" i="24"/>
  <c r="I18" i="24"/>
  <c r="H9" i="24" l="1"/>
  <c r="I17" i="24"/>
  <c r="I9" i="24" s="1"/>
  <c r="I231" i="48"/>
  <c r="M91" i="11" l="1"/>
  <c r="I215" i="48"/>
  <c r="H16" i="23"/>
  <c r="I16" i="23"/>
  <c r="H17" i="23"/>
  <c r="I17" i="23" s="1"/>
  <c r="H18" i="23"/>
  <c r="I18" i="23"/>
  <c r="H19" i="23"/>
  <c r="I19" i="23"/>
  <c r="C9" i="23" l="1"/>
  <c r="K9" i="24"/>
  <c r="J9" i="24"/>
  <c r="M60" i="18"/>
  <c r="L60" i="18"/>
  <c r="G33" i="25"/>
  <c r="F33" i="25"/>
  <c r="H10" i="34"/>
  <c r="I9" i="28" l="1"/>
  <c r="D32" i="28"/>
  <c r="I22" i="33" l="1"/>
  <c r="G22" i="33"/>
  <c r="M14" i="30" l="1"/>
  <c r="L14" i="30"/>
  <c r="K14" i="30"/>
  <c r="J14" i="30"/>
  <c r="M13" i="30"/>
  <c r="J13" i="30"/>
  <c r="J22" i="33" l="1"/>
  <c r="H25" i="34"/>
  <c r="I68" i="11" l="1"/>
  <c r="I54" i="15" l="1"/>
  <c r="H54" i="15"/>
  <c r="H58" i="15"/>
  <c r="I57" i="15"/>
  <c r="I56" i="15"/>
  <c r="H56" i="15"/>
  <c r="I55" i="15"/>
  <c r="H242" i="48" l="1"/>
  <c r="C49" i="18" l="1"/>
  <c r="C27" i="32" l="1"/>
  <c r="C50" i="46" l="1"/>
  <c r="D154" i="17" l="1"/>
  <c r="C154" i="17"/>
  <c r="C36" i="10" s="1"/>
  <c r="K28" i="24"/>
  <c r="J28" i="24"/>
  <c r="K29" i="23"/>
  <c r="J29" i="23"/>
  <c r="M161" i="17"/>
  <c r="I161" i="17"/>
  <c r="H161" i="17"/>
  <c r="G161" i="17"/>
  <c r="F161" i="17"/>
  <c r="E161" i="17"/>
  <c r="D161" i="17"/>
  <c r="C161" i="17"/>
  <c r="D118" i="17"/>
  <c r="C118" i="17"/>
  <c r="F2" i="21"/>
  <c r="D2" i="21"/>
  <c r="M3" i="21"/>
  <c r="L3" i="21"/>
  <c r="K3" i="21"/>
  <c r="J3" i="21"/>
  <c r="I3" i="21"/>
  <c r="H3" i="21"/>
  <c r="G3" i="21"/>
  <c r="M245" i="21"/>
  <c r="M244" i="21"/>
  <c r="L244" i="21"/>
  <c r="L245" i="21" s="1"/>
  <c r="K244" i="21"/>
  <c r="J244" i="21"/>
  <c r="I244" i="21"/>
  <c r="H244" i="21"/>
  <c r="G244" i="21"/>
  <c r="F244" i="21"/>
  <c r="F245" i="21"/>
  <c r="E244" i="21"/>
  <c r="M238" i="21"/>
  <c r="L238" i="21"/>
  <c r="K238" i="21"/>
  <c r="K245" i="21" s="1"/>
  <c r="J238" i="21"/>
  <c r="J245" i="21" s="1"/>
  <c r="I238" i="21"/>
  <c r="I245" i="21" s="1"/>
  <c r="H238" i="21"/>
  <c r="H245" i="21"/>
  <c r="G238" i="21"/>
  <c r="G245" i="21"/>
  <c r="F238" i="21"/>
  <c r="E238" i="21"/>
  <c r="E245" i="21" s="1"/>
  <c r="M234" i="21"/>
  <c r="L234" i="21"/>
  <c r="L235" i="21"/>
  <c r="K234" i="21"/>
  <c r="J234" i="21"/>
  <c r="I234" i="21"/>
  <c r="H234" i="21"/>
  <c r="G234" i="21"/>
  <c r="F234" i="21"/>
  <c r="E234" i="21"/>
  <c r="E235" i="21"/>
  <c r="M230" i="21"/>
  <c r="L230" i="21"/>
  <c r="K230" i="21"/>
  <c r="K235" i="21"/>
  <c r="J230" i="21"/>
  <c r="J235" i="21" s="1"/>
  <c r="I230" i="21"/>
  <c r="I235" i="21"/>
  <c r="H230" i="21"/>
  <c r="H235" i="21" s="1"/>
  <c r="G230" i="21"/>
  <c r="G235" i="21"/>
  <c r="F230" i="21"/>
  <c r="F235" i="21"/>
  <c r="E230" i="21"/>
  <c r="M225" i="21"/>
  <c r="M226" i="21" s="1"/>
  <c r="L225" i="21"/>
  <c r="K225" i="21"/>
  <c r="K226" i="21" s="1"/>
  <c r="J225" i="21"/>
  <c r="J226" i="21" s="1"/>
  <c r="I225" i="21"/>
  <c r="H225" i="21"/>
  <c r="G225" i="21"/>
  <c r="F225" i="21"/>
  <c r="F226" i="21" s="1"/>
  <c r="E225" i="21"/>
  <c r="M221" i="21"/>
  <c r="L221" i="21"/>
  <c r="L226" i="21" s="1"/>
  <c r="K221" i="21"/>
  <c r="J221" i="21"/>
  <c r="I221" i="21"/>
  <c r="I226" i="21" s="1"/>
  <c r="H221" i="21"/>
  <c r="H226" i="21"/>
  <c r="G221" i="21"/>
  <c r="G226" i="21" s="1"/>
  <c r="F221" i="21"/>
  <c r="E221" i="21"/>
  <c r="E226" i="21"/>
  <c r="M213" i="21"/>
  <c r="M214" i="21" s="1"/>
  <c r="L213" i="21"/>
  <c r="K213" i="21"/>
  <c r="J213" i="21"/>
  <c r="I213" i="21"/>
  <c r="H213" i="21"/>
  <c r="G213" i="21"/>
  <c r="F213" i="21"/>
  <c r="E213" i="21"/>
  <c r="M209" i="21"/>
  <c r="L209" i="21"/>
  <c r="L214" i="21" s="1"/>
  <c r="K209" i="21"/>
  <c r="K214" i="21" s="1"/>
  <c r="J209" i="21"/>
  <c r="J214" i="21"/>
  <c r="I209" i="21"/>
  <c r="H209" i="21"/>
  <c r="H214" i="21"/>
  <c r="G209" i="21"/>
  <c r="G214" i="21" s="1"/>
  <c r="F209" i="21"/>
  <c r="E209" i="21"/>
  <c r="E214" i="21"/>
  <c r="J202" i="21"/>
  <c r="I202" i="21"/>
  <c r="H202" i="21"/>
  <c r="G202" i="21"/>
  <c r="F202" i="21"/>
  <c r="E202" i="21"/>
  <c r="M198" i="21"/>
  <c r="M199" i="21" s="1"/>
  <c r="L198" i="21"/>
  <c r="K198" i="21"/>
  <c r="K199" i="21" s="1"/>
  <c r="J198" i="21"/>
  <c r="J199" i="21" s="1"/>
  <c r="I198" i="21"/>
  <c r="H198" i="21"/>
  <c r="G198" i="21"/>
  <c r="F198" i="21"/>
  <c r="F199" i="21" s="1"/>
  <c r="E198" i="21"/>
  <c r="M192" i="21"/>
  <c r="L192" i="21"/>
  <c r="L199" i="21" s="1"/>
  <c r="K192" i="21"/>
  <c r="J192" i="21"/>
  <c r="I192" i="21"/>
  <c r="I199" i="21" s="1"/>
  <c r="H192" i="21"/>
  <c r="H199" i="21"/>
  <c r="G192" i="21"/>
  <c r="G199" i="21" s="1"/>
  <c r="F192" i="21"/>
  <c r="E192" i="21"/>
  <c r="E199" i="21"/>
  <c r="M188" i="21"/>
  <c r="M189" i="21" s="1"/>
  <c r="L188" i="21"/>
  <c r="K188" i="21"/>
  <c r="J188" i="21"/>
  <c r="I188" i="21"/>
  <c r="H188" i="21"/>
  <c r="G188" i="21"/>
  <c r="F188" i="21"/>
  <c r="E188" i="21"/>
  <c r="M184" i="21"/>
  <c r="L184" i="21"/>
  <c r="L189" i="21" s="1"/>
  <c r="K184" i="21"/>
  <c r="K189" i="21" s="1"/>
  <c r="J184" i="21"/>
  <c r="J189" i="21"/>
  <c r="I184" i="21"/>
  <c r="H184" i="21"/>
  <c r="H189" i="21"/>
  <c r="G184" i="21"/>
  <c r="G189" i="21" s="1"/>
  <c r="F184" i="21"/>
  <c r="E184" i="21"/>
  <c r="E189" i="21"/>
  <c r="M180" i="21"/>
  <c r="M179" i="21"/>
  <c r="L179" i="21"/>
  <c r="L180" i="21" s="1"/>
  <c r="K179" i="21"/>
  <c r="J179" i="21"/>
  <c r="I179" i="21"/>
  <c r="H179" i="21"/>
  <c r="G179" i="21"/>
  <c r="F179" i="21"/>
  <c r="F180" i="21"/>
  <c r="E179" i="21"/>
  <c r="M175" i="21"/>
  <c r="L175" i="21"/>
  <c r="K175" i="21"/>
  <c r="K180" i="21" s="1"/>
  <c r="J175" i="21"/>
  <c r="J180" i="21" s="1"/>
  <c r="I175" i="21"/>
  <c r="I180" i="21" s="1"/>
  <c r="H175" i="21"/>
  <c r="H180" i="21"/>
  <c r="G175" i="21"/>
  <c r="G180" i="21"/>
  <c r="F175" i="21"/>
  <c r="E175" i="21"/>
  <c r="E180" i="21" s="1"/>
  <c r="M167" i="21"/>
  <c r="L167" i="21"/>
  <c r="L168" i="21"/>
  <c r="K167" i="21"/>
  <c r="J167" i="21"/>
  <c r="I167" i="21"/>
  <c r="H167" i="21"/>
  <c r="G167" i="21"/>
  <c r="F167" i="21"/>
  <c r="E167" i="21"/>
  <c r="E168" i="21"/>
  <c r="M163" i="21"/>
  <c r="L163" i="21"/>
  <c r="K163" i="21"/>
  <c r="K168" i="21"/>
  <c r="J163" i="21"/>
  <c r="J168" i="21" s="1"/>
  <c r="I163" i="21"/>
  <c r="I168" i="21"/>
  <c r="H163" i="21"/>
  <c r="H168" i="21" s="1"/>
  <c r="G163" i="21"/>
  <c r="G168" i="21"/>
  <c r="F163" i="21"/>
  <c r="F168" i="21"/>
  <c r="E163" i="21"/>
  <c r="J156" i="21"/>
  <c r="I156" i="21"/>
  <c r="H156" i="21"/>
  <c r="G156" i="21"/>
  <c r="F156" i="21"/>
  <c r="E156" i="21"/>
  <c r="M153" i="21"/>
  <c r="M152" i="21"/>
  <c r="L152" i="21"/>
  <c r="L153" i="21" s="1"/>
  <c r="K152" i="21"/>
  <c r="J152" i="21"/>
  <c r="I152" i="21"/>
  <c r="H152" i="21"/>
  <c r="G152" i="21"/>
  <c r="F152" i="21"/>
  <c r="F153" i="21"/>
  <c r="E152" i="21"/>
  <c r="M146" i="21"/>
  <c r="L146" i="21"/>
  <c r="K146" i="21"/>
  <c r="K153" i="21" s="1"/>
  <c r="J146" i="21"/>
  <c r="J153" i="21" s="1"/>
  <c r="I146" i="21"/>
  <c r="I153" i="21" s="1"/>
  <c r="H146" i="21"/>
  <c r="H153" i="21"/>
  <c r="G146" i="21"/>
  <c r="G153" i="21"/>
  <c r="F146" i="21"/>
  <c r="E146" i="21"/>
  <c r="E153" i="21" s="1"/>
  <c r="M142" i="21"/>
  <c r="L142" i="21"/>
  <c r="L143" i="21"/>
  <c r="K142" i="21"/>
  <c r="J142" i="21"/>
  <c r="I142" i="21"/>
  <c r="H142" i="21"/>
  <c r="G142" i="21"/>
  <c r="F142" i="21"/>
  <c r="E142" i="21"/>
  <c r="E143" i="21"/>
  <c r="M138" i="21"/>
  <c r="L138" i="21"/>
  <c r="K138" i="21"/>
  <c r="K143" i="21"/>
  <c r="J138" i="21"/>
  <c r="J143" i="21" s="1"/>
  <c r="I138" i="21"/>
  <c r="I143" i="21"/>
  <c r="H138" i="21"/>
  <c r="H143" i="21" s="1"/>
  <c r="G138" i="21"/>
  <c r="G143" i="21"/>
  <c r="F138" i="21"/>
  <c r="F143" i="21"/>
  <c r="E138" i="21"/>
  <c r="M133" i="21"/>
  <c r="M134" i="21"/>
  <c r="L133" i="21"/>
  <c r="K133" i="21"/>
  <c r="J133" i="21"/>
  <c r="I133" i="21"/>
  <c r="H133" i="21"/>
  <c r="G133" i="21"/>
  <c r="F133" i="21"/>
  <c r="E133" i="21"/>
  <c r="M129" i="21"/>
  <c r="L129" i="21"/>
  <c r="K129" i="21"/>
  <c r="K134" i="21" s="1"/>
  <c r="J129" i="21"/>
  <c r="J134" i="21" s="1"/>
  <c r="I129" i="21"/>
  <c r="I134" i="21"/>
  <c r="H129" i="21"/>
  <c r="H134" i="21"/>
  <c r="G129" i="21"/>
  <c r="G134" i="21"/>
  <c r="F129" i="21"/>
  <c r="F134" i="21"/>
  <c r="E129" i="21"/>
  <c r="E134" i="21"/>
  <c r="M121" i="21"/>
  <c r="L121" i="21"/>
  <c r="L122" i="21" s="1"/>
  <c r="K121" i="21"/>
  <c r="J121" i="21"/>
  <c r="J122" i="21" s="1"/>
  <c r="I121" i="21"/>
  <c r="H121" i="21"/>
  <c r="G121" i="21"/>
  <c r="F121" i="21"/>
  <c r="E121" i="21"/>
  <c r="M117" i="21"/>
  <c r="M122" i="21" s="1"/>
  <c r="L117" i="21"/>
  <c r="K117" i="21"/>
  <c r="K122" i="21" s="1"/>
  <c r="J117" i="21"/>
  <c r="I117" i="21"/>
  <c r="H117" i="21"/>
  <c r="G117" i="21"/>
  <c r="F117" i="21"/>
  <c r="E117" i="21"/>
  <c r="J110" i="21"/>
  <c r="I110" i="21"/>
  <c r="H110" i="21"/>
  <c r="G110" i="21"/>
  <c r="F110" i="21"/>
  <c r="E110" i="21"/>
  <c r="M106" i="21"/>
  <c r="L106" i="21"/>
  <c r="L107" i="21"/>
  <c r="K106" i="21"/>
  <c r="K107" i="21" s="1"/>
  <c r="J106" i="21"/>
  <c r="I106" i="21"/>
  <c r="H106" i="21"/>
  <c r="G106" i="21"/>
  <c r="G107" i="21" s="1"/>
  <c r="F106" i="21"/>
  <c r="E106" i="21"/>
  <c r="M100" i="21"/>
  <c r="M107" i="21"/>
  <c r="L100" i="21"/>
  <c r="K100" i="21"/>
  <c r="J100" i="21"/>
  <c r="J107" i="21" s="1"/>
  <c r="I100" i="21"/>
  <c r="I107" i="21"/>
  <c r="H100" i="21"/>
  <c r="H107" i="21" s="1"/>
  <c r="G100" i="21"/>
  <c r="F100" i="21"/>
  <c r="F107" i="21" s="1"/>
  <c r="E100" i="21"/>
  <c r="E107" i="21"/>
  <c r="M96" i="21"/>
  <c r="M97" i="21" s="1"/>
  <c r="L96" i="21"/>
  <c r="K96" i="21"/>
  <c r="J96" i="21"/>
  <c r="I96" i="21"/>
  <c r="I97" i="21" s="1"/>
  <c r="H96" i="21"/>
  <c r="G96" i="21"/>
  <c r="F96" i="21"/>
  <c r="F97" i="21"/>
  <c r="E96" i="21"/>
  <c r="M92" i="21"/>
  <c r="L92" i="21"/>
  <c r="L97" i="21" s="1"/>
  <c r="K92" i="21"/>
  <c r="K97" i="21"/>
  <c r="J92" i="21"/>
  <c r="J97" i="21" s="1"/>
  <c r="I92" i="21"/>
  <c r="H92" i="21"/>
  <c r="H97" i="21" s="1"/>
  <c r="G92" i="21"/>
  <c r="G97" i="21"/>
  <c r="F92" i="21"/>
  <c r="E92" i="21"/>
  <c r="E97" i="21" s="1"/>
  <c r="M87" i="21"/>
  <c r="M88" i="21" s="1"/>
  <c r="L87" i="21"/>
  <c r="K87" i="21"/>
  <c r="J87" i="21"/>
  <c r="I87" i="21"/>
  <c r="I88" i="21" s="1"/>
  <c r="H87" i="21"/>
  <c r="G87" i="21"/>
  <c r="F87" i="21"/>
  <c r="F88" i="21"/>
  <c r="E87" i="21"/>
  <c r="M83" i="21"/>
  <c r="L83" i="21"/>
  <c r="K83" i="21"/>
  <c r="K88" i="21"/>
  <c r="J83" i="21"/>
  <c r="J88" i="21"/>
  <c r="I83" i="21"/>
  <c r="H83" i="21"/>
  <c r="H88" i="21"/>
  <c r="G83" i="21"/>
  <c r="G88" i="21"/>
  <c r="F83" i="21"/>
  <c r="E83" i="21"/>
  <c r="E88" i="21" s="1"/>
  <c r="M75" i="21"/>
  <c r="L75" i="21"/>
  <c r="K75" i="21"/>
  <c r="K76" i="21"/>
  <c r="J75" i="21"/>
  <c r="I75" i="21"/>
  <c r="H75" i="21"/>
  <c r="G75" i="21"/>
  <c r="F75" i="21"/>
  <c r="E75" i="21"/>
  <c r="M71" i="21"/>
  <c r="M76" i="21" s="1"/>
  <c r="L71" i="21"/>
  <c r="L76" i="21" s="1"/>
  <c r="K71" i="21"/>
  <c r="J71" i="21"/>
  <c r="J76" i="21"/>
  <c r="I71" i="21"/>
  <c r="H71" i="21"/>
  <c r="H76" i="21" s="1"/>
  <c r="G71" i="21"/>
  <c r="G76" i="21"/>
  <c r="F71" i="21"/>
  <c r="F76" i="21"/>
  <c r="E71" i="21"/>
  <c r="E76" i="21" s="1"/>
  <c r="J64" i="21"/>
  <c r="I64" i="21"/>
  <c r="H64" i="21"/>
  <c r="G64" i="21"/>
  <c r="F64" i="21"/>
  <c r="E64" i="21"/>
  <c r="J9" i="13"/>
  <c r="K9" i="13" s="1"/>
  <c r="J10" i="13"/>
  <c r="K10" i="13" s="1"/>
  <c r="J11" i="13"/>
  <c r="K11" i="13" s="1"/>
  <c r="J12" i="13"/>
  <c r="K12" i="13" s="1"/>
  <c r="J13" i="13"/>
  <c r="K13" i="13" s="1"/>
  <c r="J14" i="13"/>
  <c r="K14" i="13" s="1"/>
  <c r="C73" i="17"/>
  <c r="D73" i="17"/>
  <c r="E73" i="17"/>
  <c r="C90" i="17"/>
  <c r="D90" i="17"/>
  <c r="E90" i="17"/>
  <c r="J160" i="17"/>
  <c r="K160" i="17" s="1"/>
  <c r="J159" i="17"/>
  <c r="K159" i="17" s="1"/>
  <c r="J158" i="17"/>
  <c r="J157" i="17"/>
  <c r="M154" i="17"/>
  <c r="M36" i="10" s="1"/>
  <c r="R35" i="30" s="1"/>
  <c r="L154" i="17"/>
  <c r="I154" i="17"/>
  <c r="H154" i="17"/>
  <c r="G154" i="17"/>
  <c r="F154" i="17"/>
  <c r="F36" i="10"/>
  <c r="E154" i="17"/>
  <c r="J132" i="17"/>
  <c r="K132" i="17" s="1"/>
  <c r="J133" i="17"/>
  <c r="K133" i="17" s="1"/>
  <c r="J134" i="17"/>
  <c r="K134" i="17" s="1"/>
  <c r="J135" i="17"/>
  <c r="K135" i="17"/>
  <c r="J136" i="17"/>
  <c r="K136" i="17" s="1"/>
  <c r="J137" i="17"/>
  <c r="K137" i="17" s="1"/>
  <c r="J138" i="17"/>
  <c r="K138" i="17" s="1"/>
  <c r="J139" i="17"/>
  <c r="K139" i="17"/>
  <c r="J140" i="17"/>
  <c r="K140" i="17" s="1"/>
  <c r="J141" i="17"/>
  <c r="K141" i="17" s="1"/>
  <c r="J142" i="17"/>
  <c r="K142" i="17" s="1"/>
  <c r="J143" i="17"/>
  <c r="K143" i="17"/>
  <c r="J144" i="17"/>
  <c r="K144" i="17" s="1"/>
  <c r="J145" i="17"/>
  <c r="K145" i="17"/>
  <c r="J146" i="17"/>
  <c r="K146" i="17" s="1"/>
  <c r="J147" i="17"/>
  <c r="K147" i="17"/>
  <c r="J148" i="17"/>
  <c r="K148" i="17" s="1"/>
  <c r="J149" i="17"/>
  <c r="K149" i="17" s="1"/>
  <c r="J150" i="17"/>
  <c r="K150" i="17" s="1"/>
  <c r="J151" i="17"/>
  <c r="K151" i="17"/>
  <c r="J152" i="17"/>
  <c r="K152" i="17" s="1"/>
  <c r="J153" i="17"/>
  <c r="K153" i="17" s="1"/>
  <c r="M118" i="17"/>
  <c r="L118" i="17"/>
  <c r="L124" i="17" s="1"/>
  <c r="L34" i="10" s="1"/>
  <c r="Q33" i="30" s="1"/>
  <c r="I118" i="17"/>
  <c r="I124" i="17" s="1"/>
  <c r="I34" i="10" s="1"/>
  <c r="J34" i="10" s="1"/>
  <c r="H118" i="17"/>
  <c r="H124" i="17"/>
  <c r="H34" i="10" s="1"/>
  <c r="G118" i="17"/>
  <c r="F118" i="17"/>
  <c r="F124" i="17"/>
  <c r="F34" i="10" s="1"/>
  <c r="E118" i="17"/>
  <c r="E124" i="17" s="1"/>
  <c r="E34" i="10" s="1"/>
  <c r="J115" i="17"/>
  <c r="K115" i="17"/>
  <c r="J114" i="17"/>
  <c r="K114" i="17"/>
  <c r="J113" i="17"/>
  <c r="K113" i="17"/>
  <c r="J112" i="17"/>
  <c r="K112" i="17"/>
  <c r="J111" i="17"/>
  <c r="K111" i="17"/>
  <c r="J110" i="17"/>
  <c r="K110" i="17"/>
  <c r="J109" i="17"/>
  <c r="K109" i="17"/>
  <c r="J108" i="17"/>
  <c r="K108" i="17"/>
  <c r="J107" i="17"/>
  <c r="K107" i="17"/>
  <c r="J106" i="17"/>
  <c r="K106" i="17"/>
  <c r="J105" i="17"/>
  <c r="K105" i="17"/>
  <c r="J104" i="17"/>
  <c r="K104" i="17"/>
  <c r="J103" i="17"/>
  <c r="K103" i="17"/>
  <c r="J102" i="17"/>
  <c r="K102" i="17"/>
  <c r="J101" i="17"/>
  <c r="K101" i="17"/>
  <c r="J100" i="17"/>
  <c r="K100" i="17"/>
  <c r="J99" i="17"/>
  <c r="K99" i="17"/>
  <c r="J98" i="17"/>
  <c r="K98" i="17"/>
  <c r="J97" i="17"/>
  <c r="K97" i="17"/>
  <c r="J96" i="17"/>
  <c r="K96" i="17"/>
  <c r="J95" i="17"/>
  <c r="K95" i="17"/>
  <c r="J94" i="17"/>
  <c r="K94" i="17"/>
  <c r="J93" i="17"/>
  <c r="K93" i="17"/>
  <c r="M90" i="17"/>
  <c r="L90" i="17"/>
  <c r="I90" i="17"/>
  <c r="H90" i="17"/>
  <c r="G90" i="17"/>
  <c r="F90" i="17"/>
  <c r="J89" i="17"/>
  <c r="K89" i="17"/>
  <c r="J88" i="17"/>
  <c r="J90" i="17"/>
  <c r="M73" i="17"/>
  <c r="L73" i="17"/>
  <c r="I73" i="17"/>
  <c r="H73" i="17"/>
  <c r="G73" i="17"/>
  <c r="F73" i="17"/>
  <c r="J70" i="17"/>
  <c r="K70" i="17"/>
  <c r="J69" i="17"/>
  <c r="K69" i="17"/>
  <c r="J68" i="17"/>
  <c r="J67" i="17"/>
  <c r="K67" i="17" s="1"/>
  <c r="M46" i="17"/>
  <c r="M22" i="10" s="1"/>
  <c r="L46" i="17"/>
  <c r="L22" i="10" s="1"/>
  <c r="Q21" i="30" s="1"/>
  <c r="J45" i="17"/>
  <c r="K45" i="17" s="1"/>
  <c r="J44" i="17"/>
  <c r="K44" i="17" s="1"/>
  <c r="J43" i="17"/>
  <c r="K43" i="17" s="1"/>
  <c r="J42" i="17"/>
  <c r="K42" i="17" s="1"/>
  <c r="J41" i="17"/>
  <c r="K41" i="17" s="1"/>
  <c r="J40" i="17"/>
  <c r="K40" i="17" s="1"/>
  <c r="J39" i="17"/>
  <c r="K39" i="17" s="1"/>
  <c r="J38" i="17"/>
  <c r="K38" i="17" s="1"/>
  <c r="J37" i="17"/>
  <c r="K37" i="17" s="1"/>
  <c r="J36" i="17"/>
  <c r="K36" i="17" s="1"/>
  <c r="J35" i="17"/>
  <c r="K35" i="17" s="1"/>
  <c r="J34" i="17"/>
  <c r="I46" i="17"/>
  <c r="I22" i="10" s="1"/>
  <c r="H11" i="7" s="1"/>
  <c r="H46" i="17"/>
  <c r="H22" i="10" s="1"/>
  <c r="G11" i="7" s="1"/>
  <c r="G46" i="17"/>
  <c r="G22" i="10"/>
  <c r="F11" i="7" s="1"/>
  <c r="F46" i="17"/>
  <c r="F22" i="10"/>
  <c r="E11" i="7" s="1"/>
  <c r="E12" i="7" s="1"/>
  <c r="E46" i="17"/>
  <c r="D46" i="17"/>
  <c r="C46" i="17"/>
  <c r="L65" i="15"/>
  <c r="M65" i="15"/>
  <c r="L66" i="15"/>
  <c r="M66" i="15"/>
  <c r="C65" i="15"/>
  <c r="D65" i="15"/>
  <c r="E65" i="15"/>
  <c r="F65" i="15"/>
  <c r="J65" i="15"/>
  <c r="G65" i="15"/>
  <c r="H65" i="15"/>
  <c r="I65" i="15"/>
  <c r="C66" i="15"/>
  <c r="D66" i="15"/>
  <c r="E66" i="15"/>
  <c r="F66" i="15"/>
  <c r="J66" i="15"/>
  <c r="G66" i="15"/>
  <c r="H66" i="15"/>
  <c r="I66" i="15"/>
  <c r="M64" i="15"/>
  <c r="L64" i="15"/>
  <c r="I64" i="15"/>
  <c r="H64" i="15"/>
  <c r="G64" i="15"/>
  <c r="F64" i="15"/>
  <c r="E64" i="15"/>
  <c r="D64" i="15"/>
  <c r="C64" i="15"/>
  <c r="A66" i="15"/>
  <c r="A65" i="15"/>
  <c r="M62" i="15"/>
  <c r="L62" i="15"/>
  <c r="I62" i="15"/>
  <c r="H62" i="15"/>
  <c r="G62" i="15"/>
  <c r="F62" i="15"/>
  <c r="J62" i="15" s="1"/>
  <c r="K62" i="15" s="1"/>
  <c r="E62" i="15"/>
  <c r="D62" i="15"/>
  <c r="C62" i="15"/>
  <c r="J49" i="12"/>
  <c r="K49" i="12" s="1"/>
  <c r="E10" i="22"/>
  <c r="F10" i="22"/>
  <c r="D10" i="22"/>
  <c r="A2" i="36"/>
  <c r="B2" i="36"/>
  <c r="C3" i="36"/>
  <c r="D3" i="36"/>
  <c r="E3" i="36"/>
  <c r="F3" i="36"/>
  <c r="G3" i="36"/>
  <c r="H3" i="36"/>
  <c r="I3" i="36"/>
  <c r="J3" i="36"/>
  <c r="K3" i="36"/>
  <c r="L3" i="36"/>
  <c r="M3" i="36"/>
  <c r="J7" i="36"/>
  <c r="K7" i="36"/>
  <c r="J8" i="36"/>
  <c r="J9" i="36"/>
  <c r="K9" i="36"/>
  <c r="J10" i="36"/>
  <c r="K10" i="36" s="1"/>
  <c r="J11" i="36"/>
  <c r="K11" i="36"/>
  <c r="J12" i="36"/>
  <c r="K12" i="36" s="1"/>
  <c r="J13" i="36"/>
  <c r="K13" i="36" s="1"/>
  <c r="J14" i="36"/>
  <c r="K14" i="36" s="1"/>
  <c r="J15" i="36"/>
  <c r="K15" i="36"/>
  <c r="J16" i="36"/>
  <c r="K16" i="36" s="1"/>
  <c r="C17" i="36"/>
  <c r="D17" i="36"/>
  <c r="E17" i="36"/>
  <c r="F17" i="36"/>
  <c r="G17" i="36"/>
  <c r="H17" i="36"/>
  <c r="I17" i="36"/>
  <c r="L17" i="36"/>
  <c r="M17" i="36"/>
  <c r="J20" i="36"/>
  <c r="K20" i="36" s="1"/>
  <c r="J21" i="36"/>
  <c r="K21" i="36" s="1"/>
  <c r="J22" i="36"/>
  <c r="K22" i="36" s="1"/>
  <c r="J23" i="36"/>
  <c r="K23" i="36"/>
  <c r="J24" i="36"/>
  <c r="K24" i="36" s="1"/>
  <c r="J25" i="36"/>
  <c r="K25" i="36"/>
  <c r="J26" i="36"/>
  <c r="K26" i="36" s="1"/>
  <c r="J27" i="36"/>
  <c r="K27" i="36"/>
  <c r="J28" i="36"/>
  <c r="K28" i="36" s="1"/>
  <c r="J29" i="36"/>
  <c r="K29" i="36" s="1"/>
  <c r="C30" i="36"/>
  <c r="D30" i="36"/>
  <c r="E30" i="36"/>
  <c r="F30" i="36"/>
  <c r="G30" i="36"/>
  <c r="H30" i="36"/>
  <c r="I30" i="36"/>
  <c r="L30" i="36"/>
  <c r="M30" i="36"/>
  <c r="J33" i="36"/>
  <c r="K33" i="36"/>
  <c r="J34" i="36"/>
  <c r="K34" i="36"/>
  <c r="J35" i="36"/>
  <c r="K35" i="36"/>
  <c r="J36" i="36"/>
  <c r="K36" i="36" s="1"/>
  <c r="J37" i="36"/>
  <c r="K37" i="36"/>
  <c r="J38" i="36"/>
  <c r="K38" i="36" s="1"/>
  <c r="J39" i="36"/>
  <c r="K39" i="36"/>
  <c r="J40" i="36"/>
  <c r="K40" i="36" s="1"/>
  <c r="J41" i="36"/>
  <c r="K41" i="36" s="1"/>
  <c r="J42" i="36"/>
  <c r="K42" i="36" s="1"/>
  <c r="C43" i="36"/>
  <c r="D43" i="36"/>
  <c r="E43" i="36"/>
  <c r="F43" i="36"/>
  <c r="G43" i="36"/>
  <c r="H43" i="36"/>
  <c r="I43" i="36"/>
  <c r="L43" i="36"/>
  <c r="M43" i="36"/>
  <c r="A44" i="36"/>
  <c r="I2" i="35"/>
  <c r="I4" i="35"/>
  <c r="J4" i="35"/>
  <c r="K4" i="35"/>
  <c r="L4" i="35"/>
  <c r="M4" i="35"/>
  <c r="N4" i="35"/>
  <c r="A2" i="52"/>
  <c r="B2" i="52"/>
  <c r="C3" i="52"/>
  <c r="D3" i="52"/>
  <c r="E3" i="52"/>
  <c r="F3" i="52"/>
  <c r="G3" i="52"/>
  <c r="H3" i="52"/>
  <c r="I3" i="52"/>
  <c r="J3" i="52"/>
  <c r="K3" i="52"/>
  <c r="L3" i="52"/>
  <c r="M3" i="52"/>
  <c r="C9" i="52"/>
  <c r="K9" i="52" s="1"/>
  <c r="D9" i="52"/>
  <c r="E9" i="52"/>
  <c r="F9" i="52"/>
  <c r="G9" i="52"/>
  <c r="H9" i="52"/>
  <c r="H8" i="52"/>
  <c r="I9" i="52"/>
  <c r="J9" i="52"/>
  <c r="L9" i="52"/>
  <c r="M9" i="52"/>
  <c r="M8" i="52"/>
  <c r="J10" i="52"/>
  <c r="K10" i="52"/>
  <c r="J11" i="52"/>
  <c r="K11" i="52"/>
  <c r="C12" i="52"/>
  <c r="D12" i="52"/>
  <c r="D8" i="52" s="1"/>
  <c r="D79" i="52" s="1"/>
  <c r="E12" i="52"/>
  <c r="E8" i="52" s="1"/>
  <c r="E79" i="52" s="1"/>
  <c r="F12" i="52"/>
  <c r="F8" i="52" s="1"/>
  <c r="G12" i="52"/>
  <c r="H12" i="52"/>
  <c r="I12" i="52"/>
  <c r="I8" i="52" s="1"/>
  <c r="L12" i="52"/>
  <c r="M12" i="52"/>
  <c r="J13" i="52"/>
  <c r="K13" i="52" s="1"/>
  <c r="J14" i="52"/>
  <c r="K14" i="52" s="1"/>
  <c r="J15" i="52"/>
  <c r="K15" i="52" s="1"/>
  <c r="C16" i="52"/>
  <c r="D16" i="52"/>
  <c r="E16" i="52"/>
  <c r="F16" i="52"/>
  <c r="G16" i="52"/>
  <c r="H16" i="52"/>
  <c r="I16" i="52"/>
  <c r="L16" i="52"/>
  <c r="M16" i="52"/>
  <c r="J17" i="52"/>
  <c r="K17" i="52"/>
  <c r="J18" i="52"/>
  <c r="K18" i="52" s="1"/>
  <c r="J19" i="52"/>
  <c r="K19" i="52"/>
  <c r="C20" i="52"/>
  <c r="D20" i="52"/>
  <c r="E20" i="52"/>
  <c r="F20" i="52"/>
  <c r="G20" i="52"/>
  <c r="H20" i="52"/>
  <c r="I20" i="52"/>
  <c r="L20" i="52"/>
  <c r="M20" i="52"/>
  <c r="J21" i="52"/>
  <c r="K21" i="52" s="1"/>
  <c r="J22" i="52"/>
  <c r="K22" i="52" s="1"/>
  <c r="C23" i="52"/>
  <c r="D23" i="52"/>
  <c r="K23" i="52" s="1"/>
  <c r="E23" i="52"/>
  <c r="F23" i="52"/>
  <c r="G23" i="52"/>
  <c r="J23" i="52" s="1"/>
  <c r="H23" i="52"/>
  <c r="I23" i="52"/>
  <c r="L23" i="52"/>
  <c r="M23" i="52"/>
  <c r="J24" i="52"/>
  <c r="K24" i="52"/>
  <c r="J25" i="52"/>
  <c r="K25" i="52" s="1"/>
  <c r="J26" i="52"/>
  <c r="K26" i="52"/>
  <c r="J27" i="52"/>
  <c r="K27" i="52" s="1"/>
  <c r="J28" i="52"/>
  <c r="K28" i="52"/>
  <c r="C29" i="52"/>
  <c r="D29" i="52"/>
  <c r="E29" i="52"/>
  <c r="F29" i="52"/>
  <c r="G29" i="52"/>
  <c r="J29" i="52" s="1"/>
  <c r="K29" i="52" s="1"/>
  <c r="H29" i="52"/>
  <c r="I29" i="52"/>
  <c r="L29" i="52"/>
  <c r="M29" i="52"/>
  <c r="J30" i="52"/>
  <c r="K30" i="52"/>
  <c r="J31" i="52"/>
  <c r="K31" i="52" s="1"/>
  <c r="J32" i="52"/>
  <c r="K32" i="52" s="1"/>
  <c r="J33" i="52"/>
  <c r="K33" i="52" s="1"/>
  <c r="J34" i="52"/>
  <c r="K34" i="52"/>
  <c r="J35" i="52"/>
  <c r="K35" i="52" s="1"/>
  <c r="J36" i="52"/>
  <c r="K36" i="52" s="1"/>
  <c r="J37" i="52"/>
  <c r="K37" i="52" s="1"/>
  <c r="J38" i="52"/>
  <c r="K38" i="52"/>
  <c r="J39" i="52"/>
  <c r="K39" i="52"/>
  <c r="J40" i="52"/>
  <c r="K40" i="52"/>
  <c r="J41" i="52"/>
  <c r="K41" i="52"/>
  <c r="J42" i="52"/>
  <c r="K42" i="52"/>
  <c r="J43" i="52"/>
  <c r="K43" i="52"/>
  <c r="C45" i="52"/>
  <c r="D45" i="52"/>
  <c r="E45" i="52"/>
  <c r="F45" i="52"/>
  <c r="G45" i="52"/>
  <c r="H45" i="52"/>
  <c r="I45" i="52"/>
  <c r="L45" i="52"/>
  <c r="M45" i="52"/>
  <c r="J46" i="52"/>
  <c r="K46" i="52" s="1"/>
  <c r="J47" i="52"/>
  <c r="K47" i="52" s="1"/>
  <c r="C49" i="52"/>
  <c r="D49" i="52"/>
  <c r="E49" i="52"/>
  <c r="F49" i="52"/>
  <c r="G49" i="52"/>
  <c r="H49" i="52"/>
  <c r="I49" i="52"/>
  <c r="L49" i="52"/>
  <c r="M49" i="52"/>
  <c r="J50" i="52"/>
  <c r="K50" i="52" s="1"/>
  <c r="J49" i="52"/>
  <c r="J51" i="52"/>
  <c r="K51" i="52"/>
  <c r="J54" i="52"/>
  <c r="K54" i="52"/>
  <c r="J56" i="52"/>
  <c r="K56" i="52"/>
  <c r="J57" i="52"/>
  <c r="K57" i="52"/>
  <c r="J58" i="52"/>
  <c r="K58" i="52"/>
  <c r="J59" i="52"/>
  <c r="K59" i="52"/>
  <c r="J60" i="52"/>
  <c r="K60" i="52"/>
  <c r="J61" i="52"/>
  <c r="K61" i="52"/>
  <c r="J62" i="52"/>
  <c r="K62" i="52"/>
  <c r="J63" i="52"/>
  <c r="K63" i="52"/>
  <c r="J64" i="52"/>
  <c r="K64" i="52"/>
  <c r="J65" i="52"/>
  <c r="K65" i="52"/>
  <c r="C67" i="52"/>
  <c r="D67" i="52"/>
  <c r="E67" i="52"/>
  <c r="F67" i="52"/>
  <c r="G67" i="52"/>
  <c r="H67" i="52"/>
  <c r="I67" i="52"/>
  <c r="L67" i="52"/>
  <c r="M67" i="52"/>
  <c r="J68" i="52"/>
  <c r="K68" i="52" s="1"/>
  <c r="K67" i="52" s="1"/>
  <c r="J69" i="52"/>
  <c r="K69" i="52"/>
  <c r="C71" i="52"/>
  <c r="D71" i="52"/>
  <c r="E71" i="52"/>
  <c r="F71" i="52"/>
  <c r="G71" i="52"/>
  <c r="H71" i="52"/>
  <c r="I71" i="52"/>
  <c r="L71" i="52"/>
  <c r="M71" i="52"/>
  <c r="J72" i="52"/>
  <c r="J71" i="52" s="1"/>
  <c r="K72" i="52"/>
  <c r="J73" i="52"/>
  <c r="K73" i="52" s="1"/>
  <c r="C75" i="52"/>
  <c r="D75" i="52"/>
  <c r="E75" i="52"/>
  <c r="F75" i="52"/>
  <c r="G75" i="52"/>
  <c r="H75" i="52"/>
  <c r="I75" i="52"/>
  <c r="L75" i="52"/>
  <c r="M75" i="52"/>
  <c r="J76" i="52"/>
  <c r="K76" i="52"/>
  <c r="J77" i="52"/>
  <c r="K77" i="52" s="1"/>
  <c r="C81" i="52"/>
  <c r="C55" i="52" s="1"/>
  <c r="C53" i="52"/>
  <c r="D81" i="52"/>
  <c r="D55" i="52"/>
  <c r="E81" i="52"/>
  <c r="E55" i="52"/>
  <c r="F81" i="52"/>
  <c r="F55" i="52"/>
  <c r="F53" i="52" s="1"/>
  <c r="G81" i="52"/>
  <c r="G55" i="52" s="1"/>
  <c r="G53" i="52" s="1"/>
  <c r="H81" i="52"/>
  <c r="H55" i="52"/>
  <c r="H53" i="52" s="1"/>
  <c r="I81" i="52"/>
  <c r="I55" i="52" s="1"/>
  <c r="I53" i="52"/>
  <c r="L81" i="52"/>
  <c r="L55" i="52" s="1"/>
  <c r="L53" i="52" s="1"/>
  <c r="M81" i="52"/>
  <c r="M55" i="52"/>
  <c r="M53" i="52" s="1"/>
  <c r="J82" i="52"/>
  <c r="K82" i="52" s="1"/>
  <c r="J83" i="52"/>
  <c r="K83" i="52" s="1"/>
  <c r="J84" i="52"/>
  <c r="K84" i="52" s="1"/>
  <c r="J85" i="52"/>
  <c r="K85" i="52" s="1"/>
  <c r="A86" i="52"/>
  <c r="A2" i="1"/>
  <c r="B2" i="1"/>
  <c r="C3" i="1"/>
  <c r="D3" i="1"/>
  <c r="E3" i="1"/>
  <c r="F3" i="1"/>
  <c r="G3" i="1"/>
  <c r="H3" i="1"/>
  <c r="I3" i="1"/>
  <c r="J3" i="1"/>
  <c r="K3" i="1"/>
  <c r="L3" i="1"/>
  <c r="M3" i="1"/>
  <c r="C9" i="1"/>
  <c r="D9" i="1"/>
  <c r="D8" i="1"/>
  <c r="E9" i="1"/>
  <c r="F9" i="1"/>
  <c r="F8" i="1" s="1"/>
  <c r="G9" i="1"/>
  <c r="G8" i="1" s="1"/>
  <c r="H9" i="1"/>
  <c r="I9" i="1"/>
  <c r="L9" i="1"/>
  <c r="M9" i="1"/>
  <c r="M72" i="15" s="1"/>
  <c r="J10" i="1"/>
  <c r="K10" i="1" s="1"/>
  <c r="J11" i="1"/>
  <c r="K11" i="1" s="1"/>
  <c r="C12" i="1"/>
  <c r="D12" i="1"/>
  <c r="E12" i="1"/>
  <c r="F12" i="1"/>
  <c r="G12" i="1"/>
  <c r="H12" i="1"/>
  <c r="I12" i="1"/>
  <c r="J12" i="1" s="1"/>
  <c r="L12" i="1"/>
  <c r="M12" i="1"/>
  <c r="J13" i="1"/>
  <c r="K13" i="1"/>
  <c r="J14" i="1"/>
  <c r="K14" i="1"/>
  <c r="J15" i="1"/>
  <c r="K15" i="1"/>
  <c r="C16" i="1"/>
  <c r="D16" i="1"/>
  <c r="E16" i="1"/>
  <c r="F16" i="1"/>
  <c r="G16" i="1"/>
  <c r="H16" i="1"/>
  <c r="I16" i="1"/>
  <c r="L16" i="1"/>
  <c r="M16" i="1"/>
  <c r="J17" i="1"/>
  <c r="K17" i="1" s="1"/>
  <c r="J18" i="1"/>
  <c r="K18" i="1" s="1"/>
  <c r="J19" i="1"/>
  <c r="K19" i="1" s="1"/>
  <c r="C20" i="1"/>
  <c r="C75" i="15" s="1"/>
  <c r="D20" i="1"/>
  <c r="E20" i="1"/>
  <c r="F20" i="1"/>
  <c r="G20" i="1"/>
  <c r="H20" i="1"/>
  <c r="I20" i="1"/>
  <c r="I75" i="15" s="1"/>
  <c r="L20" i="1"/>
  <c r="M20" i="1"/>
  <c r="J21" i="1"/>
  <c r="K21" i="1"/>
  <c r="J22" i="1"/>
  <c r="K22" i="1"/>
  <c r="C23" i="1"/>
  <c r="D23" i="1"/>
  <c r="E23" i="1"/>
  <c r="F23" i="1"/>
  <c r="G23" i="1"/>
  <c r="H23" i="1"/>
  <c r="H8" i="1" s="1"/>
  <c r="I23" i="1"/>
  <c r="L23" i="1"/>
  <c r="M23" i="1"/>
  <c r="J24" i="1"/>
  <c r="K24" i="1" s="1"/>
  <c r="J25" i="1"/>
  <c r="K25" i="1" s="1"/>
  <c r="J26" i="1"/>
  <c r="K26" i="1" s="1"/>
  <c r="J27" i="1"/>
  <c r="K27" i="1" s="1"/>
  <c r="J28" i="1"/>
  <c r="K28" i="1" s="1"/>
  <c r="C29" i="1"/>
  <c r="D29" i="1"/>
  <c r="E29" i="1"/>
  <c r="F29" i="1"/>
  <c r="G29" i="1"/>
  <c r="H29" i="1"/>
  <c r="I29" i="1"/>
  <c r="L29" i="1"/>
  <c r="M29" i="1"/>
  <c r="J30" i="1"/>
  <c r="K30" i="1"/>
  <c r="J31" i="1"/>
  <c r="K31" i="1"/>
  <c r="J32" i="1"/>
  <c r="K32" i="1"/>
  <c r="J33" i="1"/>
  <c r="K33" i="1"/>
  <c r="J34" i="1"/>
  <c r="K34" i="1"/>
  <c r="J35" i="1"/>
  <c r="K35" i="1"/>
  <c r="J36" i="1"/>
  <c r="K36" i="1"/>
  <c r="J37" i="1"/>
  <c r="K37" i="1"/>
  <c r="J38" i="1"/>
  <c r="K38" i="1"/>
  <c r="J39" i="1"/>
  <c r="K39" i="1"/>
  <c r="J40" i="1"/>
  <c r="K40" i="1"/>
  <c r="J41" i="1"/>
  <c r="K41" i="1"/>
  <c r="J42" i="1"/>
  <c r="K42" i="1"/>
  <c r="J43" i="1"/>
  <c r="K43" i="1"/>
  <c r="C45" i="1"/>
  <c r="D45" i="1"/>
  <c r="E45" i="1"/>
  <c r="F45" i="1"/>
  <c r="G45" i="1"/>
  <c r="H45" i="1"/>
  <c r="I45" i="1"/>
  <c r="L45" i="1"/>
  <c r="M45" i="1"/>
  <c r="J46" i="1"/>
  <c r="K46" i="1" s="1"/>
  <c r="K45" i="1"/>
  <c r="J47" i="1"/>
  <c r="K47" i="1"/>
  <c r="C49" i="1"/>
  <c r="D49" i="1"/>
  <c r="E49" i="1"/>
  <c r="F49" i="1"/>
  <c r="G49" i="1"/>
  <c r="H49" i="1"/>
  <c r="I49" i="1"/>
  <c r="L49" i="1"/>
  <c r="M49" i="1"/>
  <c r="J50" i="1"/>
  <c r="J51" i="1"/>
  <c r="K51" i="1" s="1"/>
  <c r="J54" i="1"/>
  <c r="K54" i="1" s="1"/>
  <c r="J56" i="1"/>
  <c r="K56" i="1" s="1"/>
  <c r="J57" i="1"/>
  <c r="K57" i="1" s="1"/>
  <c r="J58" i="1"/>
  <c r="K58" i="1" s="1"/>
  <c r="J59" i="1"/>
  <c r="K59" i="1" s="1"/>
  <c r="J60" i="1"/>
  <c r="K60" i="1" s="1"/>
  <c r="J61" i="1"/>
  <c r="K61" i="1" s="1"/>
  <c r="J62" i="1"/>
  <c r="K62" i="1" s="1"/>
  <c r="J63" i="1"/>
  <c r="K63" i="1" s="1"/>
  <c r="J64" i="1"/>
  <c r="K64" i="1" s="1"/>
  <c r="J65" i="1"/>
  <c r="K65" i="1" s="1"/>
  <c r="C67" i="1"/>
  <c r="D67" i="1"/>
  <c r="E67" i="1"/>
  <c r="F67" i="1"/>
  <c r="G67" i="1"/>
  <c r="H67" i="1"/>
  <c r="I67" i="1"/>
  <c r="L67" i="1"/>
  <c r="M67" i="1"/>
  <c r="J68" i="1"/>
  <c r="K68" i="1"/>
  <c r="J69" i="1"/>
  <c r="K69" i="1"/>
  <c r="C71" i="1"/>
  <c r="D71" i="1"/>
  <c r="E71" i="1"/>
  <c r="F71" i="1"/>
  <c r="G71" i="1"/>
  <c r="H71" i="1"/>
  <c r="I71" i="1"/>
  <c r="L71" i="1"/>
  <c r="M71" i="1"/>
  <c r="J72" i="1"/>
  <c r="J71" i="1" s="1"/>
  <c r="K72" i="1"/>
  <c r="J73" i="1"/>
  <c r="K73" i="1" s="1"/>
  <c r="C75" i="1"/>
  <c r="D75" i="1"/>
  <c r="E75" i="1"/>
  <c r="F75" i="1"/>
  <c r="G75" i="1"/>
  <c r="H75" i="1"/>
  <c r="I75" i="1"/>
  <c r="L75" i="1"/>
  <c r="M75" i="1"/>
  <c r="J76" i="1"/>
  <c r="K76" i="1"/>
  <c r="J77" i="1"/>
  <c r="K77" i="1"/>
  <c r="C81" i="1"/>
  <c r="C55" i="1"/>
  <c r="C53" i="1" s="1"/>
  <c r="D81" i="1"/>
  <c r="D55" i="1" s="1"/>
  <c r="E81" i="1"/>
  <c r="E55" i="1" s="1"/>
  <c r="F81" i="1"/>
  <c r="F55" i="1" s="1"/>
  <c r="F53" i="1" s="1"/>
  <c r="G81" i="1"/>
  <c r="G55" i="1"/>
  <c r="G53" i="1" s="1"/>
  <c r="H81" i="1"/>
  <c r="H55" i="1" s="1"/>
  <c r="H53" i="1" s="1"/>
  <c r="I81" i="1"/>
  <c r="I55" i="1"/>
  <c r="I53" i="1" s="1"/>
  <c r="J81" i="1"/>
  <c r="L81" i="1"/>
  <c r="L55" i="1"/>
  <c r="L53" i="1" s="1"/>
  <c r="M81" i="1"/>
  <c r="M55" i="1" s="1"/>
  <c r="M53" i="1" s="1"/>
  <c r="J82" i="1"/>
  <c r="K82" i="1"/>
  <c r="J83" i="1"/>
  <c r="K83" i="1"/>
  <c r="J84" i="1"/>
  <c r="K84" i="1"/>
  <c r="J85" i="1"/>
  <c r="K85" i="1"/>
  <c r="A86" i="1"/>
  <c r="A2" i="37"/>
  <c r="B2" i="37"/>
  <c r="C3" i="37"/>
  <c r="D3" i="37"/>
  <c r="E3" i="37"/>
  <c r="F3" i="37"/>
  <c r="G3" i="37"/>
  <c r="H3" i="37"/>
  <c r="I3" i="37"/>
  <c r="J3" i="37"/>
  <c r="K3" i="37"/>
  <c r="L3" i="37"/>
  <c r="M3" i="37"/>
  <c r="C9" i="37"/>
  <c r="D9" i="37"/>
  <c r="D8" i="37" s="1"/>
  <c r="E9" i="37"/>
  <c r="J9" i="37" s="1"/>
  <c r="F9" i="37"/>
  <c r="G9" i="37"/>
  <c r="H9" i="37"/>
  <c r="I9" i="37"/>
  <c r="L9" i="37"/>
  <c r="M9" i="37"/>
  <c r="J10" i="37"/>
  <c r="K10" i="37"/>
  <c r="J11" i="37"/>
  <c r="K11" i="37"/>
  <c r="C12" i="37"/>
  <c r="C8" i="37"/>
  <c r="D12" i="37"/>
  <c r="E12" i="37"/>
  <c r="F12" i="37"/>
  <c r="G12" i="37"/>
  <c r="G8" i="37" s="1"/>
  <c r="H12" i="37"/>
  <c r="I12" i="37"/>
  <c r="I8" i="37"/>
  <c r="L12" i="37"/>
  <c r="M12" i="37"/>
  <c r="J13" i="37"/>
  <c r="K13" i="37" s="1"/>
  <c r="J14" i="37"/>
  <c r="K14" i="37" s="1"/>
  <c r="J15" i="37"/>
  <c r="K15" i="37" s="1"/>
  <c r="C16" i="37"/>
  <c r="K16" i="37" s="1"/>
  <c r="D16" i="37"/>
  <c r="E16" i="37"/>
  <c r="F16" i="37"/>
  <c r="G16" i="37"/>
  <c r="H16" i="37"/>
  <c r="I16" i="37"/>
  <c r="J16" i="37"/>
  <c r="L16" i="37"/>
  <c r="M16" i="37"/>
  <c r="J17" i="37"/>
  <c r="K17" i="37"/>
  <c r="J18" i="37"/>
  <c r="K18" i="37"/>
  <c r="J19" i="37"/>
  <c r="K19" i="37"/>
  <c r="C20" i="37"/>
  <c r="D20" i="37"/>
  <c r="E20" i="37"/>
  <c r="F20" i="37"/>
  <c r="G20" i="37"/>
  <c r="H20" i="37"/>
  <c r="I20" i="37"/>
  <c r="L20" i="37"/>
  <c r="M20" i="37"/>
  <c r="M26" i="15" s="1"/>
  <c r="J21" i="37"/>
  <c r="K21" i="37" s="1"/>
  <c r="J22" i="37"/>
  <c r="K22" i="37" s="1"/>
  <c r="C23" i="37"/>
  <c r="K23" i="37" s="1"/>
  <c r="D23" i="37"/>
  <c r="E23" i="37"/>
  <c r="F23" i="37"/>
  <c r="G23" i="37"/>
  <c r="H23" i="37"/>
  <c r="I23" i="37"/>
  <c r="J23" i="37"/>
  <c r="L23" i="37"/>
  <c r="M23" i="37"/>
  <c r="J24" i="37"/>
  <c r="K24" i="37"/>
  <c r="J25" i="37"/>
  <c r="K25" i="37"/>
  <c r="J26" i="37"/>
  <c r="K26" i="37"/>
  <c r="J27" i="37"/>
  <c r="K27" i="37"/>
  <c r="J28" i="37"/>
  <c r="K28" i="37"/>
  <c r="C29" i="37"/>
  <c r="D29" i="37"/>
  <c r="E29" i="37"/>
  <c r="F29" i="37"/>
  <c r="G29" i="37"/>
  <c r="H29" i="37"/>
  <c r="J29" i="37" s="1"/>
  <c r="I29" i="37"/>
  <c r="L29" i="37"/>
  <c r="L29" i="15" s="1"/>
  <c r="M29" i="37"/>
  <c r="J30" i="37"/>
  <c r="K30" i="37" s="1"/>
  <c r="J31" i="37"/>
  <c r="K31" i="37" s="1"/>
  <c r="J32" i="37"/>
  <c r="K32" i="37" s="1"/>
  <c r="J33" i="37"/>
  <c r="K33" i="37" s="1"/>
  <c r="J34" i="37"/>
  <c r="K34" i="37" s="1"/>
  <c r="J35" i="37"/>
  <c r="K35" i="37" s="1"/>
  <c r="J36" i="37"/>
  <c r="K36" i="37" s="1"/>
  <c r="J37" i="37"/>
  <c r="K37" i="37" s="1"/>
  <c r="J38" i="37"/>
  <c r="K38" i="37" s="1"/>
  <c r="J39" i="37"/>
  <c r="K39" i="37" s="1"/>
  <c r="J40" i="37"/>
  <c r="K40" i="37" s="1"/>
  <c r="J41" i="37"/>
  <c r="K41" i="37" s="1"/>
  <c r="J42" i="37"/>
  <c r="K42" i="37" s="1"/>
  <c r="J43" i="37"/>
  <c r="K43" i="37" s="1"/>
  <c r="C45" i="37"/>
  <c r="D45" i="37"/>
  <c r="E45" i="37"/>
  <c r="F45" i="37"/>
  <c r="G45" i="37"/>
  <c r="H45" i="37"/>
  <c r="I45" i="37"/>
  <c r="L45" i="37"/>
  <c r="M45" i="37"/>
  <c r="J46" i="37"/>
  <c r="J47" i="37"/>
  <c r="K47" i="37" s="1"/>
  <c r="C49" i="37"/>
  <c r="D49" i="37"/>
  <c r="E49" i="37"/>
  <c r="F49" i="37"/>
  <c r="G49" i="37"/>
  <c r="H49" i="37"/>
  <c r="I49" i="37"/>
  <c r="L49" i="37"/>
  <c r="M49" i="37"/>
  <c r="J50" i="37"/>
  <c r="J49" i="37"/>
  <c r="K50" i="37"/>
  <c r="J51" i="37"/>
  <c r="K51" i="37"/>
  <c r="K49" i="37" s="1"/>
  <c r="J54" i="37"/>
  <c r="C55" i="37"/>
  <c r="C53" i="37" s="1"/>
  <c r="G55" i="37"/>
  <c r="G53" i="37" s="1"/>
  <c r="G79" i="37" s="1"/>
  <c r="J56" i="37"/>
  <c r="K56" i="37" s="1"/>
  <c r="J57" i="37"/>
  <c r="K57" i="37" s="1"/>
  <c r="J58" i="37"/>
  <c r="K58" i="37" s="1"/>
  <c r="J59" i="37"/>
  <c r="K59" i="37" s="1"/>
  <c r="J60" i="37"/>
  <c r="K60" i="37" s="1"/>
  <c r="J61" i="37"/>
  <c r="K61" i="37" s="1"/>
  <c r="J62" i="37"/>
  <c r="K62" i="37" s="1"/>
  <c r="J63" i="37"/>
  <c r="K63" i="37" s="1"/>
  <c r="J64" i="37"/>
  <c r="K64" i="37" s="1"/>
  <c r="J65" i="37"/>
  <c r="K65" i="37" s="1"/>
  <c r="C67" i="37"/>
  <c r="C33" i="15" s="1"/>
  <c r="C48" i="15" s="1"/>
  <c r="D67" i="37"/>
  <c r="E67" i="37"/>
  <c r="F67" i="37"/>
  <c r="G67" i="37"/>
  <c r="H67" i="37"/>
  <c r="I67" i="37"/>
  <c r="L67" i="37"/>
  <c r="M67" i="37"/>
  <c r="J68" i="37"/>
  <c r="J67" i="37"/>
  <c r="J69" i="37"/>
  <c r="K69" i="37"/>
  <c r="C71" i="37"/>
  <c r="D71" i="37"/>
  <c r="E71" i="37"/>
  <c r="F71" i="37"/>
  <c r="G71" i="37"/>
  <c r="H71" i="37"/>
  <c r="I71" i="37"/>
  <c r="L71" i="37"/>
  <c r="M71" i="37"/>
  <c r="J72" i="37"/>
  <c r="K72" i="37"/>
  <c r="J73" i="37"/>
  <c r="K73" i="37" s="1"/>
  <c r="C75" i="37"/>
  <c r="D75" i="37"/>
  <c r="E75" i="37"/>
  <c r="F75" i="37"/>
  <c r="G75" i="37"/>
  <c r="H75" i="37"/>
  <c r="I75" i="37"/>
  <c r="L75" i="37"/>
  <c r="M75" i="37"/>
  <c r="J76" i="37"/>
  <c r="J75" i="37"/>
  <c r="J77" i="37"/>
  <c r="K77" i="37"/>
  <c r="C81" i="37"/>
  <c r="D81" i="37"/>
  <c r="D55" i="37" s="1"/>
  <c r="E81" i="37"/>
  <c r="F81" i="37"/>
  <c r="F55" i="37"/>
  <c r="F53" i="37" s="1"/>
  <c r="G81" i="37"/>
  <c r="H81" i="37"/>
  <c r="H55" i="37"/>
  <c r="H53" i="37" s="1"/>
  <c r="I81" i="37"/>
  <c r="I55" i="37" s="1"/>
  <c r="I53" i="37" s="1"/>
  <c r="L81" i="37"/>
  <c r="L55" i="37" s="1"/>
  <c r="L53" i="37"/>
  <c r="M81" i="37"/>
  <c r="M55" i="37" s="1"/>
  <c r="M53" i="37" s="1"/>
  <c r="J82" i="37"/>
  <c r="K82" i="37"/>
  <c r="J83" i="37"/>
  <c r="K83" i="37"/>
  <c r="J84" i="37"/>
  <c r="K84" i="37"/>
  <c r="J85" i="37"/>
  <c r="K85" i="37"/>
  <c r="A86" i="37"/>
  <c r="A2" i="34"/>
  <c r="B2" i="34"/>
  <c r="C3" i="34"/>
  <c r="D3" i="34"/>
  <c r="E3" i="34"/>
  <c r="F3" i="34"/>
  <c r="G3" i="34"/>
  <c r="H3" i="34"/>
  <c r="I3" i="34"/>
  <c r="J3" i="34"/>
  <c r="K3" i="34"/>
  <c r="L3" i="34"/>
  <c r="M3" i="34"/>
  <c r="C9" i="34"/>
  <c r="D9" i="34"/>
  <c r="D8" i="34" s="1"/>
  <c r="E9" i="34"/>
  <c r="F9" i="34"/>
  <c r="G9" i="34"/>
  <c r="H9" i="34"/>
  <c r="I9" i="34"/>
  <c r="L9" i="34"/>
  <c r="M9" i="34"/>
  <c r="J10" i="34"/>
  <c r="K10" i="34" s="1"/>
  <c r="J11" i="34"/>
  <c r="K11" i="34"/>
  <c r="C12" i="34"/>
  <c r="D12" i="34"/>
  <c r="E12" i="34"/>
  <c r="F12" i="34"/>
  <c r="G12" i="34"/>
  <c r="G8" i="34" s="1"/>
  <c r="H12" i="34"/>
  <c r="I12" i="34"/>
  <c r="L12" i="34"/>
  <c r="M12" i="34"/>
  <c r="M9" i="15" s="1"/>
  <c r="M39" i="15" s="1"/>
  <c r="J13" i="34"/>
  <c r="K13" i="34" s="1"/>
  <c r="J14" i="34"/>
  <c r="K14" i="34"/>
  <c r="J15" i="34"/>
  <c r="K15" i="34" s="1"/>
  <c r="C16" i="34"/>
  <c r="D16" i="34"/>
  <c r="E16" i="34"/>
  <c r="F16" i="34"/>
  <c r="G16" i="34"/>
  <c r="H16" i="34"/>
  <c r="I16" i="34"/>
  <c r="I10" i="15" s="1"/>
  <c r="L16" i="34"/>
  <c r="M16" i="34"/>
  <c r="J17" i="34"/>
  <c r="K17" i="34" s="1"/>
  <c r="J18" i="34"/>
  <c r="K18" i="34"/>
  <c r="J19" i="34"/>
  <c r="K19" i="34" s="1"/>
  <c r="C20" i="34"/>
  <c r="D20" i="34"/>
  <c r="E20" i="34"/>
  <c r="F20" i="34"/>
  <c r="G20" i="34"/>
  <c r="H20" i="34"/>
  <c r="I20" i="34"/>
  <c r="I11" i="15" s="1"/>
  <c r="L20" i="34"/>
  <c r="L11" i="15" s="1"/>
  <c r="M20" i="34"/>
  <c r="J21" i="34"/>
  <c r="K21" i="34" s="1"/>
  <c r="J22" i="34"/>
  <c r="K22" i="34" s="1"/>
  <c r="C23" i="34"/>
  <c r="C12" i="15" s="1"/>
  <c r="D23" i="34"/>
  <c r="E23" i="34"/>
  <c r="F23" i="34"/>
  <c r="G23" i="34"/>
  <c r="H23" i="34"/>
  <c r="H12" i="15" s="1"/>
  <c r="H42" i="15" s="1"/>
  <c r="I23" i="34"/>
  <c r="L23" i="34"/>
  <c r="M23" i="34"/>
  <c r="M12" i="15" s="1"/>
  <c r="M42" i="15" s="1"/>
  <c r="J24" i="34"/>
  <c r="K24" i="34" s="1"/>
  <c r="J25" i="34"/>
  <c r="K25" i="34"/>
  <c r="J26" i="34"/>
  <c r="K26" i="34" s="1"/>
  <c r="J27" i="34"/>
  <c r="K27" i="34" s="1"/>
  <c r="J28" i="34"/>
  <c r="K28" i="34" s="1"/>
  <c r="C29" i="34"/>
  <c r="D29" i="34"/>
  <c r="E29" i="34"/>
  <c r="F29" i="34"/>
  <c r="G29" i="34"/>
  <c r="H29" i="34"/>
  <c r="I29" i="34"/>
  <c r="L29" i="34"/>
  <c r="M29" i="34"/>
  <c r="J30" i="34"/>
  <c r="K30" i="34"/>
  <c r="J31" i="34"/>
  <c r="K31" i="34" s="1"/>
  <c r="J32" i="34"/>
  <c r="K32" i="34"/>
  <c r="J33" i="34"/>
  <c r="K33" i="34" s="1"/>
  <c r="J34" i="34"/>
  <c r="K34" i="34"/>
  <c r="J35" i="34"/>
  <c r="K35" i="34" s="1"/>
  <c r="J36" i="34"/>
  <c r="K36" i="34" s="1"/>
  <c r="J37" i="34"/>
  <c r="K37" i="34" s="1"/>
  <c r="J38" i="34"/>
  <c r="K38" i="34"/>
  <c r="J39" i="34"/>
  <c r="K39" i="34" s="1"/>
  <c r="J40" i="34"/>
  <c r="K40" i="34"/>
  <c r="J41" i="34"/>
  <c r="K41" i="34" s="1"/>
  <c r="J42" i="34"/>
  <c r="K42" i="34"/>
  <c r="J43" i="34"/>
  <c r="K43" i="34" s="1"/>
  <c r="C45" i="34"/>
  <c r="D45" i="34"/>
  <c r="E45" i="34"/>
  <c r="F45" i="34"/>
  <c r="G45" i="34"/>
  <c r="H45" i="34"/>
  <c r="I45" i="34"/>
  <c r="L45" i="34"/>
  <c r="M45" i="34"/>
  <c r="J46" i="34"/>
  <c r="J45" i="34"/>
  <c r="J47" i="34"/>
  <c r="K47" i="34"/>
  <c r="C49" i="34"/>
  <c r="D49" i="34"/>
  <c r="E49" i="34"/>
  <c r="F49" i="34"/>
  <c r="G49" i="34"/>
  <c r="H49" i="34"/>
  <c r="I49" i="34"/>
  <c r="L49" i="34"/>
  <c r="M49" i="34"/>
  <c r="J50" i="34"/>
  <c r="J51" i="34"/>
  <c r="K51" i="34" s="1"/>
  <c r="J54" i="34"/>
  <c r="C55" i="34"/>
  <c r="C53" i="34"/>
  <c r="G55" i="34"/>
  <c r="G53" i="34"/>
  <c r="G17" i="15" s="1"/>
  <c r="M55" i="34"/>
  <c r="M53" i="34"/>
  <c r="J56" i="34"/>
  <c r="K56" i="34"/>
  <c r="J57" i="34"/>
  <c r="K57" i="34"/>
  <c r="J58" i="34"/>
  <c r="K58" i="34"/>
  <c r="J59" i="34"/>
  <c r="K59" i="34"/>
  <c r="J60" i="34"/>
  <c r="K60" i="34"/>
  <c r="J61" i="34"/>
  <c r="K61" i="34"/>
  <c r="J62" i="34"/>
  <c r="K62" i="34" s="1"/>
  <c r="J63" i="34"/>
  <c r="K63" i="34"/>
  <c r="J64" i="34"/>
  <c r="K64" i="34"/>
  <c r="J65" i="34"/>
  <c r="K65" i="34" s="1"/>
  <c r="C67" i="34"/>
  <c r="D67" i="34"/>
  <c r="E67" i="34"/>
  <c r="F67" i="34"/>
  <c r="G67" i="34"/>
  <c r="H67" i="34"/>
  <c r="I67" i="34"/>
  <c r="L67" i="34"/>
  <c r="M67" i="34"/>
  <c r="J68" i="34"/>
  <c r="J69" i="34"/>
  <c r="C71" i="34"/>
  <c r="D71" i="34"/>
  <c r="E71" i="34"/>
  <c r="F71" i="34"/>
  <c r="G71" i="34"/>
  <c r="H71" i="34"/>
  <c r="I71" i="34"/>
  <c r="I19" i="15" s="1"/>
  <c r="L71" i="34"/>
  <c r="M71" i="34"/>
  <c r="J72" i="34"/>
  <c r="K72" i="34" s="1"/>
  <c r="J71" i="34"/>
  <c r="J73" i="34"/>
  <c r="K73" i="34"/>
  <c r="C75" i="34"/>
  <c r="D75" i="34"/>
  <c r="E75" i="34"/>
  <c r="F75" i="34"/>
  <c r="G75" i="34"/>
  <c r="H75" i="34"/>
  <c r="I75" i="34"/>
  <c r="L75" i="34"/>
  <c r="M75" i="34"/>
  <c r="J76" i="34"/>
  <c r="J77" i="34"/>
  <c r="C81" i="34"/>
  <c r="D81" i="34"/>
  <c r="D55" i="34"/>
  <c r="E81" i="34"/>
  <c r="E55" i="34" s="1"/>
  <c r="E53" i="34" s="1"/>
  <c r="F81" i="34"/>
  <c r="F55" i="34"/>
  <c r="F53" i="34"/>
  <c r="F17" i="15" s="1"/>
  <c r="G81" i="34"/>
  <c r="H81" i="34"/>
  <c r="H55" i="34"/>
  <c r="H53" i="34"/>
  <c r="I81" i="34"/>
  <c r="I55" i="34" s="1"/>
  <c r="I53" i="34" s="1"/>
  <c r="J81" i="34"/>
  <c r="L81" i="34"/>
  <c r="L55" i="34"/>
  <c r="L53" i="34" s="1"/>
  <c r="L17" i="15" s="1"/>
  <c r="M81" i="34"/>
  <c r="J82" i="34"/>
  <c r="K82" i="34"/>
  <c r="J83" i="34"/>
  <c r="K83" i="34"/>
  <c r="J84" i="34"/>
  <c r="K84" i="34"/>
  <c r="J85" i="34"/>
  <c r="K85" i="34"/>
  <c r="A86"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M6" i="33"/>
  <c r="A7" i="33"/>
  <c r="P7" i="33"/>
  <c r="Q7" i="33"/>
  <c r="A8" i="33"/>
  <c r="P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J16" i="33"/>
  <c r="K16" i="33"/>
  <c r="L16" i="33"/>
  <c r="M16" i="33"/>
  <c r="A17" i="33"/>
  <c r="P17" i="33"/>
  <c r="Q17" i="33"/>
  <c r="A18" i="33"/>
  <c r="P18" i="33"/>
  <c r="Q18" i="33"/>
  <c r="A19" i="33"/>
  <c r="P19" i="33"/>
  <c r="Q19" i="33"/>
  <c r="A20" i="33"/>
  <c r="C20" i="33"/>
  <c r="D20" i="33"/>
  <c r="E20" i="33"/>
  <c r="F20" i="33"/>
  <c r="G20" i="33"/>
  <c r="G26" i="33" s="1"/>
  <c r="H20" i="33"/>
  <c r="I20" i="33"/>
  <c r="J20" i="33"/>
  <c r="K20" i="33"/>
  <c r="L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G21" i="32"/>
  <c r="H21" i="32"/>
  <c r="I21" i="32"/>
  <c r="J21" i="32"/>
  <c r="K21" i="32"/>
  <c r="L21" i="32"/>
  <c r="M21" i="32"/>
  <c r="O21" i="32"/>
  <c r="O22" i="32"/>
  <c r="C39" i="32"/>
  <c r="C40" i="32" s="1"/>
  <c r="D39" i="32"/>
  <c r="D40" i="32" s="1"/>
  <c r="E39" i="32"/>
  <c r="F39" i="32"/>
  <c r="F40" i="32" s="1"/>
  <c r="G39" i="32"/>
  <c r="G40" i="32" s="1"/>
  <c r="H39" i="32"/>
  <c r="H40" i="32" s="1"/>
  <c r="I39" i="32"/>
  <c r="I40" i="32" s="1"/>
  <c r="J39" i="32"/>
  <c r="K39" i="32"/>
  <c r="K40" i="32" s="1"/>
  <c r="L39" i="32"/>
  <c r="L40" i="32" s="1"/>
  <c r="M39" i="32"/>
  <c r="O39" i="32"/>
  <c r="O40" i="32" s="1"/>
  <c r="A41" i="32"/>
  <c r="B2" i="31"/>
  <c r="P2" i="31"/>
  <c r="C4" i="31"/>
  <c r="D4" i="31"/>
  <c r="E4" i="31"/>
  <c r="F4" i="31"/>
  <c r="G4" i="31"/>
  <c r="H4" i="31"/>
  <c r="I4" i="31"/>
  <c r="J4" i="31"/>
  <c r="K4" i="31"/>
  <c r="L4" i="31"/>
  <c r="M4" i="31"/>
  <c r="N4" i="31"/>
  <c r="P4" i="31"/>
  <c r="Q4" i="31"/>
  <c r="R4" i="31"/>
  <c r="N6" i="31"/>
  <c r="N7" i="31"/>
  <c r="O7" i="31" s="1"/>
  <c r="N8" i="31"/>
  <c r="O8" i="31" s="1"/>
  <c r="N9" i="31"/>
  <c r="O9" i="31" s="1"/>
  <c r="N10" i="31"/>
  <c r="O10" i="31" s="1"/>
  <c r="N11" i="31"/>
  <c r="O11" i="31" s="1"/>
  <c r="N12" i="31"/>
  <c r="O12" i="31" s="1"/>
  <c r="N13" i="31"/>
  <c r="O13" i="31" s="1"/>
  <c r="N14" i="31"/>
  <c r="O14" i="31" s="1"/>
  <c r="N15" i="31"/>
  <c r="O15" i="31" s="1"/>
  <c r="N16" i="31"/>
  <c r="O16" i="31" s="1"/>
  <c r="N17" i="31"/>
  <c r="O17" i="31" s="1"/>
  <c r="N18" i="31"/>
  <c r="O18" i="31" s="1"/>
  <c r="N19" i="31"/>
  <c r="O19" i="31" s="1"/>
  <c r="N20" i="31"/>
  <c r="O20" i="31" s="1"/>
  <c r="N21" i="31"/>
  <c r="O21" i="31" s="1"/>
  <c r="C22" i="31"/>
  <c r="D22" i="31"/>
  <c r="D34" i="31" s="1"/>
  <c r="E22" i="31"/>
  <c r="E34" i="31" s="1"/>
  <c r="F22" i="31"/>
  <c r="F34" i="31"/>
  <c r="G22" i="31"/>
  <c r="G34" i="31"/>
  <c r="H22" i="31"/>
  <c r="I22" i="31"/>
  <c r="I34" i="31" s="1"/>
  <c r="J22" i="31"/>
  <c r="J34" i="31" s="1"/>
  <c r="K22" i="31"/>
  <c r="K34" i="31" s="1"/>
  <c r="L22" i="31"/>
  <c r="L34" i="31" s="1"/>
  <c r="M22" i="31"/>
  <c r="M34" i="31" s="1"/>
  <c r="P22" i="31"/>
  <c r="P34" i="31" s="1"/>
  <c r="Q22" i="31"/>
  <c r="R22" i="31"/>
  <c r="R34" i="31" s="1"/>
  <c r="N25" i="31"/>
  <c r="O25" i="31" s="1"/>
  <c r="N26" i="31"/>
  <c r="O26" i="31" s="1"/>
  <c r="N27" i="31"/>
  <c r="O27" i="31" s="1"/>
  <c r="N28" i="31"/>
  <c r="O28" i="31" s="1"/>
  <c r="N29" i="31"/>
  <c r="N30" i="31"/>
  <c r="N31" i="31"/>
  <c r="N32" i="31"/>
  <c r="N33" i="31"/>
  <c r="C34" i="31"/>
  <c r="H34" i="31"/>
  <c r="Q34" i="31"/>
  <c r="N37" i="31"/>
  <c r="O37" i="31" s="1"/>
  <c r="N38" i="31"/>
  <c r="O38" i="31"/>
  <c r="N39" i="31"/>
  <c r="O39" i="31"/>
  <c r="N40" i="31"/>
  <c r="O40" i="31" s="1"/>
  <c r="N41" i="31"/>
  <c r="O41" i="31" s="1"/>
  <c r="N42" i="31"/>
  <c r="O42" i="31"/>
  <c r="N43" i="31"/>
  <c r="N44" i="31"/>
  <c r="O44" i="31" s="1"/>
  <c r="N45" i="31"/>
  <c r="N46" i="31"/>
  <c r="O46" i="31" s="1"/>
  <c r="C47" i="31"/>
  <c r="C53" i="31"/>
  <c r="D47" i="31"/>
  <c r="D53" i="31" s="1"/>
  <c r="E47" i="31"/>
  <c r="E53" i="31" s="1"/>
  <c r="F47" i="31"/>
  <c r="F53" i="31"/>
  <c r="G47" i="31"/>
  <c r="G53" i="31" s="1"/>
  <c r="H47" i="31"/>
  <c r="H53" i="31" s="1"/>
  <c r="I47" i="31"/>
  <c r="I64" i="31" s="1"/>
  <c r="J47" i="31"/>
  <c r="J53" i="31" s="1"/>
  <c r="K47" i="31"/>
  <c r="K64" i="31" s="1"/>
  <c r="L47" i="31"/>
  <c r="L64" i="31" s="1"/>
  <c r="M47" i="31"/>
  <c r="M53" i="31" s="1"/>
  <c r="P47" i="31"/>
  <c r="Q47" i="31"/>
  <c r="R47" i="31"/>
  <c r="R53" i="31"/>
  <c r="N50" i="31"/>
  <c r="O50" i="31" s="1"/>
  <c r="N51" i="31"/>
  <c r="O51" i="31" s="1"/>
  <c r="N52" i="31"/>
  <c r="O52" i="31" s="1"/>
  <c r="I53" i="31"/>
  <c r="Q53" i="31"/>
  <c r="P56" i="31"/>
  <c r="F64" i="31"/>
  <c r="G64" i="31"/>
  <c r="Q64" i="31"/>
  <c r="R64" i="31"/>
  <c r="A2" i="30"/>
  <c r="B2" i="30"/>
  <c r="C4" i="30"/>
  <c r="D4" i="30"/>
  <c r="E4" i="30"/>
  <c r="F4" i="30"/>
  <c r="G4" i="30"/>
  <c r="H4" i="30"/>
  <c r="I4" i="30"/>
  <c r="J4" i="30"/>
  <c r="K4" i="30"/>
  <c r="L4" i="30"/>
  <c r="M4" i="30"/>
  <c r="N4" i="30"/>
  <c r="P4" i="30"/>
  <c r="Q4" i="30"/>
  <c r="R4" i="30"/>
  <c r="Q7" i="30"/>
  <c r="R7" i="30"/>
  <c r="Q12" i="30"/>
  <c r="R12" i="30"/>
  <c r="Q13" i="30"/>
  <c r="R13" i="30"/>
  <c r="Q14" i="30"/>
  <c r="R14" i="30"/>
  <c r="Q15" i="30"/>
  <c r="R15" i="30"/>
  <c r="Q16" i="30"/>
  <c r="R16" i="30"/>
  <c r="Q17" i="30"/>
  <c r="R17" i="30"/>
  <c r="Q18" i="30"/>
  <c r="R18" i="30"/>
  <c r="Q19" i="30"/>
  <c r="R19" i="30"/>
  <c r="Q20" i="30"/>
  <c r="R20" i="30"/>
  <c r="Q22" i="30"/>
  <c r="R22" i="30"/>
  <c r="C23" i="30"/>
  <c r="D23" i="30"/>
  <c r="E23" i="30"/>
  <c r="F23" i="30"/>
  <c r="G23" i="30"/>
  <c r="H23" i="30"/>
  <c r="I23" i="30"/>
  <c r="J23" i="30"/>
  <c r="K23" i="30"/>
  <c r="L23" i="30"/>
  <c r="M23" i="30"/>
  <c r="Q27" i="30"/>
  <c r="R27" i="30"/>
  <c r="Q28" i="30"/>
  <c r="R28" i="30"/>
  <c r="Q30" i="30"/>
  <c r="R30" i="30"/>
  <c r="Q32" i="30"/>
  <c r="R32" i="30"/>
  <c r="Q34" i="30"/>
  <c r="R34" i="30"/>
  <c r="Q36" i="30"/>
  <c r="R36" i="30"/>
  <c r="C37" i="30"/>
  <c r="D37" i="30"/>
  <c r="D39" i="30" s="1"/>
  <c r="D43" i="30" s="1"/>
  <c r="E37" i="30"/>
  <c r="F37" i="30"/>
  <c r="F39" i="30" s="1"/>
  <c r="F43" i="30" s="1"/>
  <c r="G37" i="30"/>
  <c r="G39" i="30" s="1"/>
  <c r="G43" i="30" s="1"/>
  <c r="H37" i="30"/>
  <c r="I37" i="30"/>
  <c r="I39" i="30" s="1"/>
  <c r="I43" i="30" s="1"/>
  <c r="J37" i="30"/>
  <c r="K37" i="30"/>
  <c r="L37" i="30"/>
  <c r="M37" i="30"/>
  <c r="C39" i="30"/>
  <c r="C43" i="30" s="1"/>
  <c r="E39" i="30"/>
  <c r="E43" i="30" s="1"/>
  <c r="Q40" i="30"/>
  <c r="R40" i="30"/>
  <c r="Q41" i="30"/>
  <c r="R41" i="30"/>
  <c r="Q42" i="30"/>
  <c r="R42" i="30"/>
  <c r="A44" i="30"/>
  <c r="A2" i="29"/>
  <c r="B2" i="29"/>
  <c r="C4" i="29"/>
  <c r="D4" i="29"/>
  <c r="E4" i="29"/>
  <c r="F4" i="29"/>
  <c r="G4" i="29"/>
  <c r="H4" i="29"/>
  <c r="I4" i="29"/>
  <c r="J4" i="29"/>
  <c r="K4" i="29"/>
  <c r="L4" i="29"/>
  <c r="M4" i="29"/>
  <c r="N4" i="29"/>
  <c r="P4" i="29"/>
  <c r="Q4" i="29"/>
  <c r="R4" i="29"/>
  <c r="A6" i="29"/>
  <c r="A29" i="29" s="1"/>
  <c r="C6" i="29"/>
  <c r="D6" i="29"/>
  <c r="E6" i="29"/>
  <c r="F6" i="29"/>
  <c r="G6" i="29"/>
  <c r="H6" i="29"/>
  <c r="I6" i="29"/>
  <c r="J6" i="29"/>
  <c r="K6" i="29"/>
  <c r="L6" i="29"/>
  <c r="M6" i="29"/>
  <c r="A7" i="29"/>
  <c r="A30" i="29" s="1"/>
  <c r="A8" i="29"/>
  <c r="A31" i="29" s="1"/>
  <c r="A9" i="29"/>
  <c r="A10" i="29"/>
  <c r="A33" i="29" s="1"/>
  <c r="C10" i="29"/>
  <c r="D10" i="29"/>
  <c r="E10" i="29"/>
  <c r="F10" i="29"/>
  <c r="G10" i="29"/>
  <c r="H10" i="29"/>
  <c r="I10" i="29"/>
  <c r="J10" i="29"/>
  <c r="K10" i="29"/>
  <c r="L10" i="29"/>
  <c r="M10" i="29"/>
  <c r="A11" i="29"/>
  <c r="A34" i="29" s="1"/>
  <c r="A12" i="29"/>
  <c r="A35" i="29" s="1"/>
  <c r="A13" i="29"/>
  <c r="A36" i="29" s="1"/>
  <c r="A14" i="29"/>
  <c r="A15" i="29"/>
  <c r="A38" i="29" s="1"/>
  <c r="A16" i="29"/>
  <c r="A39" i="29" s="1"/>
  <c r="C16" i="29"/>
  <c r="D16" i="29"/>
  <c r="E16" i="29"/>
  <c r="F16" i="29"/>
  <c r="G16" i="29"/>
  <c r="H16" i="29"/>
  <c r="I16" i="29"/>
  <c r="J16" i="29"/>
  <c r="K16" i="29"/>
  <c r="L16" i="29"/>
  <c r="M16" i="29"/>
  <c r="A17" i="29"/>
  <c r="A40" i="29" s="1"/>
  <c r="A18" i="29"/>
  <c r="A41" i="29" s="1"/>
  <c r="A19" i="29"/>
  <c r="A20" i="29"/>
  <c r="A43" i="29" s="1"/>
  <c r="C20" i="29"/>
  <c r="D20" i="29"/>
  <c r="E20" i="29"/>
  <c r="F20" i="29"/>
  <c r="G20" i="29"/>
  <c r="H20" i="29"/>
  <c r="I20" i="29"/>
  <c r="J20" i="29"/>
  <c r="K20" i="29"/>
  <c r="L20" i="29"/>
  <c r="M20" i="29"/>
  <c r="A21" i="29"/>
  <c r="A44" i="29" s="1"/>
  <c r="A22" i="29"/>
  <c r="A45" i="29" s="1"/>
  <c r="A23" i="29"/>
  <c r="A46" i="29" s="1"/>
  <c r="A24" i="29"/>
  <c r="A25" i="29"/>
  <c r="A48" i="29" s="1"/>
  <c r="D26" i="29"/>
  <c r="C29" i="29"/>
  <c r="D29" i="29"/>
  <c r="E29" i="29"/>
  <c r="F29" i="29"/>
  <c r="G29" i="29"/>
  <c r="H29" i="29"/>
  <c r="I29" i="29"/>
  <c r="J29" i="29"/>
  <c r="K29" i="29"/>
  <c r="L29" i="29"/>
  <c r="M29" i="29"/>
  <c r="A32" i="29"/>
  <c r="C33" i="29"/>
  <c r="D33" i="29"/>
  <c r="E33" i="29"/>
  <c r="F33" i="29"/>
  <c r="G33" i="29"/>
  <c r="H33" i="29"/>
  <c r="I33" i="29"/>
  <c r="J33" i="29"/>
  <c r="K33" i="29"/>
  <c r="L33" i="29"/>
  <c r="M33" i="29"/>
  <c r="A37" i="29"/>
  <c r="C39" i="29"/>
  <c r="D39" i="29"/>
  <c r="E39" i="29"/>
  <c r="F39" i="29"/>
  <c r="G39" i="29"/>
  <c r="H39" i="29"/>
  <c r="I39" i="29"/>
  <c r="J39" i="29"/>
  <c r="K39" i="29"/>
  <c r="L39" i="29"/>
  <c r="M39" i="29"/>
  <c r="A42" i="29"/>
  <c r="C43" i="29"/>
  <c r="D43" i="29"/>
  <c r="E43" i="29"/>
  <c r="F43" i="29"/>
  <c r="G43" i="29"/>
  <c r="H43" i="29"/>
  <c r="I43" i="29"/>
  <c r="J43" i="29"/>
  <c r="K43" i="29"/>
  <c r="L43" i="29"/>
  <c r="M43" i="29"/>
  <c r="A47" i="29"/>
  <c r="E49" i="29"/>
  <c r="A52" i="29"/>
  <c r="A2" i="28"/>
  <c r="B2" i="28"/>
  <c r="C4" i="28"/>
  <c r="D4" i="28"/>
  <c r="E4" i="28"/>
  <c r="F4" i="28"/>
  <c r="G4" i="28"/>
  <c r="H4" i="28"/>
  <c r="I4" i="28"/>
  <c r="J4" i="28"/>
  <c r="K4" i="28"/>
  <c r="L4" i="28"/>
  <c r="M4" i="28"/>
  <c r="N4" i="28"/>
  <c r="P4" i="28"/>
  <c r="A5" i="28"/>
  <c r="A21" i="28"/>
  <c r="C21" i="28"/>
  <c r="D21" i="28"/>
  <c r="E21" i="28"/>
  <c r="F21" i="28"/>
  <c r="G21" i="28"/>
  <c r="H21" i="28"/>
  <c r="I21" i="28"/>
  <c r="J21" i="28"/>
  <c r="K21" i="28"/>
  <c r="L21" i="28"/>
  <c r="M21" i="28"/>
  <c r="A23" i="28"/>
  <c r="C39" i="28"/>
  <c r="D39" i="28"/>
  <c r="E39" i="28"/>
  <c r="F39" i="28"/>
  <c r="G39" i="28"/>
  <c r="H39" i="28"/>
  <c r="I39" i="28"/>
  <c r="J39" i="28"/>
  <c r="J41" i="28" s="1"/>
  <c r="K39" i="28"/>
  <c r="L39" i="28"/>
  <c r="M39" i="28"/>
  <c r="F41" i="28"/>
  <c r="A42" i="28"/>
  <c r="B2" i="27"/>
  <c r="C3" i="27"/>
  <c r="D3" i="27"/>
  <c r="E3" i="27"/>
  <c r="F3" i="27"/>
  <c r="G3" i="27"/>
  <c r="H3" i="27"/>
  <c r="I3" i="27"/>
  <c r="J3" i="27"/>
  <c r="K3" i="27"/>
  <c r="J7" i="27"/>
  <c r="K7" i="27"/>
  <c r="L7" i="27" s="1"/>
  <c r="J8" i="27"/>
  <c r="K8" i="27"/>
  <c r="L8" i="27"/>
  <c r="J9" i="27"/>
  <c r="K9" i="27"/>
  <c r="L9" i="27" s="1"/>
  <c r="J10" i="27"/>
  <c r="K10" i="27" s="1"/>
  <c r="L10" i="27" s="1"/>
  <c r="J11" i="27"/>
  <c r="K11" i="27"/>
  <c r="J12" i="27"/>
  <c r="K12" i="27"/>
  <c r="J13" i="27"/>
  <c r="K13" i="27"/>
  <c r="C14" i="27"/>
  <c r="D14" i="27"/>
  <c r="D48" i="27" s="1"/>
  <c r="D15" i="27"/>
  <c r="G14" i="27"/>
  <c r="G48" i="27" s="1"/>
  <c r="G101" i="27" s="1"/>
  <c r="I14" i="27"/>
  <c r="J18" i="27"/>
  <c r="K18" i="27"/>
  <c r="L18" i="27" s="1"/>
  <c r="J19" i="27"/>
  <c r="K19" i="27"/>
  <c r="L19" i="27"/>
  <c r="J20" i="27"/>
  <c r="K20" i="27" s="1"/>
  <c r="J21" i="27"/>
  <c r="K21" i="27"/>
  <c r="L21" i="27"/>
  <c r="J22" i="27"/>
  <c r="K22" i="27"/>
  <c r="K30" i="27" s="1"/>
  <c r="J23" i="27"/>
  <c r="K23" i="27"/>
  <c r="L23" i="27" s="1"/>
  <c r="J24" i="27"/>
  <c r="K24" i="27"/>
  <c r="L24" i="27" s="1"/>
  <c r="J25" i="27"/>
  <c r="K25" i="27"/>
  <c r="J26" i="27"/>
  <c r="K26" i="27"/>
  <c r="J27" i="27"/>
  <c r="K27" i="27"/>
  <c r="J28" i="27"/>
  <c r="K28" i="27"/>
  <c r="L28" i="27" s="1"/>
  <c r="J29" i="27"/>
  <c r="K29" i="27"/>
  <c r="L29" i="27"/>
  <c r="C30" i="27"/>
  <c r="D31" i="27" s="1"/>
  <c r="D30" i="27"/>
  <c r="E30" i="27"/>
  <c r="G30" i="27"/>
  <c r="I30" i="27"/>
  <c r="A31" i="27"/>
  <c r="J34" i="27"/>
  <c r="K34" i="27" s="1"/>
  <c r="J35" i="27"/>
  <c r="K35" i="27"/>
  <c r="L35" i="27" s="1"/>
  <c r="J36" i="27"/>
  <c r="K36" i="27"/>
  <c r="L36" i="27"/>
  <c r="J37" i="27"/>
  <c r="K37" i="27" s="1"/>
  <c r="L37" i="27" s="1"/>
  <c r="J38" i="27"/>
  <c r="K38" i="27"/>
  <c r="J39" i="27"/>
  <c r="K39" i="27"/>
  <c r="L39" i="27" s="1"/>
  <c r="J40" i="27"/>
  <c r="K40" i="27" s="1"/>
  <c r="L40" i="27" s="1"/>
  <c r="J41" i="27"/>
  <c r="K41" i="27"/>
  <c r="J42" i="27"/>
  <c r="K42" i="27"/>
  <c r="J43" i="27"/>
  <c r="K43" i="27"/>
  <c r="L43" i="27" s="1"/>
  <c r="J44" i="27"/>
  <c r="K44" i="27"/>
  <c r="L44" i="27" s="1"/>
  <c r="J45" i="27"/>
  <c r="K45" i="27"/>
  <c r="L45" i="27"/>
  <c r="C46" i="27"/>
  <c r="D46" i="27"/>
  <c r="E46" i="27"/>
  <c r="F46" i="27"/>
  <c r="G46" i="27"/>
  <c r="G103" i="27" s="1"/>
  <c r="H46" i="27"/>
  <c r="I46" i="27"/>
  <c r="A47" i="27"/>
  <c r="C48" i="27"/>
  <c r="F48" i="27"/>
  <c r="F101" i="27" s="1"/>
  <c r="H48" i="27"/>
  <c r="I48" i="27"/>
  <c r="J52" i="27"/>
  <c r="K52" i="27"/>
  <c r="L52" i="27" s="1"/>
  <c r="J53" i="27"/>
  <c r="K53" i="27"/>
  <c r="L53" i="27"/>
  <c r="J54" i="27"/>
  <c r="K54" i="27"/>
  <c r="J55" i="27"/>
  <c r="K55" i="27"/>
  <c r="K65" i="27" s="1"/>
  <c r="J56" i="27"/>
  <c r="K56" i="27"/>
  <c r="J57" i="27"/>
  <c r="K57" i="27"/>
  <c r="J58" i="27"/>
  <c r="K58" i="27"/>
  <c r="J59" i="27"/>
  <c r="K59" i="27"/>
  <c r="L59" i="27" s="1"/>
  <c r="J60" i="27"/>
  <c r="K60" i="27"/>
  <c r="J61" i="27"/>
  <c r="K61" i="27" s="1"/>
  <c r="L61" i="27" s="1"/>
  <c r="J62" i="27"/>
  <c r="K62" i="27"/>
  <c r="L62" i="27" s="1"/>
  <c r="J63" i="27"/>
  <c r="K63" i="27"/>
  <c r="J64" i="27"/>
  <c r="K64" i="27" s="1"/>
  <c r="L64" i="27" s="1"/>
  <c r="C65" i="27"/>
  <c r="D65" i="27"/>
  <c r="D99" i="27" s="1"/>
  <c r="E65" i="27"/>
  <c r="F65" i="27"/>
  <c r="G65" i="27"/>
  <c r="H65" i="27"/>
  <c r="H99" i="27" s="1"/>
  <c r="H101" i="27" s="1"/>
  <c r="I65" i="27"/>
  <c r="A66" i="27"/>
  <c r="J69" i="27"/>
  <c r="K69" i="27"/>
  <c r="L69" i="27" s="1"/>
  <c r="J70" i="27"/>
  <c r="K70" i="27"/>
  <c r="L70" i="27"/>
  <c r="J71" i="27"/>
  <c r="K71" i="27"/>
  <c r="L71" i="27"/>
  <c r="J72" i="27"/>
  <c r="K72" i="27" s="1"/>
  <c r="J73" i="27"/>
  <c r="K73" i="27"/>
  <c r="J74" i="27"/>
  <c r="K74" i="27" s="1"/>
  <c r="J75" i="27"/>
  <c r="K75" i="27"/>
  <c r="J76" i="27"/>
  <c r="K76" i="27" s="1"/>
  <c r="L76" i="27" s="1"/>
  <c r="J77" i="27"/>
  <c r="K77" i="27"/>
  <c r="J78" i="27"/>
  <c r="K78" i="27"/>
  <c r="L78" i="27"/>
  <c r="J79" i="27"/>
  <c r="K79" i="27" s="1"/>
  <c r="L79" i="27" s="1"/>
  <c r="J80" i="27"/>
  <c r="K80" i="27"/>
  <c r="L80" i="27" s="1"/>
  <c r="C81" i="27"/>
  <c r="D81" i="27"/>
  <c r="D103" i="27" s="1"/>
  <c r="E81" i="27"/>
  <c r="E99" i="27" s="1"/>
  <c r="F81" i="27"/>
  <c r="G81" i="27"/>
  <c r="H81" i="27"/>
  <c r="H103" i="27" s="1"/>
  <c r="I81" i="27"/>
  <c r="A82" i="27"/>
  <c r="J85" i="27"/>
  <c r="K85" i="27"/>
  <c r="L85" i="27" s="1"/>
  <c r="J86" i="27"/>
  <c r="K86" i="27"/>
  <c r="J87" i="27"/>
  <c r="K87" i="27"/>
  <c r="L87" i="27" s="1"/>
  <c r="J88" i="27"/>
  <c r="K88" i="27"/>
  <c r="L88" i="27" s="1"/>
  <c r="J89" i="27"/>
  <c r="K89" i="27"/>
  <c r="J90" i="27"/>
  <c r="K90" i="27"/>
  <c r="L90" i="27" s="1"/>
  <c r="J91" i="27"/>
  <c r="K91" i="27"/>
  <c r="L91" i="27"/>
  <c r="J92" i="27"/>
  <c r="K92" i="27"/>
  <c r="J93" i="27"/>
  <c r="K93" i="27"/>
  <c r="J94" i="27"/>
  <c r="K94" i="27"/>
  <c r="L94" i="27"/>
  <c r="J95" i="27"/>
  <c r="K95" i="27" s="1"/>
  <c r="L95" i="27" s="1"/>
  <c r="J96" i="27"/>
  <c r="K96" i="27"/>
  <c r="L96" i="27" s="1"/>
  <c r="C97" i="27"/>
  <c r="C99" i="27"/>
  <c r="D97" i="27"/>
  <c r="E97" i="27"/>
  <c r="F97" i="27"/>
  <c r="G97" i="27"/>
  <c r="G99" i="27"/>
  <c r="H97" i="27"/>
  <c r="I97" i="27"/>
  <c r="A98" i="27"/>
  <c r="F99" i="27"/>
  <c r="A102" i="27"/>
  <c r="F103" i="27"/>
  <c r="A104" i="27"/>
  <c r="A2" i="26"/>
  <c r="B2" i="26"/>
  <c r="C3" i="26"/>
  <c r="D3" i="26"/>
  <c r="E3" i="26"/>
  <c r="F3" i="26"/>
  <c r="G3" i="26"/>
  <c r="H3" i="26"/>
  <c r="I3" i="26"/>
  <c r="J3" i="26"/>
  <c r="K3" i="26"/>
  <c r="L3" i="26"/>
  <c r="M3" i="26"/>
  <c r="J7" i="26"/>
  <c r="K7" i="26"/>
  <c r="J8" i="26"/>
  <c r="K8" i="26"/>
  <c r="J9" i="26"/>
  <c r="K9" i="26"/>
  <c r="K10" i="26" s="1"/>
  <c r="C10" i="26"/>
  <c r="D10" i="26"/>
  <c r="E10" i="26"/>
  <c r="E30" i="26" s="1"/>
  <c r="E57" i="26" s="1"/>
  <c r="F10" i="26"/>
  <c r="G10" i="26"/>
  <c r="H10" i="26"/>
  <c r="I10" i="26"/>
  <c r="J10" i="26"/>
  <c r="L10" i="26"/>
  <c r="M10" i="26"/>
  <c r="J13" i="26"/>
  <c r="K13" i="26"/>
  <c r="J14" i="26"/>
  <c r="K14" i="26"/>
  <c r="J15" i="26"/>
  <c r="K15" i="26"/>
  <c r="C16" i="26"/>
  <c r="D16" i="26"/>
  <c r="E16" i="26"/>
  <c r="F16" i="26"/>
  <c r="G16" i="26"/>
  <c r="H16" i="26"/>
  <c r="I16" i="26"/>
  <c r="L16" i="26"/>
  <c r="M16" i="26"/>
  <c r="J19" i="26"/>
  <c r="J20" i="26"/>
  <c r="K20" i="26"/>
  <c r="J21" i="26"/>
  <c r="K21" i="26"/>
  <c r="C22" i="26"/>
  <c r="D22" i="26"/>
  <c r="D30" i="26" s="1"/>
  <c r="D57" i="26" s="1"/>
  <c r="E22" i="26"/>
  <c r="F22" i="26"/>
  <c r="G22" i="26"/>
  <c r="G30" i="26" s="1"/>
  <c r="G57" i="26" s="1"/>
  <c r="H22" i="26"/>
  <c r="I22" i="26"/>
  <c r="L22" i="26"/>
  <c r="M22" i="26"/>
  <c r="J25" i="26"/>
  <c r="K25" i="26"/>
  <c r="K28" i="26" s="1"/>
  <c r="J26" i="26"/>
  <c r="K26" i="26"/>
  <c r="J27" i="26"/>
  <c r="K27" i="26"/>
  <c r="C28" i="26"/>
  <c r="D28" i="26"/>
  <c r="E28" i="26"/>
  <c r="F28" i="26"/>
  <c r="G28" i="26"/>
  <c r="H28" i="26"/>
  <c r="I28" i="26"/>
  <c r="L28" i="26"/>
  <c r="M28" i="26"/>
  <c r="J33" i="26"/>
  <c r="K33" i="26" s="1"/>
  <c r="J34" i="26"/>
  <c r="K34" i="26"/>
  <c r="J35" i="26"/>
  <c r="K35" i="26" s="1"/>
  <c r="C36" i="26"/>
  <c r="D36" i="26"/>
  <c r="E36" i="26"/>
  <c r="F36" i="26"/>
  <c r="G36" i="26"/>
  <c r="H36" i="26"/>
  <c r="I36" i="26"/>
  <c r="L36" i="26"/>
  <c r="M36" i="26"/>
  <c r="J39" i="26"/>
  <c r="K39" i="26"/>
  <c r="K42" i="26" s="1"/>
  <c r="J40" i="26"/>
  <c r="K40" i="26"/>
  <c r="J41" i="26"/>
  <c r="K41" i="26" s="1"/>
  <c r="C42" i="26"/>
  <c r="D42" i="26"/>
  <c r="E42" i="26"/>
  <c r="F42" i="26"/>
  <c r="G42" i="26"/>
  <c r="H42" i="26"/>
  <c r="I42" i="26"/>
  <c r="L42" i="26"/>
  <c r="M42" i="26"/>
  <c r="J45" i="26"/>
  <c r="K45" i="26" s="1"/>
  <c r="J46" i="26"/>
  <c r="K46" i="26"/>
  <c r="J47" i="26"/>
  <c r="K47" i="26" s="1"/>
  <c r="C48" i="26"/>
  <c r="D48" i="26"/>
  <c r="E48" i="26"/>
  <c r="F48" i="26"/>
  <c r="G48" i="26"/>
  <c r="H48" i="26"/>
  <c r="I48" i="26"/>
  <c r="L48" i="26"/>
  <c r="M48" i="26"/>
  <c r="J51" i="26"/>
  <c r="K51" i="26"/>
  <c r="J52" i="26"/>
  <c r="K52" i="26"/>
  <c r="J53" i="26"/>
  <c r="K53" i="26" s="1"/>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c r="H9" i="25"/>
  <c r="I9" i="25" s="1"/>
  <c r="C10" i="25"/>
  <c r="D10" i="25"/>
  <c r="E10" i="25"/>
  <c r="F10" i="25"/>
  <c r="G10" i="25"/>
  <c r="J10" i="25"/>
  <c r="K10" i="25"/>
  <c r="H11" i="25"/>
  <c r="I11" i="25"/>
  <c r="H13" i="25"/>
  <c r="I13" i="25"/>
  <c r="A14" i="25"/>
  <c r="H14" i="25"/>
  <c r="I14" i="25"/>
  <c r="A15" i="25"/>
  <c r="C15" i="25"/>
  <c r="D15" i="25"/>
  <c r="E15" i="25"/>
  <c r="F15" i="25"/>
  <c r="G15" i="25"/>
  <c r="H15" i="25"/>
  <c r="J15" i="25"/>
  <c r="J27" i="25" s="1"/>
  <c r="K15" i="25"/>
  <c r="K27" i="25" s="1"/>
  <c r="A16" i="25"/>
  <c r="A21" i="25"/>
  <c r="H16" i="25"/>
  <c r="I16" i="25" s="1"/>
  <c r="A18" i="25"/>
  <c r="H18" i="25"/>
  <c r="I18" i="25"/>
  <c r="I20" i="25" s="1"/>
  <c r="A19" i="25"/>
  <c r="H19" i="25"/>
  <c r="I19" i="25"/>
  <c r="C20" i="25"/>
  <c r="D20" i="25"/>
  <c r="E20" i="25"/>
  <c r="F20" i="25"/>
  <c r="G20" i="25"/>
  <c r="J20" i="25"/>
  <c r="K20" i="25"/>
  <c r="H21" i="25"/>
  <c r="I21" i="25" s="1"/>
  <c r="A23" i="25"/>
  <c r="H23" i="25"/>
  <c r="I23" i="25" s="1"/>
  <c r="A24" i="25"/>
  <c r="H24" i="25"/>
  <c r="I24" i="25"/>
  <c r="I25" i="25" s="1"/>
  <c r="C25" i="25"/>
  <c r="D25" i="25"/>
  <c r="E25" i="25"/>
  <c r="F25" i="25"/>
  <c r="G25" i="25"/>
  <c r="J25" i="25"/>
  <c r="K25" i="25"/>
  <c r="A26" i="25"/>
  <c r="H26" i="25"/>
  <c r="I26" i="25" s="1"/>
  <c r="F27" i="25"/>
  <c r="C28" i="25"/>
  <c r="C55" i="25" s="1"/>
  <c r="D28" i="25"/>
  <c r="E28" i="25"/>
  <c r="F28" i="25"/>
  <c r="F55" i="25" s="1"/>
  <c r="G28" i="25"/>
  <c r="G55" i="25" s="1"/>
  <c r="J28" i="25"/>
  <c r="K28" i="25"/>
  <c r="A31" i="25"/>
  <c r="H32" i="25"/>
  <c r="I32" i="25" s="1"/>
  <c r="H33" i="25"/>
  <c r="H34" i="25" s="1"/>
  <c r="H51" i="25" s="1"/>
  <c r="C34" i="25"/>
  <c r="D34" i="25"/>
  <c r="D51" i="25" s="1"/>
  <c r="E34" i="25"/>
  <c r="F34" i="25"/>
  <c r="G34" i="25"/>
  <c r="G51" i="25"/>
  <c r="J34" i="25"/>
  <c r="K34" i="25"/>
  <c r="K51" i="25"/>
  <c r="H35" i="25"/>
  <c r="I35" i="25" s="1"/>
  <c r="I52" i="25" s="1"/>
  <c r="H37" i="25"/>
  <c r="I37" i="25"/>
  <c r="A38" i="25"/>
  <c r="H38" i="25"/>
  <c r="I38" i="25"/>
  <c r="A39" i="25"/>
  <c r="A44" i="25"/>
  <c r="C39" i="25"/>
  <c r="D39" i="25"/>
  <c r="E39" i="25"/>
  <c r="F39" i="25"/>
  <c r="G39" i="25"/>
  <c r="J39" i="25"/>
  <c r="K39" i="25"/>
  <c r="A40" i="25"/>
  <c r="A45" i="25"/>
  <c r="H40" i="25"/>
  <c r="H39" i="25" s="1"/>
  <c r="I40" i="25"/>
  <c r="A42" i="25"/>
  <c r="H42" i="25"/>
  <c r="I42" i="25"/>
  <c r="H43" i="25"/>
  <c r="I43" i="25"/>
  <c r="C44" i="25"/>
  <c r="D44" i="25"/>
  <c r="E44" i="25"/>
  <c r="F44" i="25"/>
  <c r="G44" i="25"/>
  <c r="J44" i="25"/>
  <c r="K44" i="25"/>
  <c r="H45" i="25"/>
  <c r="I45" i="25" s="1"/>
  <c r="A47" i="25"/>
  <c r="H47" i="25"/>
  <c r="H49" i="25" s="1"/>
  <c r="I47" i="25"/>
  <c r="H48" i="25"/>
  <c r="I48" i="25"/>
  <c r="A49" i="25"/>
  <c r="C49" i="25"/>
  <c r="D49" i="25"/>
  <c r="E49" i="25"/>
  <c r="F49" i="25"/>
  <c r="G49" i="25"/>
  <c r="J49" i="25"/>
  <c r="K49" i="25"/>
  <c r="A50" i="25"/>
  <c r="H50" i="25"/>
  <c r="I50" i="25"/>
  <c r="C52" i="25"/>
  <c r="D52" i="25"/>
  <c r="D55" i="25" s="1"/>
  <c r="E52" i="25"/>
  <c r="F52" i="25"/>
  <c r="G52" i="25"/>
  <c r="J52" i="25"/>
  <c r="J55" i="25" s="1"/>
  <c r="K52" i="25"/>
  <c r="E55" i="25"/>
  <c r="K55" i="25"/>
  <c r="A57" i="25"/>
  <c r="A2" i="24"/>
  <c r="B2" i="24"/>
  <c r="C3" i="24"/>
  <c r="D3" i="24"/>
  <c r="E3" i="24"/>
  <c r="F3" i="24"/>
  <c r="G3" i="24"/>
  <c r="H3" i="24"/>
  <c r="I3" i="24"/>
  <c r="J3" i="24"/>
  <c r="K3" i="24"/>
  <c r="A10" i="24"/>
  <c r="H10" i="24"/>
  <c r="I10" i="24" s="1"/>
  <c r="A11" i="24"/>
  <c r="H11" i="24"/>
  <c r="I11" i="24"/>
  <c r="A12" i="24"/>
  <c r="H12" i="24"/>
  <c r="A13" i="24"/>
  <c r="A14" i="24"/>
  <c r="A15" i="24"/>
  <c r="A16" i="24"/>
  <c r="C19" i="24"/>
  <c r="D19" i="24"/>
  <c r="E19" i="24"/>
  <c r="F19" i="24"/>
  <c r="G19" i="24"/>
  <c r="J19" i="24"/>
  <c r="K19" i="24"/>
  <c r="A20" i="24"/>
  <c r="H20" i="24"/>
  <c r="I20" i="24" s="1"/>
  <c r="A21" i="24"/>
  <c r="H21" i="24"/>
  <c r="I21" i="24"/>
  <c r="A22" i="24"/>
  <c r="H22" i="24"/>
  <c r="I22" i="24"/>
  <c r="A23" i="24"/>
  <c r="H23" i="24"/>
  <c r="I23" i="24"/>
  <c r="A24" i="24"/>
  <c r="H24" i="24"/>
  <c r="I24" i="24" s="1"/>
  <c r="C25" i="24"/>
  <c r="D25" i="24"/>
  <c r="E25" i="24"/>
  <c r="F25" i="24"/>
  <c r="G25" i="24"/>
  <c r="J25" i="24"/>
  <c r="K25" i="24"/>
  <c r="A26" i="24"/>
  <c r="H26" i="24"/>
  <c r="I26" i="24"/>
  <c r="A27" i="24"/>
  <c r="H27" i="24"/>
  <c r="I27" i="24"/>
  <c r="C28" i="24"/>
  <c r="D28" i="24"/>
  <c r="E28" i="24"/>
  <c r="F28" i="24"/>
  <c r="G28" i="24"/>
  <c r="A29" i="24"/>
  <c r="H29" i="24"/>
  <c r="H28" i="24"/>
  <c r="A30" i="24"/>
  <c r="H30" i="24"/>
  <c r="I30" i="24"/>
  <c r="D31" i="24"/>
  <c r="C34" i="24"/>
  <c r="D34" i="24"/>
  <c r="E34" i="24"/>
  <c r="F34" i="24"/>
  <c r="G34" i="24"/>
  <c r="J34" i="24"/>
  <c r="J50" i="24" s="1"/>
  <c r="K34" i="24"/>
  <c r="K50" i="24" s="1"/>
  <c r="A35" i="24"/>
  <c r="H35" i="24"/>
  <c r="A36" i="24"/>
  <c r="H36" i="24"/>
  <c r="I36" i="24" s="1"/>
  <c r="A37" i="24"/>
  <c r="H37" i="24"/>
  <c r="I37" i="24" s="1"/>
  <c r="A38" i="24"/>
  <c r="H38" i="24"/>
  <c r="I38" i="24"/>
  <c r="A39" i="24"/>
  <c r="H39" i="24"/>
  <c r="I39" i="24" s="1"/>
  <c r="A40" i="24"/>
  <c r="H40" i="24"/>
  <c r="I40" i="24"/>
  <c r="C41" i="24"/>
  <c r="D41" i="24"/>
  <c r="D50" i="24"/>
  <c r="E41" i="24"/>
  <c r="F41" i="24"/>
  <c r="G41" i="24"/>
  <c r="J41" i="24"/>
  <c r="K41" i="24"/>
  <c r="A42" i="24"/>
  <c r="H42" i="24"/>
  <c r="I42" i="24"/>
  <c r="A43" i="24"/>
  <c r="H43" i="24"/>
  <c r="I43" i="24"/>
  <c r="C44" i="24"/>
  <c r="D44" i="24"/>
  <c r="E44" i="24"/>
  <c r="F44" i="24"/>
  <c r="G44" i="24"/>
  <c r="J44" i="24"/>
  <c r="K44" i="24"/>
  <c r="A45" i="24"/>
  <c r="H45" i="24"/>
  <c r="H44" i="24" s="1"/>
  <c r="A46" i="24"/>
  <c r="H46" i="24"/>
  <c r="I46" i="24"/>
  <c r="C47" i="24"/>
  <c r="D47" i="24"/>
  <c r="E47" i="24"/>
  <c r="F47" i="24"/>
  <c r="G47" i="24"/>
  <c r="J47" i="24"/>
  <c r="K47" i="24"/>
  <c r="A48" i="24"/>
  <c r="H48" i="24"/>
  <c r="I48" i="24"/>
  <c r="A49" i="24"/>
  <c r="H49" i="24"/>
  <c r="I49" i="24" s="1"/>
  <c r="E50" i="24"/>
  <c r="A53" i="24"/>
  <c r="A2" i="23"/>
  <c r="B2" i="23"/>
  <c r="C3" i="23"/>
  <c r="D3" i="23"/>
  <c r="E3" i="23"/>
  <c r="F3" i="23"/>
  <c r="G3" i="23"/>
  <c r="H3" i="23"/>
  <c r="I3" i="23"/>
  <c r="J3" i="23"/>
  <c r="K3" i="23"/>
  <c r="D9" i="23"/>
  <c r="E9" i="23"/>
  <c r="F9" i="23"/>
  <c r="G9" i="23"/>
  <c r="J9" i="23"/>
  <c r="K9" i="23"/>
  <c r="H10" i="23"/>
  <c r="I10" i="23" s="1"/>
  <c r="H11" i="23"/>
  <c r="I11" i="23" s="1"/>
  <c r="H12" i="23"/>
  <c r="I12" i="23" s="1"/>
  <c r="H13" i="23"/>
  <c r="I13" i="23" s="1"/>
  <c r="H14" i="23"/>
  <c r="I14" i="23" s="1"/>
  <c r="H15" i="23"/>
  <c r="I15" i="23" s="1"/>
  <c r="C20" i="23"/>
  <c r="D20" i="23"/>
  <c r="E20" i="23"/>
  <c r="F20" i="23"/>
  <c r="G20" i="23"/>
  <c r="J20" i="23"/>
  <c r="K20" i="23"/>
  <c r="H21" i="23"/>
  <c r="I21" i="23" s="1"/>
  <c r="H22" i="23"/>
  <c r="I22" i="23" s="1"/>
  <c r="H23" i="23"/>
  <c r="I23" i="23" s="1"/>
  <c r="H24" i="23"/>
  <c r="I24" i="23" s="1"/>
  <c r="H25" i="23"/>
  <c r="I25" i="23" s="1"/>
  <c r="C26" i="23"/>
  <c r="D26" i="23"/>
  <c r="E26" i="23"/>
  <c r="F26" i="23"/>
  <c r="G26" i="23"/>
  <c r="J26" i="23"/>
  <c r="K26" i="23"/>
  <c r="H27" i="23"/>
  <c r="H28" i="23"/>
  <c r="I28" i="23" s="1"/>
  <c r="C29" i="23"/>
  <c r="D29" i="23"/>
  <c r="E29" i="23"/>
  <c r="F29" i="23"/>
  <c r="G29" i="23"/>
  <c r="H30" i="23"/>
  <c r="I30" i="23" s="1"/>
  <c r="I29" i="23" s="1"/>
  <c r="H31" i="23"/>
  <c r="I31" i="23" s="1"/>
  <c r="A35" i="23"/>
  <c r="C35" i="23"/>
  <c r="D35" i="23"/>
  <c r="E35" i="23"/>
  <c r="F35" i="23"/>
  <c r="G35" i="23"/>
  <c r="J35" i="23"/>
  <c r="K35" i="23"/>
  <c r="H36" i="23"/>
  <c r="I36" i="23" s="1"/>
  <c r="H37" i="23"/>
  <c r="I37" i="23" s="1"/>
  <c r="H38" i="23"/>
  <c r="I38" i="23" s="1"/>
  <c r="H39" i="23"/>
  <c r="I39" i="23" s="1"/>
  <c r="H40" i="23"/>
  <c r="I40" i="23"/>
  <c r="H41" i="23"/>
  <c r="I41" i="23"/>
  <c r="A42" i="23"/>
  <c r="C42" i="23"/>
  <c r="D42" i="23"/>
  <c r="E42" i="23"/>
  <c r="F42" i="23"/>
  <c r="G42" i="23"/>
  <c r="J42" i="23"/>
  <c r="K42" i="23"/>
  <c r="H43" i="23"/>
  <c r="I43" i="23"/>
  <c r="H44" i="23"/>
  <c r="I44" i="23" s="1"/>
  <c r="I42" i="23" s="1"/>
  <c r="A45" i="23"/>
  <c r="C45" i="23"/>
  <c r="D45" i="23"/>
  <c r="E45" i="23"/>
  <c r="F45" i="23"/>
  <c r="G45" i="23"/>
  <c r="J45" i="23"/>
  <c r="K45" i="23"/>
  <c r="H46" i="23"/>
  <c r="I46" i="23" s="1"/>
  <c r="H47" i="23"/>
  <c r="I47" i="23" s="1"/>
  <c r="A48" i="23"/>
  <c r="C48" i="23"/>
  <c r="D48" i="23"/>
  <c r="E48" i="23"/>
  <c r="F48" i="23"/>
  <c r="G48" i="23"/>
  <c r="J48" i="23"/>
  <c r="K48" i="23"/>
  <c r="H49" i="23"/>
  <c r="I49" i="23" s="1"/>
  <c r="H50" i="23"/>
  <c r="I50" i="23" s="1"/>
  <c r="A53" i="23"/>
  <c r="A2" i="22"/>
  <c r="B2" i="22"/>
  <c r="G2" i="22"/>
  <c r="D3" i="22"/>
  <c r="E3" i="22"/>
  <c r="F3" i="22"/>
  <c r="G3" i="22"/>
  <c r="H3" i="22"/>
  <c r="I3" i="22"/>
  <c r="G14" i="22"/>
  <c r="H14" i="22"/>
  <c r="J14" i="22"/>
  <c r="K14" i="22"/>
  <c r="K16" i="22"/>
  <c r="C18" i="22"/>
  <c r="A19" i="22"/>
  <c r="I37" i="22"/>
  <c r="G40" i="22"/>
  <c r="H40" i="22"/>
  <c r="J40" i="22"/>
  <c r="K40" i="22"/>
  <c r="C41" i="21"/>
  <c r="D41" i="21"/>
  <c r="E41" i="21"/>
  <c r="F41" i="21"/>
  <c r="G41" i="21"/>
  <c r="H41" i="21"/>
  <c r="I41" i="21"/>
  <c r="J41" i="21"/>
  <c r="K41" i="21"/>
  <c r="C45" i="21"/>
  <c r="D45" i="21"/>
  <c r="E45" i="21"/>
  <c r="F45" i="21"/>
  <c r="G45" i="21"/>
  <c r="H45" i="21"/>
  <c r="I45" i="21"/>
  <c r="J45" i="21"/>
  <c r="K45" i="21"/>
  <c r="A24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c r="L8" i="19"/>
  <c r="M8" i="19"/>
  <c r="J11" i="19"/>
  <c r="K11" i="19"/>
  <c r="L11" i="19"/>
  <c r="M11" i="19"/>
  <c r="J15" i="19"/>
  <c r="K15" i="19"/>
  <c r="L15" i="19"/>
  <c r="M15" i="19"/>
  <c r="J19" i="19"/>
  <c r="K19" i="19"/>
  <c r="L19" i="19"/>
  <c r="M19" i="19"/>
  <c r="J21" i="19"/>
  <c r="K21" i="19"/>
  <c r="L21" i="19"/>
  <c r="M21" i="19"/>
  <c r="J23" i="19"/>
  <c r="K23" i="19"/>
  <c r="L23" i="19"/>
  <c r="M23" i="19"/>
  <c r="J25" i="19"/>
  <c r="K25" i="19"/>
  <c r="L25" i="19"/>
  <c r="M25" i="19"/>
  <c r="J29" i="19"/>
  <c r="K29" i="19"/>
  <c r="L29" i="19"/>
  <c r="M29" i="19"/>
  <c r="J31" i="19"/>
  <c r="K31" i="19"/>
  <c r="L31" i="19"/>
  <c r="M31" i="19"/>
  <c r="J33" i="19"/>
  <c r="K33" i="19"/>
  <c r="L33" i="19"/>
  <c r="M33" i="19"/>
  <c r="J35" i="19"/>
  <c r="K35" i="19"/>
  <c r="L35" i="19"/>
  <c r="M35" i="19"/>
  <c r="J38" i="19"/>
  <c r="K38" i="19"/>
  <c r="L38" i="19"/>
  <c r="M38" i="19"/>
  <c r="J40" i="19"/>
  <c r="K40" i="19"/>
  <c r="L40" i="19"/>
  <c r="M40" i="19"/>
  <c r="J42" i="19"/>
  <c r="K42" i="19"/>
  <c r="L42" i="19"/>
  <c r="M42" i="19"/>
  <c r="J46" i="19"/>
  <c r="K46" i="19"/>
  <c r="L46" i="19"/>
  <c r="M46" i="19"/>
  <c r="J48" i="19"/>
  <c r="K48" i="19"/>
  <c r="L48" i="19"/>
  <c r="M48" i="19"/>
  <c r="J51" i="19"/>
  <c r="K51" i="19"/>
  <c r="L51" i="19"/>
  <c r="M51" i="19"/>
  <c r="J53" i="19"/>
  <c r="K53" i="19"/>
  <c r="L53" i="19"/>
  <c r="M53" i="19"/>
  <c r="J55" i="19"/>
  <c r="K55" i="19"/>
  <c r="L55" i="19"/>
  <c r="M55" i="19"/>
  <c r="J58" i="19"/>
  <c r="K58" i="19"/>
  <c r="L58" i="19"/>
  <c r="M58" i="19"/>
  <c r="J60" i="19"/>
  <c r="K60" i="19"/>
  <c r="L60" i="19"/>
  <c r="M60" i="19"/>
  <c r="J62" i="19"/>
  <c r="K62" i="19"/>
  <c r="L62" i="19"/>
  <c r="M62" i="19"/>
  <c r="J64" i="19"/>
  <c r="K64" i="19"/>
  <c r="L64" i="19"/>
  <c r="M64" i="19"/>
  <c r="J66" i="19"/>
  <c r="K66" i="19"/>
  <c r="L66" i="19"/>
  <c r="M66" i="19"/>
  <c r="J68" i="19"/>
  <c r="K68" i="19"/>
  <c r="L68" i="19"/>
  <c r="M68" i="19"/>
  <c r="A69" i="19"/>
  <c r="A2" i="18"/>
  <c r="B2" i="18"/>
  <c r="C3" i="18"/>
  <c r="D3" i="18"/>
  <c r="E3" i="18"/>
  <c r="F3" i="18"/>
  <c r="G3" i="18"/>
  <c r="H3" i="18"/>
  <c r="I3" i="18"/>
  <c r="J3" i="18"/>
  <c r="K3" i="18"/>
  <c r="L3" i="18"/>
  <c r="M3" i="18"/>
  <c r="J8" i="18"/>
  <c r="K8" i="18" s="1"/>
  <c r="K10" i="18" s="1"/>
  <c r="J9" i="18"/>
  <c r="K9" i="18"/>
  <c r="A10" i="18"/>
  <c r="C10" i="18"/>
  <c r="C9" i="12" s="1"/>
  <c r="D10" i="18"/>
  <c r="E10" i="18"/>
  <c r="F10" i="18"/>
  <c r="G10" i="18"/>
  <c r="H10" i="18"/>
  <c r="I10" i="18"/>
  <c r="I9" i="12" s="1"/>
  <c r="L10" i="18"/>
  <c r="M10" i="18"/>
  <c r="A12" i="18"/>
  <c r="J12" i="18"/>
  <c r="K12" i="18"/>
  <c r="F13" i="18"/>
  <c r="H13" i="18"/>
  <c r="A14" i="18"/>
  <c r="F14" i="18"/>
  <c r="H14" i="18"/>
  <c r="J16" i="18"/>
  <c r="K16" i="18" s="1"/>
  <c r="J17" i="18"/>
  <c r="K17" i="18"/>
  <c r="J18" i="18"/>
  <c r="K18" i="18"/>
  <c r="C19" i="18"/>
  <c r="C13" i="18" s="1"/>
  <c r="C14" i="18" s="1"/>
  <c r="C10" i="12" s="1"/>
  <c r="D19" i="18"/>
  <c r="D13" i="18" s="1"/>
  <c r="D14" i="18" s="1"/>
  <c r="E19" i="18"/>
  <c r="E13" i="18"/>
  <c r="F19" i="18"/>
  <c r="G19" i="18"/>
  <c r="G13" i="18"/>
  <c r="G14" i="18"/>
  <c r="G10" i="12" s="1"/>
  <c r="H19" i="18"/>
  <c r="I19" i="18"/>
  <c r="I13" i="18" s="1"/>
  <c r="J21" i="18"/>
  <c r="K21" i="18" s="1"/>
  <c r="J22" i="18"/>
  <c r="K22" i="18"/>
  <c r="J23" i="18"/>
  <c r="A24" i="18"/>
  <c r="C24" i="18"/>
  <c r="D24" i="18"/>
  <c r="E24" i="18"/>
  <c r="F24" i="18"/>
  <c r="G24" i="18"/>
  <c r="H24" i="18"/>
  <c r="I24" i="18"/>
  <c r="I21" i="12" s="1"/>
  <c r="I26" i="12" s="1"/>
  <c r="L24" i="18"/>
  <c r="M24" i="18"/>
  <c r="J28" i="18"/>
  <c r="K28" i="18"/>
  <c r="J29" i="18"/>
  <c r="A30" i="18"/>
  <c r="C30" i="18"/>
  <c r="C32" i="12" s="1"/>
  <c r="D30" i="18"/>
  <c r="D32" i="12" s="1"/>
  <c r="E30" i="18"/>
  <c r="F30" i="18"/>
  <c r="G30" i="18"/>
  <c r="H30" i="18"/>
  <c r="I30" i="18"/>
  <c r="L30" i="18"/>
  <c r="L32" i="12" s="1"/>
  <c r="M30" i="18"/>
  <c r="J32" i="18"/>
  <c r="K32" i="18" s="1"/>
  <c r="K39" i="14" s="1"/>
  <c r="J33" i="18"/>
  <c r="K33" i="18" s="1"/>
  <c r="J34" i="18"/>
  <c r="K34" i="18"/>
  <c r="A35" i="18"/>
  <c r="C35" i="18"/>
  <c r="D35" i="18"/>
  <c r="E35" i="18"/>
  <c r="F35" i="18"/>
  <c r="G35" i="18"/>
  <c r="G34" i="12" s="1"/>
  <c r="H35" i="18"/>
  <c r="I35" i="18"/>
  <c r="I34" i="12" s="1"/>
  <c r="L35" i="18"/>
  <c r="L34" i="12" s="1"/>
  <c r="M35" i="18"/>
  <c r="J37" i="18"/>
  <c r="J38" i="18"/>
  <c r="K38" i="18"/>
  <c r="A39" i="18"/>
  <c r="C39" i="18"/>
  <c r="D39" i="18"/>
  <c r="E39" i="18"/>
  <c r="F39" i="18"/>
  <c r="G39" i="18"/>
  <c r="H39" i="18"/>
  <c r="H39" i="12" s="1"/>
  <c r="I39" i="18"/>
  <c r="I39" i="12" s="1"/>
  <c r="I41" i="12" s="1"/>
  <c r="H40" i="7" s="1"/>
  <c r="L39" i="18"/>
  <c r="M39" i="18"/>
  <c r="J41" i="18"/>
  <c r="K41" i="18" s="1"/>
  <c r="J42" i="18"/>
  <c r="K42" i="18"/>
  <c r="J43" i="18"/>
  <c r="K43" i="18" s="1"/>
  <c r="J44" i="18"/>
  <c r="K44" i="18"/>
  <c r="A45" i="18"/>
  <c r="C45" i="18"/>
  <c r="D45" i="18"/>
  <c r="E45" i="18"/>
  <c r="F45" i="18"/>
  <c r="F40" i="12" s="1"/>
  <c r="G45" i="18"/>
  <c r="H45" i="18"/>
  <c r="I45" i="18"/>
  <c r="J45" i="18"/>
  <c r="L45" i="18"/>
  <c r="M45" i="18"/>
  <c r="A49" i="18"/>
  <c r="J49" i="18"/>
  <c r="K49" i="18"/>
  <c r="J50" i="18"/>
  <c r="K50" i="18"/>
  <c r="J51" i="18"/>
  <c r="K51" i="18"/>
  <c r="J52" i="18"/>
  <c r="K52" i="18" s="1"/>
  <c r="C54" i="18"/>
  <c r="C47" i="12" s="1"/>
  <c r="D54" i="18"/>
  <c r="E54" i="18"/>
  <c r="F54" i="18"/>
  <c r="G54" i="18"/>
  <c r="H54" i="18"/>
  <c r="L54" i="18"/>
  <c r="L47" i="12" s="1"/>
  <c r="M54" i="18"/>
  <c r="J56" i="18"/>
  <c r="J57" i="18"/>
  <c r="K57" i="18"/>
  <c r="K54" i="14" s="1"/>
  <c r="J58" i="18"/>
  <c r="K58" i="18"/>
  <c r="J59" i="18"/>
  <c r="K59" i="18"/>
  <c r="K56" i="14" s="1"/>
  <c r="J60" i="18"/>
  <c r="K60" i="18"/>
  <c r="C61" i="18"/>
  <c r="D61" i="18"/>
  <c r="E61" i="18"/>
  <c r="F61" i="18"/>
  <c r="F62" i="18"/>
  <c r="G61" i="18"/>
  <c r="H61" i="18"/>
  <c r="I61" i="18"/>
  <c r="L61" i="18"/>
  <c r="L48" i="12" s="1"/>
  <c r="I11" i="20" s="1"/>
  <c r="M61" i="18"/>
  <c r="E62" i="18"/>
  <c r="G62" i="18"/>
  <c r="J65" i="18"/>
  <c r="K65" i="18"/>
  <c r="J66" i="18"/>
  <c r="K66" i="18" s="1"/>
  <c r="J67" i="18"/>
  <c r="K67" i="18"/>
  <c r="A68" i="18"/>
  <c r="A2" i="17"/>
  <c r="B2" i="17"/>
  <c r="C3" i="17"/>
  <c r="D3" i="17"/>
  <c r="E3" i="17"/>
  <c r="F3" i="17"/>
  <c r="G3" i="17"/>
  <c r="H3" i="17"/>
  <c r="I3" i="17"/>
  <c r="J3" i="17"/>
  <c r="K3" i="17"/>
  <c r="L3" i="17"/>
  <c r="M3" i="17"/>
  <c r="J8" i="17"/>
  <c r="K8" i="17" s="1"/>
  <c r="J9" i="17"/>
  <c r="K9" i="17" s="1"/>
  <c r="C10" i="17"/>
  <c r="C7" i="10"/>
  <c r="B7" i="7" s="1"/>
  <c r="D10" i="17"/>
  <c r="E10" i="17"/>
  <c r="E7" i="10"/>
  <c r="F10" i="17"/>
  <c r="F7" i="10"/>
  <c r="E7" i="7" s="1"/>
  <c r="G10" i="17"/>
  <c r="G7" i="10"/>
  <c r="F7" i="7"/>
  <c r="H10" i="17"/>
  <c r="I10" i="17"/>
  <c r="I7" i="10" s="1"/>
  <c r="L10" i="17"/>
  <c r="L7" i="10" s="1"/>
  <c r="M10" i="17"/>
  <c r="M7" i="10" s="1"/>
  <c r="J13" i="17"/>
  <c r="K13" i="17" s="1"/>
  <c r="J14" i="17"/>
  <c r="K14" i="17"/>
  <c r="C15" i="17"/>
  <c r="D15" i="17"/>
  <c r="D9" i="10"/>
  <c r="E15" i="17"/>
  <c r="E9" i="10"/>
  <c r="F15" i="17"/>
  <c r="F9" i="10"/>
  <c r="G15" i="17"/>
  <c r="G9" i="10"/>
  <c r="H15" i="17"/>
  <c r="H9" i="10"/>
  <c r="I15" i="17"/>
  <c r="J15" i="17"/>
  <c r="L15" i="17"/>
  <c r="L9" i="10"/>
  <c r="M15" i="17"/>
  <c r="J18" i="17"/>
  <c r="J19" i="17"/>
  <c r="K19" i="17"/>
  <c r="C20" i="17"/>
  <c r="C10" i="10" s="1"/>
  <c r="D20" i="17"/>
  <c r="D10" i="10"/>
  <c r="E20" i="17"/>
  <c r="E10" i="10"/>
  <c r="F20" i="17"/>
  <c r="F10" i="10"/>
  <c r="G20" i="17"/>
  <c r="G10" i="10"/>
  <c r="H20" i="17"/>
  <c r="I20" i="17"/>
  <c r="L20" i="17"/>
  <c r="L10" i="10" s="1"/>
  <c r="Q9" i="30" s="1"/>
  <c r="M20" i="17"/>
  <c r="M10" i="10"/>
  <c r="R9" i="30" s="1"/>
  <c r="J23" i="17"/>
  <c r="J24" i="17"/>
  <c r="K24" i="17"/>
  <c r="C25" i="17"/>
  <c r="D25" i="17"/>
  <c r="D11" i="10"/>
  <c r="E25" i="17"/>
  <c r="F25" i="17"/>
  <c r="F11" i="10" s="1"/>
  <c r="G25" i="17"/>
  <c r="G11" i="10"/>
  <c r="H25" i="17"/>
  <c r="H11" i="10" s="1"/>
  <c r="I25" i="17"/>
  <c r="L25" i="17"/>
  <c r="L11" i="10" s="1"/>
  <c r="Q10" i="30" s="1"/>
  <c r="M25" i="17"/>
  <c r="J28" i="17"/>
  <c r="K28" i="17"/>
  <c r="J29" i="17"/>
  <c r="K29" i="17"/>
  <c r="J30" i="17"/>
  <c r="C31" i="17"/>
  <c r="D31" i="17"/>
  <c r="D12" i="10"/>
  <c r="E31" i="17"/>
  <c r="E12" i="10"/>
  <c r="F31" i="17"/>
  <c r="F12" i="10"/>
  <c r="G31" i="17"/>
  <c r="H31" i="17"/>
  <c r="I31" i="17"/>
  <c r="I12" i="10"/>
  <c r="L31" i="17"/>
  <c r="L12" i="10" s="1"/>
  <c r="Q11" i="30" s="1"/>
  <c r="M31" i="17"/>
  <c r="M12" i="10" s="1"/>
  <c r="R11" i="30" s="1"/>
  <c r="C22" i="10"/>
  <c r="B11" i="7" s="1"/>
  <c r="D22" i="10"/>
  <c r="C11" i="7" s="1"/>
  <c r="C12" i="7" s="1"/>
  <c r="E22" i="10"/>
  <c r="E24" i="10" s="1"/>
  <c r="D11" i="7"/>
  <c r="D12" i="7" s="1"/>
  <c r="D21" i="7" s="1"/>
  <c r="D24" i="7" s="1"/>
  <c r="D26" i="7" s="1"/>
  <c r="J50" i="17"/>
  <c r="J51" i="17"/>
  <c r="K51" i="17"/>
  <c r="J52" i="17"/>
  <c r="K52" i="17" s="1"/>
  <c r="J53" i="17"/>
  <c r="K53" i="17"/>
  <c r="J54" i="17"/>
  <c r="K54" i="17" s="1"/>
  <c r="J55" i="17"/>
  <c r="K55" i="17"/>
  <c r="J56" i="17"/>
  <c r="K56" i="17" s="1"/>
  <c r="J57" i="17"/>
  <c r="K57" i="17"/>
  <c r="J58" i="17"/>
  <c r="K58" i="17" s="1"/>
  <c r="J59" i="17"/>
  <c r="K59" i="17"/>
  <c r="J60" i="17"/>
  <c r="K60" i="17" s="1"/>
  <c r="J61" i="17"/>
  <c r="K61" i="17"/>
  <c r="C62" i="17"/>
  <c r="C64" i="17" s="1"/>
  <c r="C27" i="10" s="1"/>
  <c r="D62" i="17"/>
  <c r="D64" i="17"/>
  <c r="E62" i="17"/>
  <c r="E64" i="17"/>
  <c r="E27" i="10" s="1"/>
  <c r="D13" i="7" s="1"/>
  <c r="F62" i="17"/>
  <c r="F64" i="17"/>
  <c r="F27" i="10" s="1"/>
  <c r="G62" i="17"/>
  <c r="G64" i="17"/>
  <c r="G27" i="10"/>
  <c r="H62" i="17"/>
  <c r="I62" i="17"/>
  <c r="I64" i="17" s="1"/>
  <c r="I27" i="10" s="1"/>
  <c r="L62" i="17"/>
  <c r="L64" i="17"/>
  <c r="L27" i="10" s="1"/>
  <c r="M62" i="17"/>
  <c r="M64" i="17" s="1"/>
  <c r="M27" i="10" s="1"/>
  <c r="J63" i="17"/>
  <c r="K63" i="17" s="1"/>
  <c r="A64" i="17"/>
  <c r="H64" i="17"/>
  <c r="J71" i="17"/>
  <c r="K71" i="17"/>
  <c r="J72" i="17"/>
  <c r="K72" i="17" s="1"/>
  <c r="A73" i="17"/>
  <c r="J76" i="17"/>
  <c r="K76" i="17"/>
  <c r="J77" i="17"/>
  <c r="K77" i="17"/>
  <c r="J78" i="17"/>
  <c r="K78" i="17"/>
  <c r="J79" i="17"/>
  <c r="K79" i="17"/>
  <c r="A80" i="17"/>
  <c r="C80" i="17"/>
  <c r="D80" i="17"/>
  <c r="E80" i="17"/>
  <c r="E30" i="10"/>
  <c r="E70" i="15"/>
  <c r="F80" i="17"/>
  <c r="F30" i="10"/>
  <c r="G80" i="17"/>
  <c r="G30" i="10"/>
  <c r="H80" i="17"/>
  <c r="H30" i="10"/>
  <c r="I80" i="17"/>
  <c r="I30" i="10"/>
  <c r="I70" i="15" s="1"/>
  <c r="L80" i="17"/>
  <c r="M80" i="17"/>
  <c r="M30" i="10" s="1"/>
  <c r="J83" i="17"/>
  <c r="J84" i="17"/>
  <c r="K84" i="17" s="1"/>
  <c r="C85" i="17"/>
  <c r="C32" i="10"/>
  <c r="B17" i="7" s="1"/>
  <c r="D85" i="17"/>
  <c r="E85" i="17"/>
  <c r="F85" i="17"/>
  <c r="G85" i="17"/>
  <c r="G32" i="10"/>
  <c r="F17" i="7"/>
  <c r="H85" i="17"/>
  <c r="H32" i="10" s="1"/>
  <c r="G17" i="7" s="1"/>
  <c r="I85" i="17"/>
  <c r="I32" i="10"/>
  <c r="H17" i="7" s="1"/>
  <c r="I17" i="7" s="1"/>
  <c r="L85" i="17"/>
  <c r="L32" i="10"/>
  <c r="M85" i="17"/>
  <c r="J116" i="17"/>
  <c r="J117" i="17"/>
  <c r="K117" i="17"/>
  <c r="C124" i="17"/>
  <c r="C34" i="10" s="1"/>
  <c r="D124" i="17"/>
  <c r="D34" i="10"/>
  <c r="G124" i="17"/>
  <c r="G34" i="10"/>
  <c r="M124" i="17"/>
  <c r="M34" i="10"/>
  <c r="R33" i="30" s="1"/>
  <c r="J120" i="17"/>
  <c r="K120" i="17" s="1"/>
  <c r="J121" i="17"/>
  <c r="K121" i="17"/>
  <c r="J122" i="17"/>
  <c r="K122" i="17" s="1"/>
  <c r="J123" i="17"/>
  <c r="K123" i="17"/>
  <c r="J127" i="17"/>
  <c r="J128" i="17"/>
  <c r="K128" i="17" s="1"/>
  <c r="J129" i="17"/>
  <c r="K129" i="17"/>
  <c r="J130" i="17"/>
  <c r="K130" i="17" s="1"/>
  <c r="J131" i="17"/>
  <c r="K131" i="17"/>
  <c r="D36" i="10"/>
  <c r="E36" i="10"/>
  <c r="G36" i="10"/>
  <c r="H36" i="10"/>
  <c r="A162" i="17"/>
  <c r="A2" i="16"/>
  <c r="B2" i="16"/>
  <c r="C3" i="16"/>
  <c r="D3" i="16"/>
  <c r="E3" i="16"/>
  <c r="F3" i="16"/>
  <c r="G3" i="16"/>
  <c r="H3" i="16"/>
  <c r="I3" i="16"/>
  <c r="J3" i="16"/>
  <c r="K3" i="16"/>
  <c r="L3" i="16"/>
  <c r="M3" i="16"/>
  <c r="J8" i="16"/>
  <c r="K8" i="16" s="1"/>
  <c r="J9" i="16"/>
  <c r="K9" i="16"/>
  <c r="J10" i="16"/>
  <c r="K10" i="16" s="1"/>
  <c r="J11" i="16"/>
  <c r="K11" i="16"/>
  <c r="C12" i="16"/>
  <c r="D12" i="16"/>
  <c r="E12" i="16"/>
  <c r="F12" i="16"/>
  <c r="G12" i="16"/>
  <c r="H12" i="16"/>
  <c r="H17" i="16" s="1"/>
  <c r="I12" i="16"/>
  <c r="I17" i="16" s="1"/>
  <c r="L12" i="16"/>
  <c r="M12" i="16"/>
  <c r="J13" i="16"/>
  <c r="K13" i="16"/>
  <c r="J14" i="16"/>
  <c r="K14" i="16"/>
  <c r="J15" i="16"/>
  <c r="K15" i="16"/>
  <c r="K16" i="16" s="1"/>
  <c r="C16" i="16"/>
  <c r="D16" i="16"/>
  <c r="D17" i="16"/>
  <c r="E16" i="16"/>
  <c r="F16" i="16"/>
  <c r="G16" i="16"/>
  <c r="G17" i="16" s="1"/>
  <c r="H16" i="16"/>
  <c r="I16" i="16"/>
  <c r="J16" i="16"/>
  <c r="L16" i="16"/>
  <c r="K64" i="7" s="1"/>
  <c r="M16" i="16"/>
  <c r="M17" i="16" s="1"/>
  <c r="E17" i="16"/>
  <c r="J19" i="16"/>
  <c r="K19" i="16" s="1"/>
  <c r="J20" i="16"/>
  <c r="K20" i="16"/>
  <c r="J21" i="16"/>
  <c r="K21" i="16" s="1"/>
  <c r="J22" i="16"/>
  <c r="K22" i="16"/>
  <c r="J23" i="16"/>
  <c r="K23" i="16" s="1"/>
  <c r="A24" i="16"/>
  <c r="C24" i="16"/>
  <c r="D24" i="16"/>
  <c r="E24" i="16"/>
  <c r="F24" i="16"/>
  <c r="G24" i="16"/>
  <c r="H24" i="16"/>
  <c r="I24" i="16"/>
  <c r="I29" i="16" s="1"/>
  <c r="L24" i="16"/>
  <c r="L29" i="16" s="1"/>
  <c r="M24" i="16"/>
  <c r="J25" i="16"/>
  <c r="K25" i="16"/>
  <c r="J26" i="16"/>
  <c r="K26" i="16"/>
  <c r="J27" i="16"/>
  <c r="K27" i="16"/>
  <c r="A28" i="16"/>
  <c r="C28" i="16"/>
  <c r="B65" i="7" s="1"/>
  <c r="D28" i="16"/>
  <c r="E28" i="16"/>
  <c r="F28" i="16"/>
  <c r="G28" i="16"/>
  <c r="G29" i="16" s="1"/>
  <c r="H28" i="16"/>
  <c r="I28" i="16"/>
  <c r="J28" i="16"/>
  <c r="K28" i="16"/>
  <c r="L28" i="16"/>
  <c r="M28" i="16"/>
  <c r="A29" i="16"/>
  <c r="B29" i="16"/>
  <c r="D29" i="16"/>
  <c r="H29" i="16"/>
  <c r="J31" i="16"/>
  <c r="K31" i="16"/>
  <c r="J32" i="16"/>
  <c r="K32" i="16"/>
  <c r="A33" i="16"/>
  <c r="C33" i="16"/>
  <c r="D33" i="16"/>
  <c r="E33" i="16"/>
  <c r="F33" i="16"/>
  <c r="G33" i="16"/>
  <c r="G38" i="16" s="1"/>
  <c r="H33" i="16"/>
  <c r="H38" i="16"/>
  <c r="I33" i="16"/>
  <c r="J33" i="16"/>
  <c r="L33" i="16"/>
  <c r="M33" i="16"/>
  <c r="J34" i="16"/>
  <c r="K34" i="16"/>
  <c r="K37" i="16" s="1"/>
  <c r="J35" i="16"/>
  <c r="K35" i="16"/>
  <c r="J36" i="16"/>
  <c r="K36" i="16"/>
  <c r="A37" i="16"/>
  <c r="C37" i="16"/>
  <c r="B66" i="7" s="1"/>
  <c r="J66" i="7" s="1"/>
  <c r="D37" i="16"/>
  <c r="E37" i="16"/>
  <c r="E38" i="16" s="1"/>
  <c r="F37" i="16"/>
  <c r="F38" i="16" s="1"/>
  <c r="G37" i="16"/>
  <c r="H37" i="16"/>
  <c r="I37" i="16"/>
  <c r="J37" i="16"/>
  <c r="L37" i="16"/>
  <c r="L38" i="16" s="1"/>
  <c r="M37" i="16"/>
  <c r="L66" i="7" s="1"/>
  <c r="A38" i="16"/>
  <c r="B38" i="16"/>
  <c r="C38" i="16"/>
  <c r="I38" i="16"/>
  <c r="J40" i="16"/>
  <c r="K40" i="16"/>
  <c r="A41" i="16"/>
  <c r="C41" i="16"/>
  <c r="D41" i="16"/>
  <c r="E41" i="16"/>
  <c r="F41" i="16"/>
  <c r="F48" i="16" s="1"/>
  <c r="G41" i="16"/>
  <c r="G48" i="16" s="1"/>
  <c r="H41" i="16"/>
  <c r="I41" i="16"/>
  <c r="I48" i="16"/>
  <c r="L41" i="16"/>
  <c r="L48" i="16" s="1"/>
  <c r="M41" i="16"/>
  <c r="J42" i="16"/>
  <c r="J43" i="16"/>
  <c r="K43" i="16"/>
  <c r="J44" i="16"/>
  <c r="K44" i="16" s="1"/>
  <c r="J45" i="16"/>
  <c r="K45" i="16"/>
  <c r="J46" i="16"/>
  <c r="K46" i="16" s="1"/>
  <c r="A47" i="16"/>
  <c r="C47" i="16"/>
  <c r="C48" i="16" s="1"/>
  <c r="D47" i="16"/>
  <c r="D48" i="16" s="1"/>
  <c r="E47" i="16"/>
  <c r="F47" i="16"/>
  <c r="G47" i="16"/>
  <c r="H47" i="16"/>
  <c r="H48" i="16" s="1"/>
  <c r="I47" i="16"/>
  <c r="L47" i="16"/>
  <c r="M47" i="16"/>
  <c r="M48" i="16" s="1"/>
  <c r="A48" i="16"/>
  <c r="B48" i="16"/>
  <c r="J51" i="16"/>
  <c r="K51" i="16"/>
  <c r="J52" i="16"/>
  <c r="K52" i="16"/>
  <c r="J53" i="16"/>
  <c r="K53" i="16"/>
  <c r="J54" i="16"/>
  <c r="K54" i="16"/>
  <c r="J57" i="16"/>
  <c r="K57" i="16"/>
  <c r="K61" i="16" s="1"/>
  <c r="J61" i="7" s="1"/>
  <c r="J58" i="16"/>
  <c r="K58" i="16"/>
  <c r="J59" i="16"/>
  <c r="K59" i="16"/>
  <c r="J60" i="16"/>
  <c r="K60" i="16"/>
  <c r="C61" i="16"/>
  <c r="D61" i="16"/>
  <c r="E61" i="16"/>
  <c r="F61" i="16"/>
  <c r="G61" i="16"/>
  <c r="H61" i="16"/>
  <c r="I61" i="16"/>
  <c r="L61" i="16"/>
  <c r="K61" i="7" s="1"/>
  <c r="M61" i="16"/>
  <c r="J64" i="16"/>
  <c r="K64" i="16"/>
  <c r="J65" i="16"/>
  <c r="K65" i="16" s="1"/>
  <c r="J66" i="16"/>
  <c r="K66" i="16"/>
  <c r="J67" i="16"/>
  <c r="K67" i="16" s="1"/>
  <c r="J68" i="16"/>
  <c r="K68" i="16"/>
  <c r="J69" i="16"/>
  <c r="K69" i="16" s="1"/>
  <c r="J71" i="16"/>
  <c r="K71" i="16"/>
  <c r="J72" i="16"/>
  <c r="K72" i="16"/>
  <c r="J73" i="16"/>
  <c r="K73" i="16"/>
  <c r="J74" i="16"/>
  <c r="K74" i="16"/>
  <c r="J75" i="16"/>
  <c r="K75" i="16"/>
  <c r="J76" i="16"/>
  <c r="K76" i="16"/>
  <c r="J77" i="16"/>
  <c r="K77" i="16"/>
  <c r="J78" i="16"/>
  <c r="K78" i="16"/>
  <c r="J79" i="16"/>
  <c r="K79" i="16"/>
  <c r="C80" i="16"/>
  <c r="D80" i="16"/>
  <c r="E80" i="16"/>
  <c r="F80" i="16"/>
  <c r="G80" i="16"/>
  <c r="H80" i="16"/>
  <c r="I80" i="16"/>
  <c r="J80" i="16"/>
  <c r="L80" i="16"/>
  <c r="M80" i="16"/>
  <c r="A81" i="16"/>
  <c r="A2" i="15"/>
  <c r="B2" i="15"/>
  <c r="C3" i="15"/>
  <c r="D3" i="15"/>
  <c r="E3" i="15"/>
  <c r="F3" i="15"/>
  <c r="G3" i="15"/>
  <c r="H3" i="15"/>
  <c r="I3" i="15"/>
  <c r="J3" i="15"/>
  <c r="K3" i="15"/>
  <c r="L3" i="15"/>
  <c r="M3" i="15"/>
  <c r="C8" i="15"/>
  <c r="D8" i="15"/>
  <c r="E8" i="15"/>
  <c r="F8" i="15"/>
  <c r="G8" i="15"/>
  <c r="H8" i="15"/>
  <c r="I8" i="15"/>
  <c r="I38" i="15" s="1"/>
  <c r="L8" i="15"/>
  <c r="M8" i="15"/>
  <c r="C9" i="15"/>
  <c r="D9" i="15"/>
  <c r="E9" i="15"/>
  <c r="F9" i="15"/>
  <c r="G9" i="15"/>
  <c r="H9" i="15"/>
  <c r="I9" i="15"/>
  <c r="I39" i="15" s="1"/>
  <c r="L9" i="15"/>
  <c r="C10" i="15"/>
  <c r="D10" i="15"/>
  <c r="E10" i="15"/>
  <c r="F10" i="15"/>
  <c r="G10" i="15"/>
  <c r="H10" i="15"/>
  <c r="H40" i="15" s="1"/>
  <c r="L10" i="15"/>
  <c r="L40" i="15" s="1"/>
  <c r="M10" i="15"/>
  <c r="M40" i="15" s="1"/>
  <c r="C11" i="15"/>
  <c r="D11" i="15"/>
  <c r="E11" i="15"/>
  <c r="F11" i="15"/>
  <c r="G11" i="15"/>
  <c r="G41" i="15"/>
  <c r="H11" i="15"/>
  <c r="M11" i="15"/>
  <c r="D12" i="15"/>
  <c r="E12" i="15"/>
  <c r="F12" i="15"/>
  <c r="F42" i="15"/>
  <c r="G12" i="15"/>
  <c r="I12" i="15"/>
  <c r="L12" i="15"/>
  <c r="G13" i="15"/>
  <c r="C14" i="15"/>
  <c r="D14" i="15"/>
  <c r="E14" i="15"/>
  <c r="F14" i="15"/>
  <c r="G14" i="15"/>
  <c r="G44" i="15" s="1"/>
  <c r="H14" i="15"/>
  <c r="I14" i="15"/>
  <c r="J14" i="15" s="1"/>
  <c r="L14" i="15"/>
  <c r="M14" i="15"/>
  <c r="C15" i="15"/>
  <c r="D15" i="15"/>
  <c r="E15" i="15"/>
  <c r="J15" i="15" s="1"/>
  <c r="F15" i="15"/>
  <c r="G15" i="15"/>
  <c r="G45" i="15" s="1"/>
  <c r="H15" i="15"/>
  <c r="I15" i="15"/>
  <c r="I45" i="15"/>
  <c r="L15" i="15"/>
  <c r="M15" i="15"/>
  <c r="C16" i="15"/>
  <c r="D16" i="15"/>
  <c r="K16" i="15" s="1"/>
  <c r="E16" i="15"/>
  <c r="J16" i="15" s="1"/>
  <c r="F16" i="15"/>
  <c r="F46" i="15"/>
  <c r="G16" i="15"/>
  <c r="H16" i="15"/>
  <c r="I16" i="15"/>
  <c r="L16" i="15"/>
  <c r="M16" i="15"/>
  <c r="C17" i="15"/>
  <c r="E17" i="15"/>
  <c r="G47" i="15"/>
  <c r="H17" i="15"/>
  <c r="I17" i="15"/>
  <c r="M17" i="15"/>
  <c r="C18" i="15"/>
  <c r="D18" i="15"/>
  <c r="E18" i="15"/>
  <c r="F18" i="15"/>
  <c r="F48" i="15"/>
  <c r="G18" i="15"/>
  <c r="H18" i="15"/>
  <c r="I18" i="15"/>
  <c r="I48" i="15" s="1"/>
  <c r="J48" i="15" s="1"/>
  <c r="L18" i="15"/>
  <c r="M18" i="15"/>
  <c r="C19" i="15"/>
  <c r="C49" i="15" s="1"/>
  <c r="D19" i="15"/>
  <c r="E19" i="15"/>
  <c r="F19" i="15"/>
  <c r="G19" i="15"/>
  <c r="G49" i="15" s="1"/>
  <c r="H19" i="15"/>
  <c r="I49" i="15"/>
  <c r="L19" i="15"/>
  <c r="L49" i="15" s="1"/>
  <c r="M19" i="15"/>
  <c r="C20" i="15"/>
  <c r="D20" i="15"/>
  <c r="E20" i="15"/>
  <c r="J20" i="15" s="1"/>
  <c r="F20" i="15"/>
  <c r="F50" i="15" s="1"/>
  <c r="G20" i="15"/>
  <c r="H20" i="15"/>
  <c r="H50" i="15"/>
  <c r="I20" i="15"/>
  <c r="L20" i="15"/>
  <c r="M20" i="15"/>
  <c r="M50" i="15" s="1"/>
  <c r="C23" i="15"/>
  <c r="D23" i="15"/>
  <c r="E23" i="15"/>
  <c r="F23" i="15"/>
  <c r="G23" i="15"/>
  <c r="H23" i="15"/>
  <c r="I23" i="15"/>
  <c r="M23" i="15"/>
  <c r="C24" i="15"/>
  <c r="D24" i="15"/>
  <c r="E24" i="15"/>
  <c r="F24" i="15"/>
  <c r="G24" i="15"/>
  <c r="G39" i="15" s="1"/>
  <c r="H24" i="15"/>
  <c r="I24" i="15"/>
  <c r="L24" i="15"/>
  <c r="L39" i="15" s="1"/>
  <c r="M24" i="15"/>
  <c r="C25" i="15"/>
  <c r="D25" i="15"/>
  <c r="E25" i="15"/>
  <c r="F25" i="15"/>
  <c r="F40" i="15" s="1"/>
  <c r="G25" i="15"/>
  <c r="H25" i="15"/>
  <c r="I25" i="15"/>
  <c r="L25" i="15"/>
  <c r="M25" i="15"/>
  <c r="C26" i="15"/>
  <c r="C28" i="15" s="1"/>
  <c r="D26" i="15"/>
  <c r="E26" i="15"/>
  <c r="F26" i="15"/>
  <c r="G26" i="15"/>
  <c r="I26" i="15"/>
  <c r="L26" i="15"/>
  <c r="C27" i="15"/>
  <c r="D27" i="15"/>
  <c r="E27" i="15"/>
  <c r="F27" i="15"/>
  <c r="G27" i="15"/>
  <c r="H27" i="15"/>
  <c r="I27" i="15"/>
  <c r="J27" i="15"/>
  <c r="L27" i="15"/>
  <c r="L42" i="15" s="1"/>
  <c r="M27" i="15"/>
  <c r="C29" i="15"/>
  <c r="D29" i="15"/>
  <c r="E29" i="15"/>
  <c r="F29" i="15"/>
  <c r="F44" i="15" s="1"/>
  <c r="G29" i="15"/>
  <c r="H29" i="15"/>
  <c r="H44" i="15" s="1"/>
  <c r="I29" i="15"/>
  <c r="J29" i="15"/>
  <c r="M29" i="15"/>
  <c r="M44" i="15" s="1"/>
  <c r="C30" i="15"/>
  <c r="D30" i="15"/>
  <c r="E30" i="15"/>
  <c r="F30" i="15"/>
  <c r="G30" i="15"/>
  <c r="H30" i="15"/>
  <c r="I30" i="15"/>
  <c r="L30" i="15"/>
  <c r="M30" i="15"/>
  <c r="M45" i="15" s="1"/>
  <c r="C31" i="15"/>
  <c r="D31" i="15"/>
  <c r="E31" i="15"/>
  <c r="F31" i="15"/>
  <c r="G31" i="15"/>
  <c r="H31" i="15"/>
  <c r="H46" i="15" s="1"/>
  <c r="I31" i="15"/>
  <c r="L31" i="15"/>
  <c r="L46" i="15" s="1"/>
  <c r="M31" i="15"/>
  <c r="C32" i="15"/>
  <c r="C47" i="15" s="1"/>
  <c r="F32" i="15"/>
  <c r="G32" i="15"/>
  <c r="H32" i="15"/>
  <c r="I32" i="15"/>
  <c r="L32" i="15"/>
  <c r="M32" i="15"/>
  <c r="D33" i="15"/>
  <c r="E33" i="15"/>
  <c r="F33" i="15"/>
  <c r="G33" i="15"/>
  <c r="H33" i="15"/>
  <c r="H48" i="15" s="1"/>
  <c r="I33" i="15"/>
  <c r="L33" i="15"/>
  <c r="L48" i="15" s="1"/>
  <c r="M33" i="15"/>
  <c r="C34" i="15"/>
  <c r="D34" i="15"/>
  <c r="E34" i="15"/>
  <c r="F34" i="15"/>
  <c r="G34" i="15"/>
  <c r="H34" i="15"/>
  <c r="I34" i="15"/>
  <c r="L34" i="15"/>
  <c r="M34" i="15"/>
  <c r="M49" i="15" s="1"/>
  <c r="C35" i="15"/>
  <c r="D35" i="15"/>
  <c r="E35" i="15"/>
  <c r="F35" i="15"/>
  <c r="G35" i="15"/>
  <c r="H35" i="15"/>
  <c r="I35" i="15"/>
  <c r="L35" i="15"/>
  <c r="L50" i="15" s="1"/>
  <c r="M35" i="15"/>
  <c r="C38" i="15"/>
  <c r="M38" i="15"/>
  <c r="H39" i="15"/>
  <c r="C40" i="15"/>
  <c r="D41" i="15"/>
  <c r="F41" i="15"/>
  <c r="E42" i="15"/>
  <c r="G42" i="15"/>
  <c r="I42" i="15"/>
  <c r="E44" i="15"/>
  <c r="H45" i="15"/>
  <c r="L45" i="15"/>
  <c r="C46" i="15"/>
  <c r="E46" i="15"/>
  <c r="G46" i="15"/>
  <c r="I46" i="15"/>
  <c r="H47" i="15"/>
  <c r="E48" i="15"/>
  <c r="G48" i="15"/>
  <c r="D49" i="15"/>
  <c r="F49" i="15"/>
  <c r="H49" i="15"/>
  <c r="C50" i="15"/>
  <c r="E50" i="15"/>
  <c r="I50" i="15"/>
  <c r="J54" i="15"/>
  <c r="K54" i="15" s="1"/>
  <c r="J55" i="15"/>
  <c r="K55" i="15" s="1"/>
  <c r="J56" i="15"/>
  <c r="K56" i="15" s="1"/>
  <c r="J57" i="15"/>
  <c r="K57" i="15" s="1"/>
  <c r="J58" i="15"/>
  <c r="K58" i="15" s="1"/>
  <c r="C59" i="15"/>
  <c r="C67" i="15" s="1"/>
  <c r="D59" i="15"/>
  <c r="E59" i="15"/>
  <c r="E67" i="15" s="1"/>
  <c r="D55" i="7" s="1"/>
  <c r="F59" i="15"/>
  <c r="F67" i="15"/>
  <c r="E55" i="7" s="1"/>
  <c r="G59" i="15"/>
  <c r="H59" i="15"/>
  <c r="I59" i="15"/>
  <c r="J61" i="15" s="1"/>
  <c r="K61" i="15" s="1"/>
  <c r="L59" i="15"/>
  <c r="M59" i="15"/>
  <c r="J60" i="15"/>
  <c r="K60" i="15"/>
  <c r="J63" i="15"/>
  <c r="K63" i="15"/>
  <c r="C72" i="15"/>
  <c r="D72" i="15"/>
  <c r="E72" i="15"/>
  <c r="F72" i="15"/>
  <c r="G72" i="15"/>
  <c r="H72" i="15"/>
  <c r="I72" i="15"/>
  <c r="L72" i="15"/>
  <c r="C73" i="15"/>
  <c r="D73" i="15"/>
  <c r="E73" i="15"/>
  <c r="F73" i="15"/>
  <c r="F77" i="15" s="1"/>
  <c r="G73" i="15"/>
  <c r="H73" i="15"/>
  <c r="I73" i="15"/>
  <c r="M73" i="15"/>
  <c r="C74" i="15"/>
  <c r="D74" i="15"/>
  <c r="E74" i="15"/>
  <c r="F74" i="15"/>
  <c r="G74" i="15"/>
  <c r="H74" i="15"/>
  <c r="H77" i="15" s="1"/>
  <c r="H71" i="15" s="1"/>
  <c r="I74" i="15"/>
  <c r="L74" i="15"/>
  <c r="M74" i="15"/>
  <c r="D75" i="15"/>
  <c r="E75" i="15"/>
  <c r="F75" i="15"/>
  <c r="G75" i="15"/>
  <c r="H75" i="15"/>
  <c r="L75" i="15"/>
  <c r="M75" i="15"/>
  <c r="C76" i="15"/>
  <c r="D76" i="15"/>
  <c r="K76" i="15" s="1"/>
  <c r="E76" i="15"/>
  <c r="F76" i="15"/>
  <c r="G76" i="15"/>
  <c r="J76" i="15" s="1"/>
  <c r="H76" i="15"/>
  <c r="I76" i="15"/>
  <c r="L76" i="15"/>
  <c r="M76" i="15"/>
  <c r="C78" i="15"/>
  <c r="D78" i="15"/>
  <c r="E78" i="15"/>
  <c r="F78" i="15"/>
  <c r="F71" i="15" s="1"/>
  <c r="G78" i="15"/>
  <c r="H78" i="15"/>
  <c r="I78" i="15"/>
  <c r="J78" i="15" s="1"/>
  <c r="L78" i="15"/>
  <c r="M78" i="15"/>
  <c r="C79" i="15"/>
  <c r="D79" i="15"/>
  <c r="K79" i="15" s="1"/>
  <c r="E79" i="15"/>
  <c r="J79" i="15" s="1"/>
  <c r="F79" i="15"/>
  <c r="G79" i="15"/>
  <c r="H79" i="15"/>
  <c r="I79" i="15"/>
  <c r="L79" i="15"/>
  <c r="M79" i="15"/>
  <c r="C80" i="15"/>
  <c r="D80" i="15"/>
  <c r="E80" i="15"/>
  <c r="F80" i="15"/>
  <c r="G80" i="15"/>
  <c r="H80" i="15"/>
  <c r="I80" i="15"/>
  <c r="L80" i="15"/>
  <c r="M80" i="15"/>
  <c r="C81" i="15"/>
  <c r="F81" i="15"/>
  <c r="G81" i="15"/>
  <c r="H81" i="15"/>
  <c r="I81" i="15"/>
  <c r="L81" i="15"/>
  <c r="M81" i="15"/>
  <c r="A89" i="15"/>
  <c r="A2" i="14"/>
  <c r="B2" i="14"/>
  <c r="C3" i="14"/>
  <c r="D3" i="14"/>
  <c r="E3" i="14"/>
  <c r="F3" i="14"/>
  <c r="G3" i="14"/>
  <c r="H3" i="14"/>
  <c r="I3" i="14"/>
  <c r="J3" i="14"/>
  <c r="K3" i="14"/>
  <c r="L3" i="14"/>
  <c r="M3" i="14"/>
  <c r="C9" i="14"/>
  <c r="D9" i="14"/>
  <c r="E9" i="14"/>
  <c r="F9" i="14"/>
  <c r="G9" i="14"/>
  <c r="H9" i="14"/>
  <c r="I9" i="14"/>
  <c r="L9" i="14"/>
  <c r="M9" i="14"/>
  <c r="C13" i="14"/>
  <c r="D13" i="14"/>
  <c r="E13" i="14"/>
  <c r="F13" i="14"/>
  <c r="G13" i="14"/>
  <c r="G20" i="14" s="1"/>
  <c r="H13" i="14"/>
  <c r="L13" i="14"/>
  <c r="M13" i="14"/>
  <c r="J14" i="14"/>
  <c r="K14" i="14"/>
  <c r="J15" i="14"/>
  <c r="K15" i="14" s="1"/>
  <c r="J17" i="14"/>
  <c r="K17" i="14" s="1"/>
  <c r="D18" i="14"/>
  <c r="H20" i="14"/>
  <c r="A22" i="14"/>
  <c r="A37" i="14"/>
  <c r="D39" i="14"/>
  <c r="L39" i="14"/>
  <c r="M39" i="14"/>
  <c r="A46" i="14"/>
  <c r="C50" i="14"/>
  <c r="C18" i="14" s="1"/>
  <c r="D50" i="14"/>
  <c r="K50" i="14"/>
  <c r="K18" i="14"/>
  <c r="L50" i="14"/>
  <c r="L18" i="14" s="1"/>
  <c r="M50" i="14"/>
  <c r="M18" i="14"/>
  <c r="A52" i="14"/>
  <c r="A53" i="14"/>
  <c r="D53" i="14"/>
  <c r="D57" i="14"/>
  <c r="D19" i="14" s="1"/>
  <c r="L53" i="14"/>
  <c r="M53" i="14"/>
  <c r="A54" i="14"/>
  <c r="C54" i="14"/>
  <c r="D54" i="14"/>
  <c r="L54" i="14"/>
  <c r="M54" i="14"/>
  <c r="A55" i="14"/>
  <c r="C55" i="14"/>
  <c r="D55" i="14"/>
  <c r="K55" i="14"/>
  <c r="L55" i="14"/>
  <c r="M55" i="14"/>
  <c r="A56" i="14"/>
  <c r="C56" i="14"/>
  <c r="D56" i="14"/>
  <c r="L56" i="14"/>
  <c r="M56" i="14"/>
  <c r="A2" i="13"/>
  <c r="B2" i="13"/>
  <c r="C3" i="13"/>
  <c r="D3" i="13"/>
  <c r="E3" i="13"/>
  <c r="F3" i="13"/>
  <c r="G3" i="13"/>
  <c r="H3" i="13"/>
  <c r="I3" i="13"/>
  <c r="J3" i="13"/>
  <c r="K3" i="13"/>
  <c r="L3" i="13"/>
  <c r="M3" i="13"/>
  <c r="J8" i="13"/>
  <c r="K8" i="13" s="1"/>
  <c r="J16" i="13"/>
  <c r="K16" i="13" s="1"/>
  <c r="J17" i="13"/>
  <c r="K17" i="13" s="1"/>
  <c r="J18" i="13"/>
  <c r="K18" i="13" s="1"/>
  <c r="C19" i="13"/>
  <c r="D19" i="13"/>
  <c r="D40" i="13" s="1"/>
  <c r="D42" i="13" s="1"/>
  <c r="E19" i="13"/>
  <c r="D44" i="7" s="1"/>
  <c r="F19" i="13"/>
  <c r="F40" i="13" s="1"/>
  <c r="F42" i="13" s="1"/>
  <c r="G19" i="13"/>
  <c r="H19" i="13"/>
  <c r="I19" i="13"/>
  <c r="H44" i="7" s="1"/>
  <c r="L19" i="13"/>
  <c r="M19" i="13"/>
  <c r="J23" i="13"/>
  <c r="K23" i="13"/>
  <c r="J24" i="13"/>
  <c r="K24" i="13" s="1"/>
  <c r="J25" i="13"/>
  <c r="K25" i="13"/>
  <c r="J26" i="13"/>
  <c r="K26" i="13" s="1"/>
  <c r="J28" i="13"/>
  <c r="K28" i="13" s="1"/>
  <c r="C29" i="13"/>
  <c r="D29" i="13"/>
  <c r="E29" i="13"/>
  <c r="F29" i="13"/>
  <c r="G29" i="13"/>
  <c r="H29" i="13"/>
  <c r="I29" i="13"/>
  <c r="L29" i="13"/>
  <c r="K45" i="7" s="1"/>
  <c r="M29" i="13"/>
  <c r="L45" i="7" s="1"/>
  <c r="J33" i="13"/>
  <c r="K33" i="13"/>
  <c r="J34" i="13"/>
  <c r="K34" i="13" s="1"/>
  <c r="J35" i="13"/>
  <c r="K35" i="13"/>
  <c r="J37" i="13"/>
  <c r="K37" i="13" s="1"/>
  <c r="C38" i="13"/>
  <c r="D38" i="13"/>
  <c r="E38" i="13"/>
  <c r="F38" i="13"/>
  <c r="G38" i="13"/>
  <c r="H38" i="13"/>
  <c r="I38" i="13"/>
  <c r="L38" i="13"/>
  <c r="M38" i="13"/>
  <c r="F7" i="14"/>
  <c r="J41" i="13"/>
  <c r="K41" i="13" s="1"/>
  <c r="A43" i="13"/>
  <c r="A2" i="12"/>
  <c r="B2" i="12"/>
  <c r="C3" i="12"/>
  <c r="D3" i="12"/>
  <c r="E3" i="12"/>
  <c r="F3" i="12"/>
  <c r="G3" i="12"/>
  <c r="H3" i="12"/>
  <c r="I3" i="12"/>
  <c r="J3" i="12"/>
  <c r="K3" i="12"/>
  <c r="L3" i="12"/>
  <c r="M3" i="12"/>
  <c r="J8" i="12"/>
  <c r="K8" i="12"/>
  <c r="D9" i="12"/>
  <c r="E9" i="12"/>
  <c r="F9" i="12"/>
  <c r="F14" i="12" s="1"/>
  <c r="F27" i="12" s="1"/>
  <c r="F8" i="14"/>
  <c r="G9" i="12"/>
  <c r="G14" i="12" s="1"/>
  <c r="H9" i="12"/>
  <c r="L9" i="12"/>
  <c r="M9" i="12"/>
  <c r="D10" i="12"/>
  <c r="F10" i="12"/>
  <c r="H10" i="12"/>
  <c r="J11" i="12"/>
  <c r="K11" i="12"/>
  <c r="J12" i="12"/>
  <c r="K12" i="12" s="1"/>
  <c r="J13" i="12"/>
  <c r="K13" i="12"/>
  <c r="J17" i="12"/>
  <c r="K17" i="12" s="1"/>
  <c r="J18" i="12"/>
  <c r="K18" i="12"/>
  <c r="J19" i="12"/>
  <c r="K19" i="12" s="1"/>
  <c r="J20" i="12"/>
  <c r="K20" i="12"/>
  <c r="C21" i="12"/>
  <c r="C26" i="12" s="1"/>
  <c r="B38" i="7" s="1"/>
  <c r="D21" i="12"/>
  <c r="E21" i="12"/>
  <c r="E106" i="15"/>
  <c r="F21" i="12"/>
  <c r="F26" i="12" s="1"/>
  <c r="E38" i="7" s="1"/>
  <c r="G21" i="12"/>
  <c r="H21" i="12"/>
  <c r="L21" i="12"/>
  <c r="M21" i="12"/>
  <c r="J22" i="12"/>
  <c r="K22" i="12"/>
  <c r="J23" i="12"/>
  <c r="K23" i="12" s="1"/>
  <c r="J24" i="12"/>
  <c r="K24" i="12"/>
  <c r="J25" i="12"/>
  <c r="K25" i="12" s="1"/>
  <c r="E26" i="12"/>
  <c r="G26" i="12"/>
  <c r="M26" i="12"/>
  <c r="L38" i="7" s="1"/>
  <c r="J31" i="12"/>
  <c r="K31" i="12"/>
  <c r="E32" i="12"/>
  <c r="F32" i="12"/>
  <c r="G32" i="12"/>
  <c r="H32" i="12"/>
  <c r="I32" i="12"/>
  <c r="M32" i="12"/>
  <c r="J33" i="12"/>
  <c r="K33" i="12"/>
  <c r="C34" i="12"/>
  <c r="D34" i="12"/>
  <c r="E34" i="12"/>
  <c r="F34" i="12"/>
  <c r="H34" i="12"/>
  <c r="M34" i="12"/>
  <c r="J35" i="12"/>
  <c r="K35" i="12" s="1"/>
  <c r="C39" i="12"/>
  <c r="D39" i="12"/>
  <c r="G11" i="20"/>
  <c r="E39" i="12"/>
  <c r="F39" i="12"/>
  <c r="F41" i="12" s="1"/>
  <c r="G39" i="12"/>
  <c r="L39" i="12"/>
  <c r="M39" i="12"/>
  <c r="C40" i="12"/>
  <c r="C41" i="12" s="1"/>
  <c r="B40" i="7" s="1"/>
  <c r="D40" i="12"/>
  <c r="E40" i="12"/>
  <c r="G40" i="12"/>
  <c r="H40" i="12"/>
  <c r="I40" i="12"/>
  <c r="L40" i="12"/>
  <c r="M40" i="12"/>
  <c r="D47" i="12"/>
  <c r="D50" i="12" s="1"/>
  <c r="C41" i="7" s="1"/>
  <c r="E47" i="12"/>
  <c r="F47" i="12"/>
  <c r="G47" i="12"/>
  <c r="M47" i="12"/>
  <c r="C48" i="12"/>
  <c r="D48" i="12"/>
  <c r="E48" i="12"/>
  <c r="F48" i="12"/>
  <c r="G48" i="12"/>
  <c r="H48" i="12"/>
  <c r="M48" i="12"/>
  <c r="A51" i="12"/>
  <c r="A2" i="48"/>
  <c r="B2" i="48"/>
  <c r="C3" i="48"/>
  <c r="D3" i="48"/>
  <c r="E3" i="48"/>
  <c r="F3" i="48"/>
  <c r="G3" i="48"/>
  <c r="H3" i="48"/>
  <c r="I3" i="48"/>
  <c r="J3" i="48"/>
  <c r="K3" i="48"/>
  <c r="L3" i="48"/>
  <c r="M3" i="48"/>
  <c r="C8" i="48"/>
  <c r="D8" i="48"/>
  <c r="E8" i="48"/>
  <c r="J8" i="48"/>
  <c r="K8" i="48" s="1"/>
  <c r="F8" i="48"/>
  <c r="G8" i="48"/>
  <c r="H8" i="48"/>
  <c r="I8" i="48"/>
  <c r="L8" i="48"/>
  <c r="M8" i="48"/>
  <c r="A9" i="48"/>
  <c r="J9" i="48"/>
  <c r="K9" i="48" s="1"/>
  <c r="A10" i="48"/>
  <c r="A179" i="48" s="1"/>
  <c r="J10" i="48"/>
  <c r="K10" i="48" s="1"/>
  <c r="A11" i="48"/>
  <c r="J11" i="48"/>
  <c r="K11" i="48" s="1"/>
  <c r="A12" i="48"/>
  <c r="A181" i="48"/>
  <c r="J12" i="48"/>
  <c r="K12" i="48" s="1"/>
  <c r="A13" i="48"/>
  <c r="J13" i="48"/>
  <c r="K13" i="48"/>
  <c r="A14" i="48"/>
  <c r="A183" i="48" s="1"/>
  <c r="J14" i="48"/>
  <c r="K14" i="48"/>
  <c r="A15" i="48"/>
  <c r="J15" i="48"/>
  <c r="K15" i="48"/>
  <c r="A16" i="48"/>
  <c r="A185" i="48" s="1"/>
  <c r="J16" i="48"/>
  <c r="K16" i="48"/>
  <c r="A17" i="48"/>
  <c r="A186" i="48" s="1"/>
  <c r="J17" i="48"/>
  <c r="K17" i="48" s="1"/>
  <c r="A18" i="48"/>
  <c r="A187" i="48"/>
  <c r="J18" i="48"/>
  <c r="K18" i="48" s="1"/>
  <c r="C19" i="48"/>
  <c r="D19" i="48"/>
  <c r="E19" i="48"/>
  <c r="F19" i="48"/>
  <c r="G19" i="48"/>
  <c r="H19" i="48"/>
  <c r="I19" i="48"/>
  <c r="L19" i="48"/>
  <c r="M19" i="48"/>
  <c r="A20" i="48"/>
  <c r="J20" i="48"/>
  <c r="K20" i="48"/>
  <c r="A21" i="48"/>
  <c r="A190" i="48" s="1"/>
  <c r="J21" i="48"/>
  <c r="K21" i="48"/>
  <c r="A22" i="48"/>
  <c r="J22" i="48"/>
  <c r="K22" i="48"/>
  <c r="A23" i="48"/>
  <c r="A192" i="48" s="1"/>
  <c r="J23" i="48"/>
  <c r="K23" i="48"/>
  <c r="A24" i="48"/>
  <c r="J24" i="48"/>
  <c r="K24" i="48" s="1"/>
  <c r="A25" i="48"/>
  <c r="A194" i="48"/>
  <c r="J25" i="48"/>
  <c r="K25" i="48" s="1"/>
  <c r="A26" i="48"/>
  <c r="J26" i="48"/>
  <c r="K26" i="48" s="1"/>
  <c r="A27" i="48"/>
  <c r="A196" i="48"/>
  <c r="J27" i="48"/>
  <c r="K27" i="48" s="1"/>
  <c r="A28" i="48"/>
  <c r="J28" i="48"/>
  <c r="K28" i="48"/>
  <c r="A29" i="48"/>
  <c r="A198" i="48" s="1"/>
  <c r="J29" i="48"/>
  <c r="K29" i="48"/>
  <c r="C30" i="48"/>
  <c r="D30" i="48"/>
  <c r="E30" i="48"/>
  <c r="J30" i="48"/>
  <c r="K30" i="48" s="1"/>
  <c r="F30" i="48"/>
  <c r="G30" i="48"/>
  <c r="H30" i="48"/>
  <c r="I30" i="48"/>
  <c r="L30" i="48"/>
  <c r="M30" i="48"/>
  <c r="A31" i="48"/>
  <c r="A200" i="48" s="1"/>
  <c r="J31" i="48"/>
  <c r="K31" i="48" s="1"/>
  <c r="A32" i="48"/>
  <c r="A201" i="48" s="1"/>
  <c r="J32" i="48"/>
  <c r="K32" i="48" s="1"/>
  <c r="A33" i="48"/>
  <c r="A202" i="48" s="1"/>
  <c r="J33" i="48"/>
  <c r="K33" i="48" s="1"/>
  <c r="A34" i="48"/>
  <c r="A203" i="48" s="1"/>
  <c r="J34" i="48"/>
  <c r="K34" i="48" s="1"/>
  <c r="A35" i="48"/>
  <c r="J35" i="48"/>
  <c r="K35" i="48"/>
  <c r="A36" i="48"/>
  <c r="A205" i="48" s="1"/>
  <c r="J36" i="48"/>
  <c r="K36" i="48"/>
  <c r="A37" i="48"/>
  <c r="J37" i="48"/>
  <c r="K37" i="48"/>
  <c r="A38" i="48"/>
  <c r="A207" i="48" s="1"/>
  <c r="J38" i="48"/>
  <c r="K38" i="48"/>
  <c r="A39" i="48"/>
  <c r="A208" i="48" s="1"/>
  <c r="J39" i="48"/>
  <c r="K39" i="48" s="1"/>
  <c r="A40" i="48"/>
  <c r="A209" i="48"/>
  <c r="J40" i="48"/>
  <c r="K40" i="48" s="1"/>
  <c r="C41" i="48"/>
  <c r="D41" i="48"/>
  <c r="E41" i="48"/>
  <c r="J41" i="48" s="1"/>
  <c r="F41" i="48"/>
  <c r="G41" i="48"/>
  <c r="H41" i="48"/>
  <c r="I41" i="48"/>
  <c r="L41" i="48"/>
  <c r="M41" i="48"/>
  <c r="A42" i="48"/>
  <c r="J42" i="48"/>
  <c r="K42" i="48"/>
  <c r="A43" i="48"/>
  <c r="A212" i="48" s="1"/>
  <c r="J43" i="48"/>
  <c r="K43" i="48"/>
  <c r="A44" i="48"/>
  <c r="A213" i="48" s="1"/>
  <c r="J44" i="48"/>
  <c r="K44" i="48"/>
  <c r="A45" i="48"/>
  <c r="A214" i="48" s="1"/>
  <c r="J45" i="48"/>
  <c r="K45" i="48"/>
  <c r="A46" i="48"/>
  <c r="J46" i="48"/>
  <c r="K46" i="48" s="1"/>
  <c r="A47" i="48"/>
  <c r="A216" i="48" s="1"/>
  <c r="J47" i="48"/>
  <c r="K47" i="48" s="1"/>
  <c r="A48" i="48"/>
  <c r="A217" i="48" s="1"/>
  <c r="J48" i="48"/>
  <c r="K48" i="48" s="1"/>
  <c r="A49" i="48"/>
  <c r="A218" i="48" s="1"/>
  <c r="J49" i="48"/>
  <c r="K49" i="48" s="1"/>
  <c r="A50" i="48"/>
  <c r="J50" i="48"/>
  <c r="K50" i="48"/>
  <c r="A51" i="48"/>
  <c r="A220" i="48" s="1"/>
  <c r="J51" i="48"/>
  <c r="K51" i="48"/>
  <c r="C52" i="48"/>
  <c r="D52" i="48"/>
  <c r="E52" i="48"/>
  <c r="J52" i="48"/>
  <c r="K52" i="48" s="1"/>
  <c r="F52" i="48"/>
  <c r="G52" i="48"/>
  <c r="H52" i="48"/>
  <c r="I52" i="48"/>
  <c r="L52" i="48"/>
  <c r="M52" i="48"/>
  <c r="A53" i="48"/>
  <c r="J53" i="48"/>
  <c r="K53" i="48" s="1"/>
  <c r="A54" i="48"/>
  <c r="A223" i="48" s="1"/>
  <c r="J54" i="48"/>
  <c r="K54" i="48" s="1"/>
  <c r="A55" i="48"/>
  <c r="J55" i="48"/>
  <c r="K55" i="48" s="1"/>
  <c r="A56" i="48"/>
  <c r="A225" i="48" s="1"/>
  <c r="J56" i="48"/>
  <c r="K56" i="48" s="1"/>
  <c r="A57" i="48"/>
  <c r="J57" i="48"/>
  <c r="K57" i="48"/>
  <c r="A58" i="48"/>
  <c r="A227" i="48" s="1"/>
  <c r="J58" i="48"/>
  <c r="K58" i="48"/>
  <c r="A59" i="48"/>
  <c r="J59" i="48"/>
  <c r="K59" i="48"/>
  <c r="A60" i="48"/>
  <c r="A229" i="48" s="1"/>
  <c r="J60" i="48"/>
  <c r="K60" i="48"/>
  <c r="A61" i="48"/>
  <c r="J61" i="48"/>
  <c r="K61" i="48" s="1"/>
  <c r="A62" i="48"/>
  <c r="A231" i="48" s="1"/>
  <c r="J62" i="48"/>
  <c r="K62" i="48" s="1"/>
  <c r="C63" i="48"/>
  <c r="D63" i="48"/>
  <c r="E63" i="48"/>
  <c r="F63" i="48"/>
  <c r="F173" i="48" s="1"/>
  <c r="G63" i="48"/>
  <c r="H63" i="48"/>
  <c r="I63" i="48"/>
  <c r="L63" i="48"/>
  <c r="M63" i="48"/>
  <c r="A64" i="48"/>
  <c r="J64" i="48"/>
  <c r="K64" i="48"/>
  <c r="A65" i="48"/>
  <c r="A234" i="48" s="1"/>
  <c r="J65" i="48"/>
  <c r="K65" i="48"/>
  <c r="A66" i="48"/>
  <c r="J66" i="48"/>
  <c r="K66" i="48"/>
  <c r="A67" i="48"/>
  <c r="A236" i="48" s="1"/>
  <c r="J67" i="48"/>
  <c r="K67" i="48"/>
  <c r="A68" i="48"/>
  <c r="J68" i="48"/>
  <c r="K68" i="48" s="1"/>
  <c r="A69" i="48"/>
  <c r="A238" i="48" s="1"/>
  <c r="J69" i="48"/>
  <c r="K69" i="48" s="1"/>
  <c r="A70" i="48"/>
  <c r="J70" i="48"/>
  <c r="K70" i="48" s="1"/>
  <c r="A71" i="48"/>
  <c r="A240" i="48" s="1"/>
  <c r="J71" i="48"/>
  <c r="K71" i="48" s="1"/>
  <c r="A72" i="48"/>
  <c r="J72" i="48"/>
  <c r="K72" i="48"/>
  <c r="A73" i="48"/>
  <c r="A242" i="48" s="1"/>
  <c r="J73" i="48"/>
  <c r="K73" i="48"/>
  <c r="C74" i="48"/>
  <c r="C14" i="11" s="1"/>
  <c r="D74" i="48"/>
  <c r="E74" i="48"/>
  <c r="J74" i="48" s="1"/>
  <c r="F74" i="48"/>
  <c r="G74" i="48"/>
  <c r="H74" i="48"/>
  <c r="I74" i="48"/>
  <c r="L74" i="48"/>
  <c r="M74" i="48"/>
  <c r="M14" i="11" s="1"/>
  <c r="R12" i="32" s="1"/>
  <c r="A75" i="48"/>
  <c r="J75" i="48"/>
  <c r="K75" i="48" s="1"/>
  <c r="A76" i="48"/>
  <c r="A245" i="48"/>
  <c r="J76" i="48"/>
  <c r="K76" i="48" s="1"/>
  <c r="A77" i="48"/>
  <c r="J77" i="48"/>
  <c r="K77" i="48"/>
  <c r="A78" i="48"/>
  <c r="A247" i="48" s="1"/>
  <c r="J78" i="48"/>
  <c r="K78" i="48"/>
  <c r="A79" i="48"/>
  <c r="J79" i="48"/>
  <c r="K79" i="48"/>
  <c r="A80" i="48"/>
  <c r="A249" i="48" s="1"/>
  <c r="J80" i="48"/>
  <c r="K80" i="48"/>
  <c r="A81" i="48"/>
  <c r="A250" i="48" s="1"/>
  <c r="J81" i="48"/>
  <c r="K81" i="48" s="1"/>
  <c r="A82" i="48"/>
  <c r="A251" i="48"/>
  <c r="J82" i="48"/>
  <c r="K82" i="48" s="1"/>
  <c r="A83" i="48"/>
  <c r="J83" i="48"/>
  <c r="K83" i="48" s="1"/>
  <c r="A84" i="48"/>
  <c r="A253" i="48" s="1"/>
  <c r="J84" i="48"/>
  <c r="K84" i="48" s="1"/>
  <c r="C85" i="48"/>
  <c r="C15" i="11"/>
  <c r="D85" i="48"/>
  <c r="E85" i="48"/>
  <c r="F85" i="48"/>
  <c r="G85" i="48"/>
  <c r="G15" i="11" s="1"/>
  <c r="H85" i="48"/>
  <c r="I85" i="48"/>
  <c r="I15" i="11"/>
  <c r="L85" i="48"/>
  <c r="M85" i="48"/>
  <c r="M15" i="11"/>
  <c r="R13" i="32"/>
  <c r="A86" i="48"/>
  <c r="J86" i="48"/>
  <c r="K86" i="48"/>
  <c r="A87" i="48"/>
  <c r="A256" i="48" s="1"/>
  <c r="J87" i="48"/>
  <c r="K87" i="48"/>
  <c r="A88" i="48"/>
  <c r="J88" i="48"/>
  <c r="K88" i="48"/>
  <c r="A89" i="48"/>
  <c r="A258" i="48" s="1"/>
  <c r="J89" i="48"/>
  <c r="K89" i="48"/>
  <c r="A90" i="48"/>
  <c r="A259" i="48" s="1"/>
  <c r="J90" i="48"/>
  <c r="K90" i="48" s="1"/>
  <c r="A91" i="48"/>
  <c r="A260" i="48"/>
  <c r="J91" i="48"/>
  <c r="K91" i="48" s="1"/>
  <c r="A92" i="48"/>
  <c r="J92" i="48"/>
  <c r="K92" i="48"/>
  <c r="A93" i="48"/>
  <c r="A262" i="48" s="1"/>
  <c r="J93" i="48"/>
  <c r="K93" i="48"/>
  <c r="A94" i="48"/>
  <c r="J94" i="48"/>
  <c r="K94" i="48"/>
  <c r="A95" i="48"/>
  <c r="A264" i="48" s="1"/>
  <c r="J95" i="48"/>
  <c r="K95" i="48"/>
  <c r="C96" i="48"/>
  <c r="C16" i="11" s="1"/>
  <c r="D96" i="48"/>
  <c r="E96" i="48"/>
  <c r="J96" i="48" s="1"/>
  <c r="F96" i="48"/>
  <c r="G96" i="48"/>
  <c r="G16" i="11"/>
  <c r="H96" i="48"/>
  <c r="I96" i="48"/>
  <c r="I16" i="11"/>
  <c r="L96" i="48"/>
  <c r="M96" i="48"/>
  <c r="M16" i="11"/>
  <c r="R14" i="32"/>
  <c r="A97" i="48"/>
  <c r="A266" i="48" s="1"/>
  <c r="J97" i="48"/>
  <c r="K97" i="48"/>
  <c r="A98" i="48"/>
  <c r="A267" i="48" s="1"/>
  <c r="J98" i="48"/>
  <c r="K98" i="48"/>
  <c r="A99" i="48"/>
  <c r="J99" i="48"/>
  <c r="K99" i="48" s="1"/>
  <c r="A100" i="48"/>
  <c r="A269" i="48" s="1"/>
  <c r="J100" i="48"/>
  <c r="K100" i="48" s="1"/>
  <c r="A101" i="48"/>
  <c r="J101" i="48"/>
  <c r="K101" i="48"/>
  <c r="A102" i="48"/>
  <c r="A271" i="48"/>
  <c r="J102" i="48"/>
  <c r="K102" i="48"/>
  <c r="A103" i="48"/>
  <c r="J103" i="48"/>
  <c r="K103" i="48"/>
  <c r="A104" i="48"/>
  <c r="A273" i="48" s="1"/>
  <c r="J104" i="48"/>
  <c r="K104" i="48"/>
  <c r="A105" i="48"/>
  <c r="J105" i="48"/>
  <c r="K105" i="48"/>
  <c r="A106" i="48"/>
  <c r="A275" i="48" s="1"/>
  <c r="J106" i="48"/>
  <c r="K106" i="48"/>
  <c r="C107" i="48"/>
  <c r="C17" i="11" s="1"/>
  <c r="C23" i="11" s="1"/>
  <c r="D107" i="48"/>
  <c r="E107" i="48"/>
  <c r="F107" i="48"/>
  <c r="G107" i="48"/>
  <c r="G17" i="11" s="1"/>
  <c r="H107" i="48"/>
  <c r="I107" i="48"/>
  <c r="I17" i="11"/>
  <c r="L107" i="48"/>
  <c r="M107" i="48"/>
  <c r="M17" i="11"/>
  <c r="R15" i="32"/>
  <c r="A108" i="48"/>
  <c r="J108" i="48"/>
  <c r="K108" i="48"/>
  <c r="A109" i="48"/>
  <c r="A278" i="48" s="1"/>
  <c r="J109" i="48"/>
  <c r="K109" i="48"/>
  <c r="A110" i="48"/>
  <c r="J110" i="48"/>
  <c r="K110" i="48"/>
  <c r="A111" i="48"/>
  <c r="A280" i="48"/>
  <c r="J111" i="48"/>
  <c r="K111" i="48"/>
  <c r="A112" i="48"/>
  <c r="J112" i="48"/>
  <c r="K112" i="48" s="1"/>
  <c r="A113" i="48"/>
  <c r="A282" i="48"/>
  <c r="J113" i="48"/>
  <c r="K113" i="48" s="1"/>
  <c r="A114" i="48"/>
  <c r="J114" i="48"/>
  <c r="K114" i="48" s="1"/>
  <c r="A115" i="48"/>
  <c r="A284" i="48"/>
  <c r="J115" i="48"/>
  <c r="K115" i="48" s="1"/>
  <c r="A116" i="48"/>
  <c r="J116" i="48"/>
  <c r="K116" i="48"/>
  <c r="A117" i="48"/>
  <c r="A286" i="48" s="1"/>
  <c r="J117" i="48"/>
  <c r="K117" i="48"/>
  <c r="C118" i="48"/>
  <c r="C18" i="11" s="1"/>
  <c r="D118" i="48"/>
  <c r="E118" i="48"/>
  <c r="F118" i="48"/>
  <c r="G118" i="48"/>
  <c r="G18" i="11"/>
  <c r="H118" i="48"/>
  <c r="I118" i="48"/>
  <c r="I18" i="11" s="1"/>
  <c r="L118" i="48"/>
  <c r="M118" i="48"/>
  <c r="M18" i="11"/>
  <c r="R16" i="32" s="1"/>
  <c r="A119" i="48"/>
  <c r="J119" i="48"/>
  <c r="K119" i="48" s="1"/>
  <c r="A120" i="48"/>
  <c r="A289" i="48"/>
  <c r="J120" i="48"/>
  <c r="K120" i="48" s="1"/>
  <c r="A121" i="48"/>
  <c r="J121" i="48"/>
  <c r="K121" i="48"/>
  <c r="A122" i="48"/>
  <c r="A291" i="48" s="1"/>
  <c r="J122" i="48"/>
  <c r="K122" i="48"/>
  <c r="A123" i="48"/>
  <c r="A292" i="48" s="1"/>
  <c r="J123" i="48"/>
  <c r="K123" i="48"/>
  <c r="A124" i="48"/>
  <c r="A293" i="48"/>
  <c r="J124" i="48"/>
  <c r="K124" i="48"/>
  <c r="A125" i="48"/>
  <c r="J125" i="48"/>
  <c r="K125" i="48" s="1"/>
  <c r="A126" i="48"/>
  <c r="A295" i="48"/>
  <c r="J126" i="48"/>
  <c r="K126" i="48" s="1"/>
  <c r="A127" i="48"/>
  <c r="J127" i="48"/>
  <c r="K127" i="48"/>
  <c r="A128" i="48"/>
  <c r="A297" i="48"/>
  <c r="J128" i="48"/>
  <c r="K128" i="48"/>
  <c r="C129" i="48"/>
  <c r="C19" i="11"/>
  <c r="D129" i="48"/>
  <c r="E129" i="48"/>
  <c r="F129" i="48"/>
  <c r="G129" i="48"/>
  <c r="G19" i="11"/>
  <c r="H129" i="48"/>
  <c r="I129" i="48"/>
  <c r="I19" i="11"/>
  <c r="L129" i="48"/>
  <c r="M129" i="48"/>
  <c r="M19" i="11" s="1"/>
  <c r="R17" i="32" s="1"/>
  <c r="A130" i="48"/>
  <c r="J130" i="48"/>
  <c r="K130" i="48" s="1"/>
  <c r="A131" i="48"/>
  <c r="A300" i="48"/>
  <c r="J131" i="48"/>
  <c r="K131" i="48" s="1"/>
  <c r="A132" i="48"/>
  <c r="J132" i="48"/>
  <c r="K132" i="48"/>
  <c r="A133" i="48"/>
  <c r="A302" i="48"/>
  <c r="J133" i="48"/>
  <c r="K133" i="48"/>
  <c r="A134" i="48"/>
  <c r="J134" i="48"/>
  <c r="K134" i="48"/>
  <c r="A135" i="48"/>
  <c r="A304" i="48" s="1"/>
  <c r="J135" i="48"/>
  <c r="K135" i="48"/>
  <c r="A136" i="48"/>
  <c r="J136" i="48"/>
  <c r="K136" i="48"/>
  <c r="A137" i="48"/>
  <c r="A306" i="48" s="1"/>
  <c r="J137" i="48"/>
  <c r="K137" i="48"/>
  <c r="A138" i="48"/>
  <c r="A307" i="48" s="1"/>
  <c r="J138" i="48"/>
  <c r="K138" i="48" s="1"/>
  <c r="A139" i="48"/>
  <c r="A308" i="48"/>
  <c r="J139" i="48"/>
  <c r="K139" i="48" s="1"/>
  <c r="C140" i="48"/>
  <c r="C20" i="11"/>
  <c r="D140" i="48"/>
  <c r="E140" i="48"/>
  <c r="F140" i="48"/>
  <c r="G140" i="48"/>
  <c r="G20" i="11"/>
  <c r="H140" i="48"/>
  <c r="I140" i="48"/>
  <c r="I20" i="11"/>
  <c r="L140" i="48"/>
  <c r="M140" i="48"/>
  <c r="M20" i="11"/>
  <c r="R18" i="32"/>
  <c r="A141" i="48"/>
  <c r="J141" i="48"/>
  <c r="K141" i="48"/>
  <c r="A142" i="48"/>
  <c r="A311" i="48"/>
  <c r="J142" i="48"/>
  <c r="K142" i="48"/>
  <c r="A143" i="48"/>
  <c r="J143" i="48"/>
  <c r="K143" i="48" s="1"/>
  <c r="A144" i="48"/>
  <c r="A313" i="48"/>
  <c r="J144" i="48"/>
  <c r="K144" i="48" s="1"/>
  <c r="A145" i="48"/>
  <c r="J145" i="48"/>
  <c r="K145" i="48" s="1"/>
  <c r="A146" i="48"/>
  <c r="A315" i="48"/>
  <c r="J146" i="48"/>
  <c r="K146" i="48" s="1"/>
  <c r="A147" i="48"/>
  <c r="J147" i="48"/>
  <c r="K147" i="48"/>
  <c r="A148" i="48"/>
  <c r="A317" i="48" s="1"/>
  <c r="J148" i="48"/>
  <c r="K148" i="48"/>
  <c r="A149" i="48"/>
  <c r="A318" i="48" s="1"/>
  <c r="J149" i="48"/>
  <c r="K149" i="48"/>
  <c r="A150" i="48"/>
  <c r="A319" i="48"/>
  <c r="J150" i="48"/>
  <c r="K150" i="48"/>
  <c r="C151" i="48"/>
  <c r="C21" i="11"/>
  <c r="D151" i="48"/>
  <c r="E151" i="48"/>
  <c r="F151" i="48"/>
  <c r="G151" i="48"/>
  <c r="G21" i="11" s="1"/>
  <c r="H151" i="48"/>
  <c r="I151" i="48"/>
  <c r="I21" i="11"/>
  <c r="L151" i="48"/>
  <c r="M151" i="48"/>
  <c r="M21" i="11"/>
  <c r="R19" i="32"/>
  <c r="A152" i="48"/>
  <c r="J152" i="48"/>
  <c r="K152" i="48"/>
  <c r="A153" i="48"/>
  <c r="A322" i="48" s="1"/>
  <c r="J153" i="48"/>
  <c r="K153" i="48" s="1"/>
  <c r="A154" i="48"/>
  <c r="J154" i="48"/>
  <c r="K154" i="48"/>
  <c r="A155" i="48"/>
  <c r="A324" i="48"/>
  <c r="J155" i="48"/>
  <c r="K155" i="48"/>
  <c r="A156" i="48"/>
  <c r="J156" i="48"/>
  <c r="K156" i="48" s="1"/>
  <c r="A157" i="48"/>
  <c r="A326" i="48"/>
  <c r="J157" i="48"/>
  <c r="K157" i="48" s="1"/>
  <c r="A158" i="48"/>
  <c r="J158" i="48"/>
  <c r="K158" i="48"/>
  <c r="A159" i="48"/>
  <c r="A328" i="48"/>
  <c r="J159" i="48"/>
  <c r="K159" i="48"/>
  <c r="A160" i="48"/>
  <c r="J160" i="48"/>
  <c r="K160" i="48"/>
  <c r="A161" i="48"/>
  <c r="A330" i="48" s="1"/>
  <c r="J161" i="48"/>
  <c r="K161" i="48"/>
  <c r="C162" i="48"/>
  <c r="C22" i="11" s="1"/>
  <c r="D162" i="48"/>
  <c r="E162" i="48"/>
  <c r="F162" i="48"/>
  <c r="G162" i="48"/>
  <c r="G22" i="11"/>
  <c r="H162" i="48"/>
  <c r="I162" i="48"/>
  <c r="I22" i="11" s="1"/>
  <c r="L162" i="48"/>
  <c r="M162" i="48"/>
  <c r="M22" i="11" s="1"/>
  <c r="A163" i="48"/>
  <c r="J163" i="48"/>
  <c r="K163" i="48"/>
  <c r="A164" i="48"/>
  <c r="A333" i="48"/>
  <c r="J164" i="48"/>
  <c r="K164" i="48"/>
  <c r="A165" i="48"/>
  <c r="J165" i="48"/>
  <c r="K165" i="48"/>
  <c r="A166" i="48"/>
  <c r="A335" i="48" s="1"/>
  <c r="J166" i="48"/>
  <c r="K166" i="48"/>
  <c r="A167" i="48"/>
  <c r="J167" i="48"/>
  <c r="K167" i="48"/>
  <c r="A168" i="48"/>
  <c r="A337" i="48"/>
  <c r="J168" i="48"/>
  <c r="K168" i="48"/>
  <c r="A169" i="48"/>
  <c r="J169" i="48"/>
  <c r="K169" i="48" s="1"/>
  <c r="A170" i="48"/>
  <c r="A339" i="48" s="1"/>
  <c r="J170" i="48"/>
  <c r="K170" i="48" s="1"/>
  <c r="A171" i="48"/>
  <c r="J171" i="48"/>
  <c r="K171" i="48" s="1"/>
  <c r="A172" i="48"/>
  <c r="A341" i="48"/>
  <c r="J172" i="48"/>
  <c r="K172" i="48" s="1"/>
  <c r="H173" i="48"/>
  <c r="L173" i="48"/>
  <c r="C177" i="48"/>
  <c r="D177" i="48"/>
  <c r="E177" i="48"/>
  <c r="F177" i="48"/>
  <c r="G177" i="48"/>
  <c r="H177" i="48"/>
  <c r="I177" i="48"/>
  <c r="J177" i="48"/>
  <c r="L177" i="48"/>
  <c r="M177" i="48"/>
  <c r="A178" i="48"/>
  <c r="J178" i="48"/>
  <c r="K178" i="48" s="1"/>
  <c r="J179" i="48"/>
  <c r="K179" i="48"/>
  <c r="A180" i="48"/>
  <c r="J180" i="48"/>
  <c r="K180" i="48"/>
  <c r="J181" i="48"/>
  <c r="K181" i="48"/>
  <c r="A182" i="48"/>
  <c r="J182" i="48"/>
  <c r="K182" i="48"/>
  <c r="J183" i="48"/>
  <c r="K183" i="48" s="1"/>
  <c r="A184" i="48"/>
  <c r="J184" i="48"/>
  <c r="K184" i="48"/>
  <c r="J185" i="48"/>
  <c r="K185" i="48"/>
  <c r="J186" i="48"/>
  <c r="K186" i="48" s="1"/>
  <c r="J187" i="48"/>
  <c r="K187" i="48"/>
  <c r="C188" i="48"/>
  <c r="D188" i="48"/>
  <c r="E188" i="48"/>
  <c r="F188" i="48"/>
  <c r="F27" i="11" s="1"/>
  <c r="G188" i="48"/>
  <c r="H188" i="48"/>
  <c r="I188" i="48"/>
  <c r="J188" i="48"/>
  <c r="L188" i="48"/>
  <c r="M188" i="48"/>
  <c r="A189" i="48"/>
  <c r="J189" i="48"/>
  <c r="K189" i="48" s="1"/>
  <c r="J190" i="48"/>
  <c r="K190" i="48"/>
  <c r="A191" i="48"/>
  <c r="J191" i="48"/>
  <c r="K191" i="48" s="1"/>
  <c r="J192" i="48"/>
  <c r="K192" i="48"/>
  <c r="A193" i="48"/>
  <c r="J193" i="48"/>
  <c r="K193" i="48"/>
  <c r="J194" i="48"/>
  <c r="K194" i="48"/>
  <c r="A195" i="48"/>
  <c r="J195" i="48"/>
  <c r="K195" i="48"/>
  <c r="J196" i="48"/>
  <c r="K196" i="48" s="1"/>
  <c r="A197" i="48"/>
  <c r="J197" i="48"/>
  <c r="K197" i="48"/>
  <c r="J198" i="48"/>
  <c r="K198" i="48"/>
  <c r="C199" i="48"/>
  <c r="D199" i="48"/>
  <c r="E199" i="48"/>
  <c r="F199" i="48"/>
  <c r="G199" i="48"/>
  <c r="J199" i="48" s="1"/>
  <c r="H199" i="48"/>
  <c r="I199" i="48"/>
  <c r="L199" i="48"/>
  <c r="M199" i="48"/>
  <c r="J200" i="48"/>
  <c r="K200" i="48" s="1"/>
  <c r="J201" i="48"/>
  <c r="K201" i="48" s="1"/>
  <c r="J202" i="48"/>
  <c r="K202" i="48" s="1"/>
  <c r="J203" i="48"/>
  <c r="K203" i="48"/>
  <c r="A204" i="48"/>
  <c r="J204" i="48"/>
  <c r="K204" i="48" s="1"/>
  <c r="J205" i="48"/>
  <c r="K205" i="48"/>
  <c r="A206" i="48"/>
  <c r="J206" i="48"/>
  <c r="K206" i="48"/>
  <c r="J207" i="48"/>
  <c r="K207" i="48"/>
  <c r="J208" i="48"/>
  <c r="K208" i="48"/>
  <c r="J209" i="48"/>
  <c r="K209" i="48" s="1"/>
  <c r="C210" i="48"/>
  <c r="D210" i="48"/>
  <c r="E210" i="48"/>
  <c r="F210" i="48"/>
  <c r="G210" i="48"/>
  <c r="G29" i="11" s="1"/>
  <c r="H210" i="48"/>
  <c r="H29" i="11" s="1"/>
  <c r="I210" i="48"/>
  <c r="I29" i="11" s="1"/>
  <c r="L210" i="48"/>
  <c r="M210" i="48"/>
  <c r="M29" i="11" s="1"/>
  <c r="R27" i="32" s="1"/>
  <c r="A211" i="48"/>
  <c r="J211" i="48"/>
  <c r="K211" i="48" s="1"/>
  <c r="J212" i="48"/>
  <c r="K212" i="48" s="1"/>
  <c r="J213" i="48"/>
  <c r="K213" i="48" s="1"/>
  <c r="J214" i="48"/>
  <c r="K214" i="48" s="1"/>
  <c r="A215" i="48"/>
  <c r="J215" i="48"/>
  <c r="K215" i="48" s="1"/>
  <c r="J216" i="48"/>
  <c r="K216" i="48" s="1"/>
  <c r="J217" i="48"/>
  <c r="K217" i="48" s="1"/>
  <c r="J218" i="48"/>
  <c r="K218" i="48" s="1"/>
  <c r="A219" i="48"/>
  <c r="J219" i="48"/>
  <c r="K219" i="48" s="1"/>
  <c r="J220" i="48"/>
  <c r="K220" i="48" s="1"/>
  <c r="C221" i="48"/>
  <c r="C30" i="11" s="1"/>
  <c r="D221" i="48"/>
  <c r="E221" i="48"/>
  <c r="F221" i="48"/>
  <c r="G221" i="48"/>
  <c r="G30" i="11" s="1"/>
  <c r="H221" i="48"/>
  <c r="I221" i="48"/>
  <c r="I30" i="11" s="1"/>
  <c r="L221" i="48"/>
  <c r="L30" i="11" s="1"/>
  <c r="Q28" i="32" s="1"/>
  <c r="M221" i="48"/>
  <c r="A222" i="48"/>
  <c r="J222" i="48"/>
  <c r="K222" i="48" s="1"/>
  <c r="J223" i="48"/>
  <c r="K223" i="48" s="1"/>
  <c r="A224" i="48"/>
  <c r="J224" i="48"/>
  <c r="K224" i="48" s="1"/>
  <c r="J225" i="48"/>
  <c r="K225" i="48" s="1"/>
  <c r="A226" i="48"/>
  <c r="J226" i="48"/>
  <c r="K226" i="48" s="1"/>
  <c r="J227" i="48"/>
  <c r="K227" i="48" s="1"/>
  <c r="A228" i="48"/>
  <c r="J228" i="48"/>
  <c r="K228" i="48" s="1"/>
  <c r="J229" i="48"/>
  <c r="K229" i="48" s="1"/>
  <c r="A230" i="48"/>
  <c r="J230" i="48"/>
  <c r="K230" i="48" s="1"/>
  <c r="J231" i="48"/>
  <c r="K231" i="48" s="1"/>
  <c r="C232" i="48"/>
  <c r="D232" i="48"/>
  <c r="D31" i="11" s="1"/>
  <c r="E232" i="48"/>
  <c r="F232" i="48"/>
  <c r="G232" i="48"/>
  <c r="H232" i="48"/>
  <c r="H31" i="11" s="1"/>
  <c r="I232" i="48"/>
  <c r="I31" i="11" s="1"/>
  <c r="L232" i="48"/>
  <c r="M232" i="48"/>
  <c r="M31" i="11" s="1"/>
  <c r="R29" i="32" s="1"/>
  <c r="A233" i="48"/>
  <c r="J233" i="48"/>
  <c r="K233" i="48" s="1"/>
  <c r="J234" i="48"/>
  <c r="K234" i="48" s="1"/>
  <c r="A235" i="48"/>
  <c r="J235" i="48"/>
  <c r="K235" i="48" s="1"/>
  <c r="J236" i="48"/>
  <c r="K236" i="48" s="1"/>
  <c r="A237" i="48"/>
  <c r="J237" i="48"/>
  <c r="K237" i="48" s="1"/>
  <c r="J238" i="48"/>
  <c r="K238" i="48" s="1"/>
  <c r="A239" i="48"/>
  <c r="J239" i="48"/>
  <c r="K239" i="48" s="1"/>
  <c r="J240" i="48"/>
  <c r="K240" i="48"/>
  <c r="A241" i="48"/>
  <c r="J241" i="48"/>
  <c r="K241" i="48" s="1"/>
  <c r="J242" i="48"/>
  <c r="K242" i="48" s="1"/>
  <c r="C243" i="48"/>
  <c r="D243" i="48"/>
  <c r="E243" i="48"/>
  <c r="F243" i="48"/>
  <c r="G243" i="48"/>
  <c r="H243" i="48"/>
  <c r="I243" i="48"/>
  <c r="I32" i="11" s="1"/>
  <c r="L243" i="48"/>
  <c r="M243" i="48"/>
  <c r="A244" i="48"/>
  <c r="J244" i="48"/>
  <c r="K244" i="48" s="1"/>
  <c r="J245" i="48"/>
  <c r="K245" i="48"/>
  <c r="A246" i="48"/>
  <c r="J246" i="48"/>
  <c r="K246" i="48"/>
  <c r="J247" i="48"/>
  <c r="K247" i="48" s="1"/>
  <c r="A248" i="48"/>
  <c r="J248" i="48"/>
  <c r="K248" i="48"/>
  <c r="J249" i="48"/>
  <c r="K249" i="48"/>
  <c r="J250" i="48"/>
  <c r="K250" i="48" s="1"/>
  <c r="J251" i="48"/>
  <c r="K251" i="48"/>
  <c r="A252" i="48"/>
  <c r="J252" i="48"/>
  <c r="K252" i="48"/>
  <c r="J253" i="48"/>
  <c r="K253" i="48"/>
  <c r="C254" i="48"/>
  <c r="C33" i="11" s="1"/>
  <c r="D254" i="48"/>
  <c r="E254" i="48"/>
  <c r="F254" i="48"/>
  <c r="F33" i="11" s="1"/>
  <c r="G254" i="48"/>
  <c r="H254" i="48"/>
  <c r="I254" i="48"/>
  <c r="J254" i="48" s="1"/>
  <c r="K254" i="48" s="1"/>
  <c r="L254" i="48"/>
  <c r="L33" i="11" s="1"/>
  <c r="Q31" i="32" s="1"/>
  <c r="M254" i="48"/>
  <c r="A255" i="48"/>
  <c r="J255" i="48"/>
  <c r="K255" i="48" s="1"/>
  <c r="J256" i="48"/>
  <c r="K256" i="48"/>
  <c r="A257" i="48"/>
  <c r="J257" i="48"/>
  <c r="K257" i="48"/>
  <c r="J258" i="48"/>
  <c r="K258" i="48"/>
  <c r="J259" i="48"/>
  <c r="K259" i="48"/>
  <c r="J260" i="48"/>
  <c r="K260" i="48" s="1"/>
  <c r="A261" i="48"/>
  <c r="J261" i="48"/>
  <c r="K261" i="48"/>
  <c r="J262" i="48"/>
  <c r="K262" i="48"/>
  <c r="A263" i="48"/>
  <c r="J263" i="48"/>
  <c r="K263" i="48" s="1"/>
  <c r="J264" i="48"/>
  <c r="K264" i="48"/>
  <c r="C265" i="48"/>
  <c r="C34" i="11" s="1"/>
  <c r="D265" i="48"/>
  <c r="E265" i="48"/>
  <c r="F265" i="48"/>
  <c r="G265" i="48"/>
  <c r="G34" i="11" s="1"/>
  <c r="H265" i="48"/>
  <c r="I265" i="48"/>
  <c r="L265" i="48"/>
  <c r="M265" i="48"/>
  <c r="J266" i="48"/>
  <c r="K266" i="48"/>
  <c r="J267" i="48"/>
  <c r="K267" i="48"/>
  <c r="A268" i="48"/>
  <c r="J268" i="48"/>
  <c r="K268" i="48" s="1"/>
  <c r="J269" i="48"/>
  <c r="K269" i="48"/>
  <c r="A270" i="48"/>
  <c r="J270" i="48"/>
  <c r="K270" i="48"/>
  <c r="J271" i="48"/>
  <c r="K271" i="48"/>
  <c r="A272" i="48"/>
  <c r="J272" i="48"/>
  <c r="K272" i="48"/>
  <c r="J273" i="48"/>
  <c r="K273" i="48" s="1"/>
  <c r="A274" i="48"/>
  <c r="J274" i="48"/>
  <c r="K274" i="48"/>
  <c r="J275" i="48"/>
  <c r="K275" i="48"/>
  <c r="C276" i="48"/>
  <c r="C35" i="11" s="1"/>
  <c r="D276" i="48"/>
  <c r="D35" i="11" s="1"/>
  <c r="E276" i="48"/>
  <c r="F276" i="48"/>
  <c r="G276" i="48"/>
  <c r="H276" i="48"/>
  <c r="H35" i="11" s="1"/>
  <c r="I276" i="48"/>
  <c r="L276" i="48"/>
  <c r="M276" i="48"/>
  <c r="M35" i="11" s="1"/>
  <c r="R33" i="32" s="1"/>
  <c r="A277" i="48"/>
  <c r="J277" i="48"/>
  <c r="K277" i="48"/>
  <c r="J278" i="48"/>
  <c r="K278" i="48" s="1"/>
  <c r="A279" i="48"/>
  <c r="J279" i="48"/>
  <c r="K279" i="48"/>
  <c r="J280" i="48"/>
  <c r="K280" i="48"/>
  <c r="A281" i="48"/>
  <c r="J281" i="48"/>
  <c r="K281" i="48" s="1"/>
  <c r="J282" i="48"/>
  <c r="K282" i="48"/>
  <c r="A283" i="48"/>
  <c r="J283" i="48"/>
  <c r="K283" i="48"/>
  <c r="J284" i="48"/>
  <c r="K284" i="48"/>
  <c r="A285" i="48"/>
  <c r="J285" i="48"/>
  <c r="K285" i="48"/>
  <c r="J286" i="48"/>
  <c r="K286" i="48" s="1"/>
  <c r="C287" i="48"/>
  <c r="D287" i="48"/>
  <c r="E287" i="48"/>
  <c r="J287" i="48" s="1"/>
  <c r="F287" i="48"/>
  <c r="G287" i="48"/>
  <c r="H287" i="48"/>
  <c r="H36" i="11" s="1"/>
  <c r="I287" i="48"/>
  <c r="I36" i="11" s="1"/>
  <c r="L287" i="48"/>
  <c r="M287" i="48"/>
  <c r="M36" i="11" s="1"/>
  <c r="R34" i="32" s="1"/>
  <c r="A288" i="48"/>
  <c r="J288" i="48"/>
  <c r="K288" i="48"/>
  <c r="J289" i="48"/>
  <c r="K289" i="48"/>
  <c r="A290" i="48"/>
  <c r="J290" i="48"/>
  <c r="K290" i="48"/>
  <c r="J291" i="48"/>
  <c r="K291" i="48" s="1"/>
  <c r="J292" i="48"/>
  <c r="K292" i="48"/>
  <c r="J293" i="48"/>
  <c r="K293" i="48"/>
  <c r="A294" i="48"/>
  <c r="J294" i="48"/>
  <c r="K294" i="48" s="1"/>
  <c r="J295" i="48"/>
  <c r="K295" i="48"/>
  <c r="A296" i="48"/>
  <c r="J296" i="48"/>
  <c r="K296" i="48"/>
  <c r="J297" i="48"/>
  <c r="K297" i="48"/>
  <c r="C298" i="48"/>
  <c r="D298" i="48"/>
  <c r="E298" i="48"/>
  <c r="E37" i="11" s="1"/>
  <c r="F298" i="48"/>
  <c r="F37" i="11" s="1"/>
  <c r="G298" i="48"/>
  <c r="H298" i="48"/>
  <c r="I298" i="48"/>
  <c r="I37" i="11" s="1"/>
  <c r="J298" i="48"/>
  <c r="L298" i="48"/>
  <c r="M298" i="48"/>
  <c r="A299" i="48"/>
  <c r="J299" i="48"/>
  <c r="K299" i="48" s="1"/>
  <c r="J300" i="48"/>
  <c r="K300" i="48"/>
  <c r="A301" i="48"/>
  <c r="J301" i="48"/>
  <c r="K301" i="48"/>
  <c r="J302" i="48"/>
  <c r="K302" i="48"/>
  <c r="A303" i="48"/>
  <c r="J303" i="48"/>
  <c r="K303" i="48"/>
  <c r="J304" i="48"/>
  <c r="K304" i="48" s="1"/>
  <c r="A305" i="48"/>
  <c r="J305" i="48"/>
  <c r="K305" i="48"/>
  <c r="J306" i="48"/>
  <c r="K306" i="48"/>
  <c r="J307" i="48"/>
  <c r="K307" i="48" s="1"/>
  <c r="J308" i="48"/>
  <c r="K308" i="48"/>
  <c r="C309" i="48"/>
  <c r="C38" i="11" s="1"/>
  <c r="D309" i="48"/>
  <c r="E309" i="48"/>
  <c r="F309" i="48"/>
  <c r="F38" i="11" s="1"/>
  <c r="G309" i="48"/>
  <c r="G38" i="11" s="1"/>
  <c r="H309" i="48"/>
  <c r="I309" i="48"/>
  <c r="L309" i="48"/>
  <c r="L38" i="11" s="1"/>
  <c r="Q36" i="32" s="1"/>
  <c r="M309" i="48"/>
  <c r="A310" i="48"/>
  <c r="J310" i="48"/>
  <c r="K310" i="48"/>
  <c r="J311" i="48"/>
  <c r="K311" i="48"/>
  <c r="A312" i="48"/>
  <c r="J312" i="48"/>
  <c r="K312" i="48" s="1"/>
  <c r="J313" i="48"/>
  <c r="K313" i="48"/>
  <c r="A314" i="48"/>
  <c r="J314" i="48"/>
  <c r="K314" i="48"/>
  <c r="J315" i="48"/>
  <c r="K315" i="48"/>
  <c r="A316" i="48"/>
  <c r="J316" i="48"/>
  <c r="K316" i="48"/>
  <c r="J317" i="48"/>
  <c r="K317" i="48" s="1"/>
  <c r="J318" i="48"/>
  <c r="K318" i="48"/>
  <c r="J319" i="48"/>
  <c r="K319" i="48"/>
  <c r="C320" i="48"/>
  <c r="C39" i="11" s="1"/>
  <c r="D320" i="48"/>
  <c r="D39" i="11" s="1"/>
  <c r="E320" i="48"/>
  <c r="F320" i="48"/>
  <c r="G320" i="48"/>
  <c r="G39" i="11" s="1"/>
  <c r="H320" i="48"/>
  <c r="H39" i="11" s="1"/>
  <c r="I320" i="48"/>
  <c r="L320" i="48"/>
  <c r="M320" i="48"/>
  <c r="M39" i="11" s="1"/>
  <c r="R37" i="32" s="1"/>
  <c r="A321" i="48"/>
  <c r="J321" i="48"/>
  <c r="K321" i="48"/>
  <c r="J322" i="48"/>
  <c r="K322" i="48" s="1"/>
  <c r="A323" i="48"/>
  <c r="J323" i="48"/>
  <c r="K323" i="48"/>
  <c r="J324" i="48"/>
  <c r="K324" i="48"/>
  <c r="A325" i="48"/>
  <c r="J325" i="48"/>
  <c r="K325" i="48" s="1"/>
  <c r="J326" i="48"/>
  <c r="K326" i="48"/>
  <c r="A327" i="48"/>
  <c r="J327" i="48"/>
  <c r="K327" i="48"/>
  <c r="J328" i="48"/>
  <c r="K328" i="48"/>
  <c r="A329" i="48"/>
  <c r="J329" i="48"/>
  <c r="K329" i="48"/>
  <c r="J330" i="48"/>
  <c r="K330" i="48" s="1"/>
  <c r="C331" i="48"/>
  <c r="D331" i="48"/>
  <c r="D40" i="11" s="1"/>
  <c r="E331" i="48"/>
  <c r="J331" i="48" s="1"/>
  <c r="F331" i="48"/>
  <c r="G331" i="48"/>
  <c r="H331" i="48"/>
  <c r="H40" i="11" s="1"/>
  <c r="I331" i="48"/>
  <c r="I40" i="11" s="1"/>
  <c r="L331" i="48"/>
  <c r="L40" i="11" s="1"/>
  <c r="Q38" i="32" s="1"/>
  <c r="M331" i="48"/>
  <c r="M40" i="11" s="1"/>
  <c r="R38" i="32" s="1"/>
  <c r="A332" i="48"/>
  <c r="J332" i="48"/>
  <c r="K332" i="48"/>
  <c r="J333" i="48"/>
  <c r="K333" i="48"/>
  <c r="A334" i="48"/>
  <c r="J334" i="48"/>
  <c r="K334" i="48"/>
  <c r="J335" i="48"/>
  <c r="K335" i="48" s="1"/>
  <c r="A336" i="48"/>
  <c r="J336" i="48"/>
  <c r="K336" i="48"/>
  <c r="J337" i="48"/>
  <c r="K337" i="48"/>
  <c r="A338" i="48"/>
  <c r="J338" i="48"/>
  <c r="K338" i="48" s="1"/>
  <c r="J339" i="48"/>
  <c r="K339" i="48"/>
  <c r="A340" i="48"/>
  <c r="J340" i="48"/>
  <c r="K340" i="48"/>
  <c r="J341" i="48"/>
  <c r="K341" i="48"/>
  <c r="A346" i="48"/>
  <c r="A2" i="11"/>
  <c r="B2" i="11"/>
  <c r="C3" i="11"/>
  <c r="D3" i="11"/>
  <c r="E3" i="11"/>
  <c r="F3" i="11"/>
  <c r="G3" i="11"/>
  <c r="H3" i="11"/>
  <c r="I3" i="11"/>
  <c r="J3" i="11"/>
  <c r="K3" i="11"/>
  <c r="L3" i="11"/>
  <c r="M3" i="11"/>
  <c r="C8" i="11"/>
  <c r="D8" i="11"/>
  <c r="E8" i="11"/>
  <c r="F8" i="11"/>
  <c r="G8" i="11"/>
  <c r="G23" i="11" s="1"/>
  <c r="H8" i="11"/>
  <c r="I8" i="11"/>
  <c r="L8" i="11"/>
  <c r="M8" i="11"/>
  <c r="R6" i="32"/>
  <c r="C9" i="11"/>
  <c r="D9" i="11"/>
  <c r="E9" i="11"/>
  <c r="F9" i="11"/>
  <c r="G9" i="11"/>
  <c r="J9" i="11" s="1"/>
  <c r="H9" i="11"/>
  <c r="I9" i="11"/>
  <c r="L9" i="11"/>
  <c r="Q7" i="32"/>
  <c r="M9" i="11"/>
  <c r="R7" i="32"/>
  <c r="C10" i="11"/>
  <c r="D10" i="11"/>
  <c r="E10" i="11"/>
  <c r="F10" i="11"/>
  <c r="G10" i="11"/>
  <c r="J10" i="11" s="1"/>
  <c r="H10" i="11"/>
  <c r="I10" i="11"/>
  <c r="L10" i="11"/>
  <c r="Q8" i="32"/>
  <c r="M10" i="11"/>
  <c r="R8" i="32"/>
  <c r="C11" i="11"/>
  <c r="D11" i="11"/>
  <c r="E11" i="11"/>
  <c r="F11" i="11"/>
  <c r="G11" i="11"/>
  <c r="J11" i="11" s="1"/>
  <c r="H11" i="11"/>
  <c r="I11" i="11"/>
  <c r="L11" i="11"/>
  <c r="Q9" i="32"/>
  <c r="M11" i="11"/>
  <c r="R9" i="32"/>
  <c r="C12" i="11"/>
  <c r="D12" i="11"/>
  <c r="E12" i="11"/>
  <c r="F12" i="11"/>
  <c r="G12" i="11"/>
  <c r="J12" i="11" s="1"/>
  <c r="H12" i="11"/>
  <c r="I12" i="11"/>
  <c r="L12" i="11"/>
  <c r="Q10" i="32"/>
  <c r="M12" i="11"/>
  <c r="R10" i="32"/>
  <c r="C13" i="11"/>
  <c r="D13" i="11"/>
  <c r="E13" i="11"/>
  <c r="F13" i="11"/>
  <c r="G13" i="11"/>
  <c r="J13" i="11" s="1"/>
  <c r="H13" i="11"/>
  <c r="I13" i="11"/>
  <c r="L13" i="11"/>
  <c r="Q11" i="32"/>
  <c r="M13" i="11"/>
  <c r="R11" i="32"/>
  <c r="D14" i="11"/>
  <c r="E14" i="11"/>
  <c r="J14" i="11" s="1"/>
  <c r="F14" i="11"/>
  <c r="G14" i="11"/>
  <c r="H14" i="11"/>
  <c r="I14" i="11"/>
  <c r="I23" i="11" s="1"/>
  <c r="L14" i="11"/>
  <c r="Q12" i="32"/>
  <c r="D15" i="11"/>
  <c r="F15" i="11"/>
  <c r="H15" i="11"/>
  <c r="L15" i="11"/>
  <c r="Q13" i="32"/>
  <c r="D16" i="11"/>
  <c r="F16" i="11"/>
  <c r="H16" i="11"/>
  <c r="L16" i="11"/>
  <c r="Q14" i="32" s="1"/>
  <c r="D17" i="11"/>
  <c r="F17" i="11"/>
  <c r="H17" i="11"/>
  <c r="L17" i="11"/>
  <c r="Q15" i="32"/>
  <c r="D18" i="11"/>
  <c r="F18" i="11"/>
  <c r="H18" i="11"/>
  <c r="L18" i="11"/>
  <c r="Q16" i="32"/>
  <c r="D19" i="11"/>
  <c r="F19" i="11"/>
  <c r="H19" i="11"/>
  <c r="L19" i="11"/>
  <c r="Q17" i="32"/>
  <c r="D20" i="11"/>
  <c r="F20" i="11"/>
  <c r="H20" i="11"/>
  <c r="L20" i="11"/>
  <c r="Q18" i="32" s="1"/>
  <c r="D21" i="11"/>
  <c r="F21" i="11"/>
  <c r="H21" i="11"/>
  <c r="L21" i="11"/>
  <c r="Q19" i="32"/>
  <c r="D22" i="11"/>
  <c r="F22" i="11"/>
  <c r="H22" i="11"/>
  <c r="L22" i="11"/>
  <c r="Q20" i="32"/>
  <c r="C26" i="11"/>
  <c r="D26" i="11"/>
  <c r="E26" i="11"/>
  <c r="F26" i="11"/>
  <c r="J26" i="11" s="1"/>
  <c r="G26" i="11"/>
  <c r="H26" i="11"/>
  <c r="I26" i="11"/>
  <c r="L26" i="11"/>
  <c r="Q24" i="32" s="1"/>
  <c r="M26" i="11"/>
  <c r="R24" i="32"/>
  <c r="C27" i="11"/>
  <c r="D27" i="11"/>
  <c r="E27" i="11"/>
  <c r="G27" i="11"/>
  <c r="G41" i="11" s="1"/>
  <c r="G42" i="11" s="1"/>
  <c r="F29" i="7" s="1"/>
  <c r="H27" i="11"/>
  <c r="I27" i="11"/>
  <c r="L27" i="11"/>
  <c r="Q25" i="32"/>
  <c r="M27" i="11"/>
  <c r="R25" i="32"/>
  <c r="C28" i="11"/>
  <c r="D28" i="11"/>
  <c r="E28" i="11"/>
  <c r="F28" i="11"/>
  <c r="J28" i="11" s="1"/>
  <c r="G28" i="11"/>
  <c r="H28" i="11"/>
  <c r="I28" i="11"/>
  <c r="L28" i="11"/>
  <c r="Q26" i="32"/>
  <c r="M28" i="11"/>
  <c r="R26" i="32" s="1"/>
  <c r="D29" i="11"/>
  <c r="E29" i="11"/>
  <c r="F29" i="11"/>
  <c r="L29" i="11"/>
  <c r="Q27" i="32"/>
  <c r="D30" i="11"/>
  <c r="E30" i="11"/>
  <c r="F30" i="11"/>
  <c r="H30" i="11"/>
  <c r="M30" i="11"/>
  <c r="R28" i="32"/>
  <c r="C31" i="11"/>
  <c r="E31" i="11"/>
  <c r="F31" i="11"/>
  <c r="G31" i="11"/>
  <c r="L31" i="11"/>
  <c r="Q29" i="32" s="1"/>
  <c r="C32" i="11"/>
  <c r="D32" i="11"/>
  <c r="F32" i="11"/>
  <c r="G32" i="11"/>
  <c r="H32" i="11"/>
  <c r="L32" i="11"/>
  <c r="Q30" i="32"/>
  <c r="M32" i="11"/>
  <c r="R30" i="32" s="1"/>
  <c r="D33" i="11"/>
  <c r="E33" i="11"/>
  <c r="J33" i="11" s="1"/>
  <c r="G33" i="11"/>
  <c r="H33" i="11"/>
  <c r="I33" i="11"/>
  <c r="M33" i="11"/>
  <c r="R31" i="32" s="1"/>
  <c r="D34" i="11"/>
  <c r="E34" i="11"/>
  <c r="F34" i="11"/>
  <c r="J34" i="11" s="1"/>
  <c r="H34" i="11"/>
  <c r="I34" i="11"/>
  <c r="L34" i="11"/>
  <c r="Q32" i="32" s="1"/>
  <c r="M34" i="11"/>
  <c r="R32" i="32"/>
  <c r="E35" i="11"/>
  <c r="F35" i="11"/>
  <c r="G35" i="11"/>
  <c r="I35" i="11"/>
  <c r="L35" i="11"/>
  <c r="Q33" i="32"/>
  <c r="C36" i="11"/>
  <c r="D36" i="11"/>
  <c r="E36" i="11"/>
  <c r="J36" i="11" s="1"/>
  <c r="F36" i="11"/>
  <c r="G36" i="11"/>
  <c r="L36" i="11"/>
  <c r="Q34" i="32"/>
  <c r="C37" i="11"/>
  <c r="D37" i="11"/>
  <c r="G37" i="11"/>
  <c r="H37" i="11"/>
  <c r="L37" i="11"/>
  <c r="Q35" i="32"/>
  <c r="M37" i="11"/>
  <c r="R35" i="32" s="1"/>
  <c r="D38" i="11"/>
  <c r="K38" i="11" s="1"/>
  <c r="P36" i="32" s="1"/>
  <c r="N36" i="32" s="1"/>
  <c r="E38" i="11"/>
  <c r="J38" i="11" s="1"/>
  <c r="H38" i="11"/>
  <c r="I38" i="11"/>
  <c r="M38" i="11"/>
  <c r="R36" i="32"/>
  <c r="E39" i="11"/>
  <c r="F39" i="11"/>
  <c r="J39" i="11" s="1"/>
  <c r="I39" i="11"/>
  <c r="L39" i="11"/>
  <c r="Q37" i="32" s="1"/>
  <c r="C40" i="11"/>
  <c r="F40" i="11"/>
  <c r="G40" i="11"/>
  <c r="A45" i="11"/>
  <c r="C45" i="11"/>
  <c r="D45" i="11"/>
  <c r="E45" i="11"/>
  <c r="F45" i="11"/>
  <c r="F65" i="11" s="1"/>
  <c r="J12" i="22" s="1"/>
  <c r="G45" i="11"/>
  <c r="G65" i="11" s="1"/>
  <c r="K12" i="22" s="1"/>
  <c r="H45" i="11"/>
  <c r="I45" i="11"/>
  <c r="L45" i="11"/>
  <c r="M45" i="11"/>
  <c r="Q6" i="33" s="1"/>
  <c r="A46" i="11"/>
  <c r="J46" i="11"/>
  <c r="A47" i="11"/>
  <c r="J47" i="11"/>
  <c r="K47" i="11"/>
  <c r="O8" i="33" s="1"/>
  <c r="N8" i="33" s="1"/>
  <c r="L6" i="33" s="1"/>
  <c r="A48" i="11"/>
  <c r="J48" i="11"/>
  <c r="K48" i="11" s="1"/>
  <c r="O9" i="33" s="1"/>
  <c r="N9" i="33" s="1"/>
  <c r="A49" i="11"/>
  <c r="C49" i="11"/>
  <c r="D49" i="11"/>
  <c r="E49" i="11"/>
  <c r="E65" i="11" s="1"/>
  <c r="F49" i="11"/>
  <c r="G49" i="11"/>
  <c r="H49" i="11"/>
  <c r="I49" i="11"/>
  <c r="L49" i="11"/>
  <c r="P10" i="33" s="1"/>
  <c r="M49" i="11"/>
  <c r="Q10" i="33" s="1"/>
  <c r="A50" i="11"/>
  <c r="J50" i="11"/>
  <c r="K50" i="11" s="1"/>
  <c r="A51" i="11"/>
  <c r="J51" i="11"/>
  <c r="K51" i="11" s="1"/>
  <c r="O12" i="33" s="1"/>
  <c r="N12" i="33" s="1"/>
  <c r="A52" i="11"/>
  <c r="J52" i="11"/>
  <c r="K52" i="11" s="1"/>
  <c r="O13" i="33" s="1"/>
  <c r="N13" i="33" s="1"/>
  <c r="A53" i="11"/>
  <c r="J53" i="11"/>
  <c r="K53" i="11" s="1"/>
  <c r="O14" i="33" s="1"/>
  <c r="N14" i="33" s="1"/>
  <c r="A54" i="11"/>
  <c r="J54" i="11"/>
  <c r="K54" i="11"/>
  <c r="O15" i="33" s="1"/>
  <c r="N15" i="33" s="1"/>
  <c r="A55" i="11"/>
  <c r="C55" i="11"/>
  <c r="D55" i="11"/>
  <c r="D65" i="11" s="1"/>
  <c r="E55" i="11"/>
  <c r="F55" i="11"/>
  <c r="G55" i="11"/>
  <c r="H55" i="11"/>
  <c r="I55" i="11"/>
  <c r="L55" i="11"/>
  <c r="P16" i="33"/>
  <c r="M55" i="11"/>
  <c r="Q16" i="33" s="1"/>
  <c r="A56" i="11"/>
  <c r="J56" i="11"/>
  <c r="K56" i="11" s="1"/>
  <c r="O17" i="33" s="1"/>
  <c r="N17" i="33" s="1"/>
  <c r="A57" i="11"/>
  <c r="J57" i="11"/>
  <c r="K57" i="11" s="1"/>
  <c r="O18" i="33" s="1"/>
  <c r="N18" i="33" s="1"/>
  <c r="A58" i="11"/>
  <c r="J58" i="11"/>
  <c r="K58" i="11" s="1"/>
  <c r="O19" i="33" s="1"/>
  <c r="N19" i="33" s="1"/>
  <c r="A59" i="11"/>
  <c r="C59" i="11"/>
  <c r="D59" i="11"/>
  <c r="E59" i="11"/>
  <c r="F59" i="11"/>
  <c r="G59" i="11"/>
  <c r="H59" i="11"/>
  <c r="I59" i="11"/>
  <c r="L59" i="11"/>
  <c r="P20" i="33" s="1"/>
  <c r="M59" i="11"/>
  <c r="M65" i="11" s="1"/>
  <c r="J9" i="20" s="1"/>
  <c r="K13" i="22" s="1"/>
  <c r="A60" i="11"/>
  <c r="J60" i="11"/>
  <c r="K60" i="11" s="1"/>
  <c r="O21" i="33" s="1"/>
  <c r="N21" i="33" s="1"/>
  <c r="A61" i="11"/>
  <c r="J61" i="11"/>
  <c r="K61" i="11" s="1"/>
  <c r="O22" i="33" s="1"/>
  <c r="N22" i="33" s="1"/>
  <c r="A62" i="11"/>
  <c r="J62" i="11"/>
  <c r="K62" i="11" s="1"/>
  <c r="O23" i="33" s="1"/>
  <c r="N23" i="33" s="1"/>
  <c r="A63" i="11"/>
  <c r="J63" i="11"/>
  <c r="K63" i="11" s="1"/>
  <c r="O24" i="33" s="1"/>
  <c r="N24" i="33" s="1"/>
  <c r="A64" i="11"/>
  <c r="J64" i="11"/>
  <c r="K64" i="11" s="1"/>
  <c r="O25" i="33" s="1"/>
  <c r="N25" i="33" s="1"/>
  <c r="J68" i="11"/>
  <c r="K68" i="11" s="1"/>
  <c r="J70" i="11"/>
  <c r="K70" i="11"/>
  <c r="J71" i="11"/>
  <c r="K71" i="11" s="1"/>
  <c r="C72" i="11"/>
  <c r="C76" i="11" s="1"/>
  <c r="D72" i="11"/>
  <c r="D76" i="11" s="1"/>
  <c r="E72" i="11"/>
  <c r="E76" i="11"/>
  <c r="G72" i="11"/>
  <c r="G76" i="11" s="1"/>
  <c r="H72" i="11"/>
  <c r="H76" i="11" s="1"/>
  <c r="I72" i="11"/>
  <c r="L72" i="11"/>
  <c r="M72" i="11"/>
  <c r="M76" i="11" s="1"/>
  <c r="J73" i="11"/>
  <c r="K73" i="11" s="1"/>
  <c r="J75" i="11"/>
  <c r="K75" i="11" s="1"/>
  <c r="A77" i="11"/>
  <c r="A2" i="10"/>
  <c r="B2" i="10"/>
  <c r="C3" i="10"/>
  <c r="D3" i="10"/>
  <c r="E3" i="10"/>
  <c r="F3" i="10"/>
  <c r="G3" i="10"/>
  <c r="H3" i="10"/>
  <c r="I3" i="10"/>
  <c r="J3" i="10"/>
  <c r="K3" i="10"/>
  <c r="L3" i="10"/>
  <c r="M3" i="10"/>
  <c r="D7" i="10"/>
  <c r="H7" i="10"/>
  <c r="G7" i="7" s="1"/>
  <c r="J8" i="10"/>
  <c r="K8" i="10" s="1"/>
  <c r="P7" i="30" s="1"/>
  <c r="N7" i="30" s="1"/>
  <c r="O7" i="30" s="1"/>
  <c r="C9" i="10"/>
  <c r="I9" i="10"/>
  <c r="M9" i="10"/>
  <c r="H10" i="10"/>
  <c r="I10" i="10"/>
  <c r="C11" i="10"/>
  <c r="E11" i="10"/>
  <c r="I11" i="10"/>
  <c r="M11" i="10"/>
  <c r="R10" i="30"/>
  <c r="C12" i="10"/>
  <c r="G12" i="10"/>
  <c r="H12" i="10"/>
  <c r="J13" i="10"/>
  <c r="K13" i="10"/>
  <c r="P12" i="30"/>
  <c r="N12" i="30" s="1"/>
  <c r="O12" i="30" s="1"/>
  <c r="J14" i="10"/>
  <c r="K14" i="10"/>
  <c r="P13" i="30" s="1"/>
  <c r="N13" i="30" s="1"/>
  <c r="O13" i="30" s="1"/>
  <c r="J15" i="10"/>
  <c r="K15" i="10" s="1"/>
  <c r="P14" i="30" s="1"/>
  <c r="N14" i="30" s="1"/>
  <c r="O14" i="30" s="1"/>
  <c r="J16" i="10"/>
  <c r="K16" i="10"/>
  <c r="P15" i="30" s="1"/>
  <c r="N15" i="30" s="1"/>
  <c r="O15" i="30" s="1"/>
  <c r="J17" i="10"/>
  <c r="K17" i="10"/>
  <c r="P16" i="30"/>
  <c r="N16" i="30" s="1"/>
  <c r="O16" i="30" s="1"/>
  <c r="J18" i="10"/>
  <c r="K18" i="10"/>
  <c r="P17" i="30" s="1"/>
  <c r="N17" i="30" s="1"/>
  <c r="O17" i="30" s="1"/>
  <c r="J19" i="10"/>
  <c r="K19" i="10" s="1"/>
  <c r="P18" i="30" s="1"/>
  <c r="N18" i="30" s="1"/>
  <c r="O18" i="30" s="1"/>
  <c r="J20" i="10"/>
  <c r="K20" i="10"/>
  <c r="P19" i="30"/>
  <c r="N19" i="30" s="1"/>
  <c r="O19" i="30" s="1"/>
  <c r="J21" i="10"/>
  <c r="K21" i="10" s="1"/>
  <c r="J23" i="10"/>
  <c r="K23" i="10" s="1"/>
  <c r="P22" i="30" s="1"/>
  <c r="N22" i="30" s="1"/>
  <c r="O22" i="30" s="1"/>
  <c r="D27" i="10"/>
  <c r="C13" i="7"/>
  <c r="H27" i="10"/>
  <c r="G13" i="7" s="1"/>
  <c r="H38" i="10"/>
  <c r="G19" i="7" s="1"/>
  <c r="G20" i="7" s="1"/>
  <c r="J28" i="10"/>
  <c r="K28" i="10" s="1"/>
  <c r="P27" i="30" s="1"/>
  <c r="N27" i="30" s="1"/>
  <c r="O27" i="30" s="1"/>
  <c r="J29" i="10"/>
  <c r="K29" i="10"/>
  <c r="P28" i="30" s="1"/>
  <c r="N28" i="30" s="1"/>
  <c r="O28" i="30" s="1"/>
  <c r="C30" i="10"/>
  <c r="C70" i="15" s="1"/>
  <c r="B56" i="7" s="1"/>
  <c r="D30" i="10"/>
  <c r="D70" i="15"/>
  <c r="L30" i="10"/>
  <c r="Q29" i="30"/>
  <c r="J31" i="10"/>
  <c r="K31" i="10" s="1"/>
  <c r="P30" i="30" s="1"/>
  <c r="N30" i="30" s="1"/>
  <c r="O30" i="30" s="1"/>
  <c r="D32" i="10"/>
  <c r="G8" i="20" s="1"/>
  <c r="E32" i="10"/>
  <c r="F32" i="10"/>
  <c r="E17" i="7" s="1"/>
  <c r="M32" i="10"/>
  <c r="L17" i="7" s="1"/>
  <c r="J8" i="20"/>
  <c r="J33" i="10"/>
  <c r="K33" i="10" s="1"/>
  <c r="P32" i="30" s="1"/>
  <c r="N32" i="30" s="1"/>
  <c r="O32" i="30" s="1"/>
  <c r="J35" i="10"/>
  <c r="K35" i="10" s="1"/>
  <c r="P34" i="30" s="1"/>
  <c r="N34" i="30" s="1"/>
  <c r="O34" i="30" s="1"/>
  <c r="L36" i="10"/>
  <c r="Q35" i="30" s="1"/>
  <c r="J37" i="10"/>
  <c r="K37" i="10"/>
  <c r="P36" i="30"/>
  <c r="N36" i="30"/>
  <c r="O36" i="30" s="1"/>
  <c r="J41" i="10"/>
  <c r="K41" i="10" s="1"/>
  <c r="P40" i="30" s="1"/>
  <c r="N40" i="30" s="1"/>
  <c r="J42" i="10"/>
  <c r="K42" i="10"/>
  <c r="P41" i="30"/>
  <c r="N41" i="30" s="1"/>
  <c r="J43" i="10"/>
  <c r="K43" i="10"/>
  <c r="P42" i="30"/>
  <c r="N42" i="30" s="1"/>
  <c r="J45" i="10"/>
  <c r="K45" i="10"/>
  <c r="J47" i="10"/>
  <c r="K47" i="10" s="1"/>
  <c r="J49" i="10"/>
  <c r="K49" i="10"/>
  <c r="A51" i="10"/>
  <c r="A2" i="47"/>
  <c r="B2" i="47"/>
  <c r="C3" i="47"/>
  <c r="D3" i="47"/>
  <c r="E3" i="47"/>
  <c r="F3" i="47"/>
  <c r="G3" i="47"/>
  <c r="H3" i="47"/>
  <c r="I3" i="47"/>
  <c r="J3" i="47"/>
  <c r="K3" i="47"/>
  <c r="L3" i="47"/>
  <c r="M3" i="47"/>
  <c r="C7" i="47"/>
  <c r="D7" i="47"/>
  <c r="K7" i="47" s="1"/>
  <c r="E7" i="47"/>
  <c r="J7" i="47" s="1"/>
  <c r="F7" i="47"/>
  <c r="G7" i="47"/>
  <c r="G172" i="47" s="1"/>
  <c r="H7" i="47"/>
  <c r="I7" i="47"/>
  <c r="L7" i="47"/>
  <c r="M7" i="47"/>
  <c r="J8" i="47"/>
  <c r="K8" i="47"/>
  <c r="J9" i="47"/>
  <c r="K9" i="47"/>
  <c r="J10" i="47"/>
  <c r="K10" i="47" s="1"/>
  <c r="J11" i="47"/>
  <c r="K11" i="47"/>
  <c r="A12" i="47"/>
  <c r="J12" i="47"/>
  <c r="K12" i="47"/>
  <c r="A13" i="47"/>
  <c r="J13" i="47"/>
  <c r="K13" i="47"/>
  <c r="A14" i="47"/>
  <c r="J14" i="47"/>
  <c r="K14" i="47" s="1"/>
  <c r="A15" i="47"/>
  <c r="J15" i="47"/>
  <c r="K15" i="47"/>
  <c r="A16" i="47"/>
  <c r="J16" i="47"/>
  <c r="K16" i="47"/>
  <c r="A17" i="47"/>
  <c r="J17" i="47"/>
  <c r="K17" i="47"/>
  <c r="C18" i="47"/>
  <c r="D18" i="47"/>
  <c r="D172" i="47" s="1"/>
  <c r="E18" i="47"/>
  <c r="F18" i="47"/>
  <c r="J18" i="47" s="1"/>
  <c r="G18" i="47"/>
  <c r="H18" i="47"/>
  <c r="I18" i="47"/>
  <c r="L18" i="47"/>
  <c r="M18" i="47"/>
  <c r="J19" i="47"/>
  <c r="K19" i="47"/>
  <c r="J20" i="47"/>
  <c r="K20" i="47"/>
  <c r="J21" i="47"/>
  <c r="K21" i="47"/>
  <c r="J22" i="47"/>
  <c r="K22" i="47" s="1"/>
  <c r="A23" i="47"/>
  <c r="J23" i="47"/>
  <c r="K23" i="47"/>
  <c r="A24" i="47"/>
  <c r="J24" i="47"/>
  <c r="K24" i="47"/>
  <c r="A25" i="47"/>
  <c r="J25" i="47"/>
  <c r="K25" i="47"/>
  <c r="A26" i="47"/>
  <c r="J26" i="47"/>
  <c r="K26" i="47" s="1"/>
  <c r="A27" i="47"/>
  <c r="J27" i="47"/>
  <c r="K27" i="47"/>
  <c r="A28" i="47"/>
  <c r="J28" i="47"/>
  <c r="K28" i="47"/>
  <c r="C29" i="47"/>
  <c r="D29" i="47"/>
  <c r="E29" i="47"/>
  <c r="F29" i="47"/>
  <c r="G29" i="47"/>
  <c r="H29" i="47"/>
  <c r="J29" i="47" s="1"/>
  <c r="K29" i="47" s="1"/>
  <c r="I29" i="47"/>
  <c r="L29" i="47"/>
  <c r="M29" i="47"/>
  <c r="M9" i="8" s="1"/>
  <c r="A30" i="47"/>
  <c r="J30" i="47"/>
  <c r="K30" i="47" s="1"/>
  <c r="A31" i="47"/>
  <c r="J31" i="47"/>
  <c r="K31" i="47"/>
  <c r="A32" i="47"/>
  <c r="A200" i="47" s="1"/>
  <c r="J32" i="47"/>
  <c r="K32" i="47"/>
  <c r="A33" i="47"/>
  <c r="J33" i="47"/>
  <c r="K33" i="47"/>
  <c r="A34" i="47"/>
  <c r="J34" i="47"/>
  <c r="K34" i="47" s="1"/>
  <c r="A35" i="47"/>
  <c r="J35" i="47"/>
  <c r="K35" i="47"/>
  <c r="A36" i="47"/>
  <c r="J36" i="47"/>
  <c r="K36" i="47"/>
  <c r="A37" i="47"/>
  <c r="J37" i="47"/>
  <c r="K37" i="47"/>
  <c r="A38" i="47"/>
  <c r="J38" i="47"/>
  <c r="K38" i="47" s="1"/>
  <c r="A39" i="47"/>
  <c r="J39" i="47"/>
  <c r="K39" i="47"/>
  <c r="C40" i="47"/>
  <c r="D40" i="47"/>
  <c r="E40" i="47"/>
  <c r="F40" i="47"/>
  <c r="G40" i="47"/>
  <c r="H40" i="47"/>
  <c r="I40" i="47"/>
  <c r="L40" i="47"/>
  <c r="M40" i="47"/>
  <c r="J41" i="47"/>
  <c r="K41" i="47"/>
  <c r="J42" i="47"/>
  <c r="K42" i="47" s="1"/>
  <c r="J43" i="47"/>
  <c r="K43" i="47"/>
  <c r="J44" i="47"/>
  <c r="K44" i="47"/>
  <c r="J45" i="47"/>
  <c r="K45" i="47"/>
  <c r="J46" i="47"/>
  <c r="K46" i="47" s="1"/>
  <c r="J47" i="47"/>
  <c r="K47" i="47"/>
  <c r="J48" i="47"/>
  <c r="K48" i="47"/>
  <c r="J49" i="47"/>
  <c r="K49" i="47"/>
  <c r="J50" i="47"/>
  <c r="K50" i="47" s="1"/>
  <c r="C51" i="47"/>
  <c r="C11" i="8" s="1"/>
  <c r="D51" i="47"/>
  <c r="E51" i="47"/>
  <c r="F51" i="47"/>
  <c r="G51" i="47"/>
  <c r="G11" i="8" s="1"/>
  <c r="H51" i="47"/>
  <c r="I51" i="47"/>
  <c r="L51" i="47"/>
  <c r="M51" i="47"/>
  <c r="J52" i="47"/>
  <c r="K52" i="47" s="1"/>
  <c r="J53" i="47"/>
  <c r="K53" i="47"/>
  <c r="J54" i="47"/>
  <c r="K54" i="47" s="1"/>
  <c r="J55" i="47"/>
  <c r="K55" i="47"/>
  <c r="J56" i="47"/>
  <c r="K56" i="47"/>
  <c r="J57" i="47"/>
  <c r="K57" i="47"/>
  <c r="J58" i="47"/>
  <c r="K58" i="47" s="1"/>
  <c r="J59" i="47"/>
  <c r="K59" i="47"/>
  <c r="J60" i="47"/>
  <c r="K60" i="47"/>
  <c r="J61" i="47"/>
  <c r="K61" i="47"/>
  <c r="C62" i="47"/>
  <c r="D62" i="47"/>
  <c r="D12" i="8" s="1"/>
  <c r="E62" i="47"/>
  <c r="F62" i="47"/>
  <c r="F12" i="8" s="1"/>
  <c r="G62" i="47"/>
  <c r="H62" i="47"/>
  <c r="I62" i="47"/>
  <c r="L62" i="47"/>
  <c r="L12" i="8" s="1"/>
  <c r="Q11" i="28" s="1"/>
  <c r="M62" i="47"/>
  <c r="J63" i="47"/>
  <c r="K63" i="47"/>
  <c r="J64" i="47"/>
  <c r="K64" i="47"/>
  <c r="J65" i="47"/>
  <c r="K65" i="47"/>
  <c r="J66" i="47"/>
  <c r="K66" i="47" s="1"/>
  <c r="J67" i="47"/>
  <c r="K67" i="47"/>
  <c r="J68" i="47"/>
  <c r="K68" i="47"/>
  <c r="J69" i="47"/>
  <c r="K69" i="47"/>
  <c r="J70" i="47"/>
  <c r="K70" i="47" s="1"/>
  <c r="J71" i="47"/>
  <c r="K71" i="47"/>
  <c r="J72" i="47"/>
  <c r="K72" i="47"/>
  <c r="C73" i="47"/>
  <c r="C13" i="8" s="1"/>
  <c r="D73" i="47"/>
  <c r="E73" i="47"/>
  <c r="F73" i="47"/>
  <c r="G73" i="47"/>
  <c r="H73" i="47"/>
  <c r="J73" i="47" s="1"/>
  <c r="I73" i="47"/>
  <c r="L73" i="47"/>
  <c r="M73" i="47"/>
  <c r="J74" i="47"/>
  <c r="K74" i="47" s="1"/>
  <c r="J75" i="47"/>
  <c r="K75" i="47"/>
  <c r="J76" i="47"/>
  <c r="K76" i="47"/>
  <c r="J77" i="47"/>
  <c r="K77" i="47"/>
  <c r="J78" i="47"/>
  <c r="K78" i="47" s="1"/>
  <c r="J79" i="47"/>
  <c r="K79" i="47"/>
  <c r="J80" i="47"/>
  <c r="K80" i="47"/>
  <c r="J81" i="47"/>
  <c r="K81" i="47"/>
  <c r="J82" i="47"/>
  <c r="K82" i="47" s="1"/>
  <c r="J83" i="47"/>
  <c r="K83" i="47"/>
  <c r="C84" i="47"/>
  <c r="D84" i="47"/>
  <c r="E84" i="47"/>
  <c r="F84" i="47"/>
  <c r="G84" i="47"/>
  <c r="H84" i="47"/>
  <c r="J84" i="47" s="1"/>
  <c r="I84" i="47"/>
  <c r="L84" i="47"/>
  <c r="M84" i="47"/>
  <c r="M14" i="8" s="1"/>
  <c r="R13" i="28" s="1"/>
  <c r="J85" i="47"/>
  <c r="K85" i="47"/>
  <c r="J86" i="47"/>
  <c r="K86" i="47" s="1"/>
  <c r="J87" i="47"/>
  <c r="K87" i="47"/>
  <c r="J88" i="47"/>
  <c r="K88" i="47"/>
  <c r="J89" i="47"/>
  <c r="K89" i="47"/>
  <c r="J90" i="47"/>
  <c r="K90" i="47" s="1"/>
  <c r="J91" i="47"/>
  <c r="K91" i="47"/>
  <c r="J92" i="47"/>
  <c r="K92" i="47"/>
  <c r="J93" i="47"/>
  <c r="K93" i="47"/>
  <c r="J94" i="47"/>
  <c r="K94" i="47" s="1"/>
  <c r="C95" i="47"/>
  <c r="D95" i="47"/>
  <c r="E95" i="47"/>
  <c r="F95" i="47"/>
  <c r="G95" i="47"/>
  <c r="G15" i="8" s="1"/>
  <c r="H95" i="47"/>
  <c r="H15" i="8" s="1"/>
  <c r="I95" i="47"/>
  <c r="I15" i="8" s="1"/>
  <c r="L95" i="47"/>
  <c r="M95" i="47"/>
  <c r="M15" i="8" s="1"/>
  <c r="R14" i="28" s="1"/>
  <c r="J96" i="47"/>
  <c r="K96" i="47"/>
  <c r="J97" i="47"/>
  <c r="K97" i="47" s="1"/>
  <c r="J98" i="47"/>
  <c r="K98" i="47" s="1"/>
  <c r="J99" i="47"/>
  <c r="K99" i="47" s="1"/>
  <c r="J100" i="47"/>
  <c r="K100" i="47"/>
  <c r="A101" i="47"/>
  <c r="J101" i="47"/>
  <c r="K101" i="47"/>
  <c r="A102" i="47"/>
  <c r="J102" i="47"/>
  <c r="K102" i="47" s="1"/>
  <c r="A103" i="47"/>
  <c r="J103" i="47"/>
  <c r="K103" i="47"/>
  <c r="A104" i="47"/>
  <c r="J104" i="47"/>
  <c r="K104" i="47"/>
  <c r="A105" i="47"/>
  <c r="J105" i="47"/>
  <c r="K105" i="47"/>
  <c r="C106" i="47"/>
  <c r="D106" i="47"/>
  <c r="D16" i="8" s="1"/>
  <c r="E106" i="47"/>
  <c r="F106" i="47"/>
  <c r="G106" i="47"/>
  <c r="H106" i="47"/>
  <c r="H16" i="8" s="1"/>
  <c r="I106" i="47"/>
  <c r="L106" i="47"/>
  <c r="M106" i="47"/>
  <c r="J107" i="47"/>
  <c r="K107" i="47"/>
  <c r="A108" i="47"/>
  <c r="J108" i="47"/>
  <c r="K108" i="47"/>
  <c r="A109" i="47"/>
  <c r="J109" i="47"/>
  <c r="K109" i="47" s="1"/>
  <c r="A110" i="47"/>
  <c r="J110" i="47"/>
  <c r="K110" i="47" s="1"/>
  <c r="A111" i="47"/>
  <c r="J111" i="47"/>
  <c r="K111" i="47"/>
  <c r="A112" i="47"/>
  <c r="J112" i="47"/>
  <c r="K112" i="47"/>
  <c r="A113" i="47"/>
  <c r="J113" i="47"/>
  <c r="K113" i="47"/>
  <c r="A114" i="47"/>
  <c r="J114" i="47"/>
  <c r="K114" i="47" s="1"/>
  <c r="A115" i="47"/>
  <c r="J115" i="47"/>
  <c r="K115" i="47"/>
  <c r="A116" i="47"/>
  <c r="J116" i="47"/>
  <c r="K116" i="47"/>
  <c r="C117" i="47"/>
  <c r="D117" i="47"/>
  <c r="E117" i="47"/>
  <c r="F117" i="47"/>
  <c r="G117" i="47"/>
  <c r="H117" i="47"/>
  <c r="J117" i="47" s="1"/>
  <c r="K117" i="47" s="1"/>
  <c r="I117" i="47"/>
  <c r="I17" i="8" s="1"/>
  <c r="L117" i="47"/>
  <c r="M117" i="47"/>
  <c r="A118" i="47"/>
  <c r="J118" i="47"/>
  <c r="K118" i="47" s="1"/>
  <c r="A119" i="47"/>
  <c r="J119" i="47"/>
  <c r="K119" i="47"/>
  <c r="A120" i="47"/>
  <c r="J120" i="47"/>
  <c r="K120" i="47"/>
  <c r="A121" i="47"/>
  <c r="J121" i="47"/>
  <c r="K121" i="47"/>
  <c r="A122" i="47"/>
  <c r="J122" i="47"/>
  <c r="K122" i="47" s="1"/>
  <c r="A123" i="47"/>
  <c r="J123" i="47"/>
  <c r="K123" i="47"/>
  <c r="A124" i="47"/>
  <c r="J124" i="47"/>
  <c r="K124" i="47"/>
  <c r="A125" i="47"/>
  <c r="J125" i="47"/>
  <c r="K125" i="47"/>
  <c r="A126" i="47"/>
  <c r="J126" i="47"/>
  <c r="K126" i="47" s="1"/>
  <c r="A127" i="47"/>
  <c r="J127" i="47"/>
  <c r="K127" i="47"/>
  <c r="C128" i="47"/>
  <c r="D128" i="47"/>
  <c r="E128" i="47"/>
  <c r="F128" i="47"/>
  <c r="J128" i="47" s="1"/>
  <c r="G128" i="47"/>
  <c r="H128" i="47"/>
  <c r="I128" i="47"/>
  <c r="L128" i="47"/>
  <c r="L18" i="8" s="1"/>
  <c r="M128" i="47"/>
  <c r="A129" i="47"/>
  <c r="J129" i="47"/>
  <c r="K129" i="47"/>
  <c r="A130" i="47"/>
  <c r="J130" i="47"/>
  <c r="K130" i="47"/>
  <c r="A131" i="47"/>
  <c r="J131" i="47"/>
  <c r="K131" i="47"/>
  <c r="A132" i="47"/>
  <c r="J132" i="47"/>
  <c r="K132" i="47" s="1"/>
  <c r="A133" i="47"/>
  <c r="J133" i="47"/>
  <c r="K133" i="47"/>
  <c r="A134" i="47"/>
  <c r="J134" i="47"/>
  <c r="K134" i="47"/>
  <c r="A135" i="47"/>
  <c r="J135" i="47"/>
  <c r="K135" i="47"/>
  <c r="A136" i="47"/>
  <c r="J136" i="47"/>
  <c r="K136" i="47" s="1"/>
  <c r="A137" i="47"/>
  <c r="J137" i="47"/>
  <c r="K137" i="47"/>
  <c r="A138" i="47"/>
  <c r="J138" i="47"/>
  <c r="K138" i="47"/>
  <c r="C139" i="47"/>
  <c r="C19" i="8" s="1"/>
  <c r="D139" i="47"/>
  <c r="E139" i="47"/>
  <c r="J139" i="47"/>
  <c r="K139" i="47"/>
  <c r="F139" i="47"/>
  <c r="G139" i="47"/>
  <c r="H139" i="47"/>
  <c r="I139" i="47"/>
  <c r="L139" i="47"/>
  <c r="M139" i="47"/>
  <c r="A140" i="47"/>
  <c r="J140" i="47"/>
  <c r="K140" i="47"/>
  <c r="A141" i="47"/>
  <c r="A309" i="47" s="1"/>
  <c r="J141" i="47"/>
  <c r="K141" i="47"/>
  <c r="A142" i="47"/>
  <c r="J142" i="47"/>
  <c r="K142" i="47" s="1"/>
  <c r="A143" i="47"/>
  <c r="J143" i="47"/>
  <c r="K143" i="47"/>
  <c r="A144" i="47"/>
  <c r="J144" i="47"/>
  <c r="K144" i="47"/>
  <c r="A145" i="47"/>
  <c r="A313" i="47" s="1"/>
  <c r="J145" i="47"/>
  <c r="K145" i="47"/>
  <c r="A146" i="47"/>
  <c r="J146" i="47"/>
  <c r="K146" i="47" s="1"/>
  <c r="A147" i="47"/>
  <c r="J147" i="47"/>
  <c r="K147" i="47"/>
  <c r="A148" i="47"/>
  <c r="J148" i="47"/>
  <c r="K148" i="47"/>
  <c r="A149" i="47"/>
  <c r="A317" i="47" s="1"/>
  <c r="J149" i="47"/>
  <c r="K149" i="47"/>
  <c r="C150" i="47"/>
  <c r="D150" i="47"/>
  <c r="D20" i="8" s="1"/>
  <c r="E150" i="47"/>
  <c r="F150" i="47"/>
  <c r="J150" i="47" s="1"/>
  <c r="G150" i="47"/>
  <c r="H150" i="47"/>
  <c r="I150" i="47"/>
  <c r="L150" i="47"/>
  <c r="M150" i="47"/>
  <c r="A151" i="47"/>
  <c r="J151" i="47"/>
  <c r="K151" i="47"/>
  <c r="A152" i="47"/>
  <c r="J152" i="47"/>
  <c r="K152" i="47"/>
  <c r="A153" i="47"/>
  <c r="A321" i="47" s="1"/>
  <c r="J153" i="47"/>
  <c r="K153" i="47"/>
  <c r="A154" i="47"/>
  <c r="J154" i="47"/>
  <c r="K154" i="47" s="1"/>
  <c r="A155" i="47"/>
  <c r="J155" i="47"/>
  <c r="K155" i="47"/>
  <c r="A156" i="47"/>
  <c r="J156" i="47"/>
  <c r="K156" i="47"/>
  <c r="A157" i="47"/>
  <c r="A325" i="47" s="1"/>
  <c r="J157" i="47"/>
  <c r="K157" i="47"/>
  <c r="A158" i="47"/>
  <c r="J158" i="47"/>
  <c r="K158" i="47" s="1"/>
  <c r="A159" i="47"/>
  <c r="J159" i="47"/>
  <c r="K159" i="47"/>
  <c r="A160" i="47"/>
  <c r="J160" i="47"/>
  <c r="K160" i="47"/>
  <c r="C161" i="47"/>
  <c r="D161" i="47"/>
  <c r="E161" i="47"/>
  <c r="F161" i="47"/>
  <c r="G161" i="47"/>
  <c r="H161" i="47"/>
  <c r="J161" i="47" s="1"/>
  <c r="K161" i="47" s="1"/>
  <c r="I161" i="47"/>
  <c r="L161" i="47"/>
  <c r="M161" i="47"/>
  <c r="A162" i="47"/>
  <c r="J162" i="47"/>
  <c r="K162" i="47" s="1"/>
  <c r="A163" i="47"/>
  <c r="J163" i="47"/>
  <c r="K163" i="47"/>
  <c r="A164" i="47"/>
  <c r="J164" i="47"/>
  <c r="K164" i="47"/>
  <c r="A165" i="47"/>
  <c r="A333" i="47" s="1"/>
  <c r="J165" i="47"/>
  <c r="K165" i="47"/>
  <c r="A166" i="47"/>
  <c r="J166" i="47"/>
  <c r="K166" i="47" s="1"/>
  <c r="A167" i="47"/>
  <c r="J167" i="47"/>
  <c r="K167" i="47"/>
  <c r="A168" i="47"/>
  <c r="J168" i="47"/>
  <c r="K168" i="47"/>
  <c r="A169" i="47"/>
  <c r="A337" i="47" s="1"/>
  <c r="J169" i="47"/>
  <c r="K169" i="47"/>
  <c r="A170" i="47"/>
  <c r="J170" i="47"/>
  <c r="K170" i="47" s="1"/>
  <c r="A171" i="47"/>
  <c r="J171" i="47"/>
  <c r="K171" i="47"/>
  <c r="C175" i="47"/>
  <c r="D175" i="47"/>
  <c r="E175" i="47"/>
  <c r="F175" i="47"/>
  <c r="G175" i="47"/>
  <c r="H175" i="47"/>
  <c r="I175" i="47"/>
  <c r="L175" i="47"/>
  <c r="L25" i="8" s="1"/>
  <c r="M175" i="47"/>
  <c r="A176" i="47"/>
  <c r="J176" i="47"/>
  <c r="K176" i="47" s="1"/>
  <c r="A177" i="47"/>
  <c r="J177" i="47"/>
  <c r="K177" i="47" s="1"/>
  <c r="A178" i="47"/>
  <c r="J178" i="47"/>
  <c r="K178" i="47"/>
  <c r="A179" i="47"/>
  <c r="J179" i="47"/>
  <c r="K179" i="47"/>
  <c r="A180" i="47"/>
  <c r="J180" i="47"/>
  <c r="K180" i="47"/>
  <c r="A181" i="47"/>
  <c r="J181" i="47"/>
  <c r="K181" i="47" s="1"/>
  <c r="A182" i="47"/>
  <c r="J182" i="47"/>
  <c r="K182" i="47"/>
  <c r="A183" i="47"/>
  <c r="J183" i="47"/>
  <c r="K183" i="47"/>
  <c r="A184" i="47"/>
  <c r="J184" i="47"/>
  <c r="K184" i="47" s="1"/>
  <c r="A185" i="47"/>
  <c r="J185" i="47"/>
  <c r="K185" i="47" s="1"/>
  <c r="C186" i="47"/>
  <c r="D186" i="47"/>
  <c r="E186" i="47"/>
  <c r="F186" i="47"/>
  <c r="G186" i="47"/>
  <c r="H186" i="47"/>
  <c r="H26" i="8" s="1"/>
  <c r="I186" i="47"/>
  <c r="L186" i="47"/>
  <c r="M186" i="47"/>
  <c r="A187" i="47"/>
  <c r="J187" i="47"/>
  <c r="K187" i="47" s="1"/>
  <c r="A188" i="47"/>
  <c r="J188" i="47"/>
  <c r="K188" i="47" s="1"/>
  <c r="A189" i="47"/>
  <c r="J189" i="47"/>
  <c r="K189" i="47" s="1"/>
  <c r="A190" i="47"/>
  <c r="J190" i="47"/>
  <c r="K190" i="47" s="1"/>
  <c r="A191" i="47"/>
  <c r="J191" i="47"/>
  <c r="K191" i="47"/>
  <c r="A192" i="47"/>
  <c r="J192" i="47"/>
  <c r="K192" i="47" s="1"/>
  <c r="A193" i="47"/>
  <c r="J193" i="47"/>
  <c r="K193" i="47" s="1"/>
  <c r="A194" i="47"/>
  <c r="J194" i="47"/>
  <c r="K194" i="47" s="1"/>
  <c r="A195" i="47"/>
  <c r="J195" i="47"/>
  <c r="K195" i="47"/>
  <c r="A196" i="47"/>
  <c r="J196" i="47"/>
  <c r="K196" i="47" s="1"/>
  <c r="C197" i="47"/>
  <c r="D197" i="47"/>
  <c r="E197" i="47"/>
  <c r="F197" i="47"/>
  <c r="G197" i="47"/>
  <c r="H197" i="47"/>
  <c r="I197" i="47"/>
  <c r="I27" i="8" s="1"/>
  <c r="L197" i="47"/>
  <c r="L27" i="8" s="1"/>
  <c r="Q26" i="28" s="1"/>
  <c r="M197" i="47"/>
  <c r="M27" i="8" s="1"/>
  <c r="R26" i="28" s="1"/>
  <c r="A198" i="47"/>
  <c r="J198" i="47"/>
  <c r="K198" i="47"/>
  <c r="A199" i="47"/>
  <c r="J199" i="47"/>
  <c r="K199" i="47"/>
  <c r="J200" i="47"/>
  <c r="K200" i="47"/>
  <c r="A201" i="47"/>
  <c r="J201" i="47"/>
  <c r="K201" i="47" s="1"/>
  <c r="A202" i="47"/>
  <c r="J202" i="47"/>
  <c r="K202" i="47"/>
  <c r="A203" i="47"/>
  <c r="J203" i="47"/>
  <c r="K203" i="47"/>
  <c r="A204" i="47"/>
  <c r="J204" i="47"/>
  <c r="K204" i="47" s="1"/>
  <c r="A205" i="47"/>
  <c r="J205" i="47"/>
  <c r="K205" i="47" s="1"/>
  <c r="A206" i="47"/>
  <c r="J206" i="47"/>
  <c r="K206" i="47"/>
  <c r="A207" i="47"/>
  <c r="J207" i="47"/>
  <c r="K207" i="47"/>
  <c r="C208" i="47"/>
  <c r="D208" i="47"/>
  <c r="E208" i="47"/>
  <c r="F208" i="47"/>
  <c r="G208" i="47"/>
  <c r="H208" i="47"/>
  <c r="I208" i="47"/>
  <c r="J208" i="47"/>
  <c r="L208" i="47"/>
  <c r="M208" i="47"/>
  <c r="A209" i="47"/>
  <c r="J209" i="47"/>
  <c r="K209" i="47" s="1"/>
  <c r="A210" i="47"/>
  <c r="J210" i="47"/>
  <c r="K210" i="47"/>
  <c r="A211" i="47"/>
  <c r="J211" i="47"/>
  <c r="K211" i="47"/>
  <c r="A212" i="47"/>
  <c r="J212" i="47"/>
  <c r="K212" i="47" s="1"/>
  <c r="A213" i="47"/>
  <c r="J213" i="47"/>
  <c r="K213" i="47" s="1"/>
  <c r="A214" i="47"/>
  <c r="J214" i="47"/>
  <c r="K214" i="47"/>
  <c r="A215" i="47"/>
  <c r="J215" i="47"/>
  <c r="K215" i="47" s="1"/>
  <c r="A216" i="47"/>
  <c r="J216" i="47"/>
  <c r="K216" i="47"/>
  <c r="A217" i="47"/>
  <c r="J217" i="47"/>
  <c r="K217" i="47" s="1"/>
  <c r="A218" i="47"/>
  <c r="J218" i="47"/>
  <c r="K218" i="47" s="1"/>
  <c r="C219" i="47"/>
  <c r="D219" i="47"/>
  <c r="E219" i="47"/>
  <c r="F219" i="47"/>
  <c r="G219" i="47"/>
  <c r="H219" i="47"/>
  <c r="I219" i="47"/>
  <c r="L219" i="47"/>
  <c r="M219" i="47"/>
  <c r="A220" i="47"/>
  <c r="J220" i="47"/>
  <c r="K220" i="47"/>
  <c r="A221" i="47"/>
  <c r="J221" i="47"/>
  <c r="K221" i="47" s="1"/>
  <c r="A222" i="47"/>
  <c r="J222" i="47"/>
  <c r="K222" i="47" s="1"/>
  <c r="A223" i="47"/>
  <c r="J223" i="47"/>
  <c r="K223" i="47"/>
  <c r="A224" i="47"/>
  <c r="J224" i="47"/>
  <c r="K224" i="47" s="1"/>
  <c r="A225" i="47"/>
  <c r="J225" i="47"/>
  <c r="K225" i="47" s="1"/>
  <c r="A226" i="47"/>
  <c r="J226" i="47"/>
  <c r="K226" i="47"/>
  <c r="A227" i="47"/>
  <c r="J227" i="47"/>
  <c r="K227" i="47"/>
  <c r="A228" i="47"/>
  <c r="J228" i="47"/>
  <c r="K228" i="47"/>
  <c r="A229" i="47"/>
  <c r="J229" i="47"/>
  <c r="K229" i="47" s="1"/>
  <c r="C230" i="47"/>
  <c r="D230" i="47"/>
  <c r="E230" i="47"/>
  <c r="F230" i="47"/>
  <c r="G230" i="47"/>
  <c r="H230" i="47"/>
  <c r="H30" i="8" s="1"/>
  <c r="I230" i="47"/>
  <c r="L230" i="47"/>
  <c r="M230" i="47"/>
  <c r="A231" i="47"/>
  <c r="J231" i="47"/>
  <c r="K231" i="47"/>
  <c r="A232" i="47"/>
  <c r="J232" i="47"/>
  <c r="K232" i="47" s="1"/>
  <c r="A233" i="47"/>
  <c r="J233" i="47"/>
  <c r="K233" i="47" s="1"/>
  <c r="A234" i="47"/>
  <c r="J234" i="47"/>
  <c r="K234" i="47" s="1"/>
  <c r="A235" i="47"/>
  <c r="J235" i="47"/>
  <c r="K235" i="47"/>
  <c r="A236" i="47"/>
  <c r="J236" i="47"/>
  <c r="K236" i="47" s="1"/>
  <c r="A237" i="47"/>
  <c r="J237" i="47"/>
  <c r="K237" i="47" s="1"/>
  <c r="A238" i="47"/>
  <c r="J238" i="47"/>
  <c r="K238" i="47" s="1"/>
  <c r="A239" i="47"/>
  <c r="J239" i="47"/>
  <c r="K239" i="47"/>
  <c r="A240" i="47"/>
  <c r="J240" i="47"/>
  <c r="K240" i="47" s="1"/>
  <c r="C241" i="47"/>
  <c r="D241" i="47"/>
  <c r="E241" i="47"/>
  <c r="F241" i="47"/>
  <c r="G241" i="47"/>
  <c r="H241" i="47"/>
  <c r="I241" i="47"/>
  <c r="I31" i="8" s="1"/>
  <c r="L241" i="47"/>
  <c r="L31" i="8" s="1"/>
  <c r="Q30" i="28" s="1"/>
  <c r="M241" i="47"/>
  <c r="A242" i="47"/>
  <c r="J242" i="47"/>
  <c r="K242" i="47" s="1"/>
  <c r="A243" i="47"/>
  <c r="J243" i="47"/>
  <c r="K243" i="47"/>
  <c r="A244" i="47"/>
  <c r="J244" i="47"/>
  <c r="K244" i="47"/>
  <c r="A245" i="47"/>
  <c r="J245" i="47"/>
  <c r="K245" i="47" s="1"/>
  <c r="A246" i="47"/>
  <c r="J246" i="47"/>
  <c r="K246" i="47"/>
  <c r="A247" i="47"/>
  <c r="J247" i="47"/>
  <c r="K247" i="47"/>
  <c r="A248" i="47"/>
  <c r="J248" i="47"/>
  <c r="K248" i="47" s="1"/>
  <c r="A249" i="47"/>
  <c r="J249" i="47"/>
  <c r="K249" i="47" s="1"/>
  <c r="A250" i="47"/>
  <c r="J250" i="47"/>
  <c r="K250" i="47"/>
  <c r="A251" i="47"/>
  <c r="J251" i="47"/>
  <c r="K251" i="47" s="1"/>
  <c r="C252" i="47"/>
  <c r="D252" i="47"/>
  <c r="E252" i="47"/>
  <c r="F252" i="47"/>
  <c r="G252" i="47"/>
  <c r="H252" i="47"/>
  <c r="I252" i="47"/>
  <c r="J252" i="47"/>
  <c r="L252" i="47"/>
  <c r="M252" i="47"/>
  <c r="A253" i="47"/>
  <c r="J253" i="47"/>
  <c r="K253" i="47" s="1"/>
  <c r="A254" i="47"/>
  <c r="J254" i="47"/>
  <c r="K254" i="47"/>
  <c r="A255" i="47"/>
  <c r="J255" i="47"/>
  <c r="K255" i="47" s="1"/>
  <c r="A256" i="47"/>
  <c r="J256" i="47"/>
  <c r="K256" i="47"/>
  <c r="A257" i="47"/>
  <c r="J257" i="47"/>
  <c r="K257" i="47" s="1"/>
  <c r="A258" i="47"/>
  <c r="J258" i="47"/>
  <c r="K258" i="47" s="1"/>
  <c r="A259" i="47"/>
  <c r="J259" i="47"/>
  <c r="K259" i="47"/>
  <c r="A260" i="47"/>
  <c r="J260" i="47"/>
  <c r="K260" i="47"/>
  <c r="A261" i="47"/>
  <c r="J261" i="47"/>
  <c r="K261" i="47" s="1"/>
  <c r="A262" i="47"/>
  <c r="J262" i="47"/>
  <c r="K262" i="47"/>
  <c r="C263" i="47"/>
  <c r="D263" i="47"/>
  <c r="E263" i="47"/>
  <c r="F263" i="47"/>
  <c r="G263" i="47"/>
  <c r="H263" i="47"/>
  <c r="I263" i="47"/>
  <c r="L263" i="47"/>
  <c r="M263" i="47"/>
  <c r="M33" i="8" s="1"/>
  <c r="R32" i="28" s="1"/>
  <c r="A264" i="47"/>
  <c r="J264" i="47"/>
  <c r="K264" i="47"/>
  <c r="A265" i="47"/>
  <c r="J265" i="47"/>
  <c r="K265" i="47" s="1"/>
  <c r="A266" i="47"/>
  <c r="J266" i="47"/>
  <c r="K266" i="47"/>
  <c r="A267" i="47"/>
  <c r="J267" i="47"/>
  <c r="K267" i="47" s="1"/>
  <c r="A268" i="47"/>
  <c r="J268" i="47"/>
  <c r="K268" i="47"/>
  <c r="A269" i="47"/>
  <c r="J269" i="47"/>
  <c r="K269" i="47" s="1"/>
  <c r="A270" i="47"/>
  <c r="J270" i="47"/>
  <c r="K270" i="47"/>
  <c r="A271" i="47"/>
  <c r="J271" i="47"/>
  <c r="K271" i="47"/>
  <c r="A272" i="47"/>
  <c r="J272" i="47"/>
  <c r="K272" i="47"/>
  <c r="A273" i="47"/>
  <c r="J273" i="47"/>
  <c r="K273" i="47" s="1"/>
  <c r="C274" i="47"/>
  <c r="D274" i="47"/>
  <c r="E274" i="47"/>
  <c r="F274" i="47"/>
  <c r="G274" i="47"/>
  <c r="G34" i="8" s="1"/>
  <c r="H274" i="47"/>
  <c r="H34" i="8" s="1"/>
  <c r="I274" i="47"/>
  <c r="L274" i="47"/>
  <c r="L34" i="8" s="1"/>
  <c r="Q33" i="28" s="1"/>
  <c r="M274" i="47"/>
  <c r="A275" i="47"/>
  <c r="J275" i="47"/>
  <c r="K275" i="47" s="1"/>
  <c r="A276" i="47"/>
  <c r="J276" i="47"/>
  <c r="K276" i="47"/>
  <c r="A277" i="47"/>
  <c r="J277" i="47"/>
  <c r="K277" i="47" s="1"/>
  <c r="A278" i="47"/>
  <c r="J278" i="47"/>
  <c r="K278" i="47"/>
  <c r="A279" i="47"/>
  <c r="J279" i="47"/>
  <c r="K279" i="47"/>
  <c r="A280" i="47"/>
  <c r="J280" i="47"/>
  <c r="K280" i="47"/>
  <c r="A281" i="47"/>
  <c r="J281" i="47"/>
  <c r="K281" i="47" s="1"/>
  <c r="A282" i="47"/>
  <c r="J282" i="47"/>
  <c r="K282" i="47"/>
  <c r="A283" i="47"/>
  <c r="J283" i="47"/>
  <c r="K283" i="47"/>
  <c r="A284" i="47"/>
  <c r="J284" i="47"/>
  <c r="K284" i="47"/>
  <c r="C285" i="47"/>
  <c r="C35" i="8" s="1"/>
  <c r="D285" i="47"/>
  <c r="E285" i="47"/>
  <c r="F285" i="47"/>
  <c r="G285" i="47"/>
  <c r="H285" i="47"/>
  <c r="I285" i="47"/>
  <c r="L285" i="47"/>
  <c r="L35" i="8" s="1"/>
  <c r="Q34" i="28" s="1"/>
  <c r="M285" i="47"/>
  <c r="A286" i="47"/>
  <c r="J286" i="47"/>
  <c r="K286" i="47"/>
  <c r="A287" i="47"/>
  <c r="J287" i="47"/>
  <c r="K287" i="47"/>
  <c r="A288" i="47"/>
  <c r="J288" i="47"/>
  <c r="K288" i="47"/>
  <c r="A289" i="47"/>
  <c r="J289" i="47"/>
  <c r="K289" i="47" s="1"/>
  <c r="A290" i="47"/>
  <c r="J290" i="47"/>
  <c r="K290" i="47"/>
  <c r="A291" i="47"/>
  <c r="J291" i="47"/>
  <c r="K291" i="47"/>
  <c r="A292" i="47"/>
  <c r="J292" i="47"/>
  <c r="K292" i="47"/>
  <c r="A293" i="47"/>
  <c r="J293" i="47"/>
  <c r="K293" i="47" s="1"/>
  <c r="A294" i="47"/>
  <c r="J294" i="47"/>
  <c r="K294" i="47"/>
  <c r="A295" i="47"/>
  <c r="J295" i="47"/>
  <c r="K295" i="47"/>
  <c r="C296" i="47"/>
  <c r="D296" i="47"/>
  <c r="E296" i="47"/>
  <c r="F296" i="47"/>
  <c r="G296" i="47"/>
  <c r="G36" i="8" s="1"/>
  <c r="H296" i="47"/>
  <c r="H36" i="8" s="1"/>
  <c r="I296" i="47"/>
  <c r="L296" i="47"/>
  <c r="M296" i="47"/>
  <c r="A297" i="47"/>
  <c r="J297" i="47"/>
  <c r="K297" i="47"/>
  <c r="A298" i="47"/>
  <c r="J298" i="47"/>
  <c r="K298" i="47"/>
  <c r="A299" i="47"/>
  <c r="J299" i="47"/>
  <c r="K299" i="47" s="1"/>
  <c r="A300" i="47"/>
  <c r="J300" i="47"/>
  <c r="K300" i="47"/>
  <c r="A301" i="47"/>
  <c r="J301" i="47"/>
  <c r="K301" i="47"/>
  <c r="A302" i="47"/>
  <c r="J302" i="47"/>
  <c r="K302" i="47"/>
  <c r="A303" i="47"/>
  <c r="J303" i="47"/>
  <c r="K303" i="47" s="1"/>
  <c r="A304" i="47"/>
  <c r="J304" i="47"/>
  <c r="K304" i="47"/>
  <c r="A305" i="47"/>
  <c r="J305" i="47"/>
  <c r="K305" i="47"/>
  <c r="A306" i="47"/>
  <c r="J306" i="47"/>
  <c r="K306" i="47"/>
  <c r="C307" i="47"/>
  <c r="C37" i="8" s="1"/>
  <c r="D307" i="47"/>
  <c r="E307" i="47"/>
  <c r="F307" i="47"/>
  <c r="G307" i="47"/>
  <c r="H307" i="47"/>
  <c r="I307" i="47"/>
  <c r="L307" i="47"/>
  <c r="L37" i="8" s="1"/>
  <c r="Q36" i="28" s="1"/>
  <c r="M307" i="47"/>
  <c r="A308" i="47"/>
  <c r="J308" i="47"/>
  <c r="K308" i="47"/>
  <c r="J309" i="47"/>
  <c r="K309" i="47"/>
  <c r="A310" i="47"/>
  <c r="J310" i="47"/>
  <c r="K310" i="47"/>
  <c r="A311" i="47"/>
  <c r="J311" i="47"/>
  <c r="K311" i="47" s="1"/>
  <c r="A312" i="47"/>
  <c r="J312" i="47"/>
  <c r="K312" i="47"/>
  <c r="J313" i="47"/>
  <c r="K313" i="47"/>
  <c r="A314" i="47"/>
  <c r="J314" i="47"/>
  <c r="K314" i="47"/>
  <c r="A315" i="47"/>
  <c r="J315" i="47"/>
  <c r="K315" i="47" s="1"/>
  <c r="A316" i="47"/>
  <c r="J316" i="47"/>
  <c r="K316" i="47"/>
  <c r="J317" i="47"/>
  <c r="K317" i="47"/>
  <c r="C318" i="47"/>
  <c r="D318" i="47"/>
  <c r="E318" i="47"/>
  <c r="F318" i="47"/>
  <c r="G318" i="47"/>
  <c r="H318" i="47"/>
  <c r="I318" i="47"/>
  <c r="J318" i="47"/>
  <c r="L318" i="47"/>
  <c r="M318" i="47"/>
  <c r="A319" i="47"/>
  <c r="J319" i="47"/>
  <c r="K319" i="47" s="1"/>
  <c r="A320" i="47"/>
  <c r="J320" i="47"/>
  <c r="K320" i="47"/>
  <c r="J321" i="47"/>
  <c r="K321" i="47"/>
  <c r="A322" i="47"/>
  <c r="J322" i="47"/>
  <c r="K322" i="47"/>
  <c r="A323" i="47"/>
  <c r="J323" i="47"/>
  <c r="K323" i="47" s="1"/>
  <c r="A324" i="47"/>
  <c r="J324" i="47"/>
  <c r="K324" i="47"/>
  <c r="J325" i="47"/>
  <c r="K325" i="47"/>
  <c r="A326" i="47"/>
  <c r="J326" i="47"/>
  <c r="K326" i="47"/>
  <c r="A327" i="47"/>
  <c r="J327" i="47"/>
  <c r="K327" i="47" s="1"/>
  <c r="A328" i="47"/>
  <c r="J328" i="47"/>
  <c r="K328" i="47"/>
  <c r="C329" i="47"/>
  <c r="D329" i="47"/>
  <c r="E329" i="47"/>
  <c r="F329" i="47"/>
  <c r="G329" i="47"/>
  <c r="H329" i="47"/>
  <c r="H39" i="8" s="1"/>
  <c r="I329" i="47"/>
  <c r="L329" i="47"/>
  <c r="M329" i="47"/>
  <c r="A330" i="47"/>
  <c r="J330" i="47"/>
  <c r="K330" i="47"/>
  <c r="A331" i="47"/>
  <c r="J331" i="47"/>
  <c r="K331" i="47" s="1"/>
  <c r="A332" i="47"/>
  <c r="J332" i="47"/>
  <c r="K332" i="47"/>
  <c r="J333" i="47"/>
  <c r="K333" i="47"/>
  <c r="A334" i="47"/>
  <c r="J334" i="47"/>
  <c r="K334" i="47"/>
  <c r="A335" i="47"/>
  <c r="J335" i="47"/>
  <c r="K335" i="47" s="1"/>
  <c r="A336" i="47"/>
  <c r="J336" i="47"/>
  <c r="K336" i="47"/>
  <c r="J337" i="47"/>
  <c r="K337" i="47"/>
  <c r="A338" i="47"/>
  <c r="J338" i="47"/>
  <c r="K338" i="47"/>
  <c r="A339" i="47"/>
  <c r="J339" i="47"/>
  <c r="K339" i="47" s="1"/>
  <c r="E340" i="47"/>
  <c r="A342" i="47"/>
  <c r="A343" i="47"/>
  <c r="A2" i="8"/>
  <c r="B2" i="8"/>
  <c r="C3" i="8"/>
  <c r="D3" i="8"/>
  <c r="E3" i="8"/>
  <c r="F3" i="8"/>
  <c r="G3" i="8"/>
  <c r="H3" i="8"/>
  <c r="I3" i="8"/>
  <c r="J3" i="8"/>
  <c r="K3" i="8"/>
  <c r="L3" i="8"/>
  <c r="M3" i="8"/>
  <c r="C7" i="8"/>
  <c r="D7" i="8"/>
  <c r="E7" i="8"/>
  <c r="J7" i="8"/>
  <c r="F7" i="8"/>
  <c r="G7" i="8"/>
  <c r="H7" i="8"/>
  <c r="I7" i="8"/>
  <c r="L7" i="8"/>
  <c r="Q6" i="28"/>
  <c r="M7" i="8"/>
  <c r="R6" i="28"/>
  <c r="C8" i="8"/>
  <c r="D8" i="8"/>
  <c r="E8" i="8"/>
  <c r="F8" i="8"/>
  <c r="G8" i="8"/>
  <c r="H8" i="8"/>
  <c r="I8" i="8"/>
  <c r="L8" i="8"/>
  <c r="Q7" i="28"/>
  <c r="M8" i="8"/>
  <c r="R7" i="28"/>
  <c r="C9" i="8"/>
  <c r="D9" i="8"/>
  <c r="E9" i="8"/>
  <c r="J9" i="8"/>
  <c r="F9" i="8"/>
  <c r="G9" i="8"/>
  <c r="H9" i="8"/>
  <c r="I9" i="8"/>
  <c r="C10" i="8"/>
  <c r="D10" i="8"/>
  <c r="E10" i="8"/>
  <c r="F10" i="8"/>
  <c r="G10" i="8"/>
  <c r="H10" i="8"/>
  <c r="J10" i="8" s="1"/>
  <c r="I10" i="8"/>
  <c r="L10" i="8"/>
  <c r="Q9" i="28" s="1"/>
  <c r="M10" i="8"/>
  <c r="R9" i="28" s="1"/>
  <c r="D11" i="8"/>
  <c r="E11" i="8"/>
  <c r="F11" i="8"/>
  <c r="H11" i="8"/>
  <c r="I11" i="8"/>
  <c r="L11" i="8"/>
  <c r="Q10" i="28"/>
  <c r="M11" i="8"/>
  <c r="R10" i="28" s="1"/>
  <c r="C12" i="8"/>
  <c r="E12" i="8"/>
  <c r="G12" i="8"/>
  <c r="H12" i="8"/>
  <c r="J12" i="8" s="1"/>
  <c r="I12" i="8"/>
  <c r="M12" i="8"/>
  <c r="R11" i="28" s="1"/>
  <c r="D13" i="8"/>
  <c r="E13" i="8"/>
  <c r="F13" i="8"/>
  <c r="G13" i="8"/>
  <c r="H13" i="8"/>
  <c r="J13" i="8" s="1"/>
  <c r="I13" i="8"/>
  <c r="L13" i="8"/>
  <c r="Q12" i="28" s="1"/>
  <c r="M13" i="8"/>
  <c r="R12" i="28" s="1"/>
  <c r="C14" i="8"/>
  <c r="D14" i="8"/>
  <c r="E14" i="8"/>
  <c r="J14" i="8"/>
  <c r="F14" i="8"/>
  <c r="G14" i="8"/>
  <c r="H14" i="8"/>
  <c r="I14" i="8"/>
  <c r="L14" i="8"/>
  <c r="Q13" i="28"/>
  <c r="C15" i="8"/>
  <c r="D15" i="8"/>
  <c r="E15" i="8"/>
  <c r="F15" i="8"/>
  <c r="L15" i="8"/>
  <c r="Q14" i="28"/>
  <c r="C16" i="8"/>
  <c r="E16" i="8"/>
  <c r="F16" i="8"/>
  <c r="G16" i="8"/>
  <c r="I16" i="8"/>
  <c r="L16" i="8"/>
  <c r="Q15" i="28" s="1"/>
  <c r="M16" i="8"/>
  <c r="R15" i="28"/>
  <c r="C17" i="8"/>
  <c r="D17" i="8"/>
  <c r="E17" i="8"/>
  <c r="F17" i="8"/>
  <c r="J17" i="8" s="1"/>
  <c r="K17" i="8" s="1"/>
  <c r="P16" i="28" s="1"/>
  <c r="N16" i="28" s="1"/>
  <c r="G17" i="8"/>
  <c r="G22" i="8" s="1"/>
  <c r="H17" i="8"/>
  <c r="L17" i="8"/>
  <c r="Q16" i="28"/>
  <c r="M17" i="8"/>
  <c r="R16" i="28"/>
  <c r="C18" i="8"/>
  <c r="D18" i="8"/>
  <c r="D22" i="8" s="1"/>
  <c r="E18" i="8"/>
  <c r="G18" i="8"/>
  <c r="H18" i="8"/>
  <c r="I18" i="8"/>
  <c r="Q17" i="28"/>
  <c r="M18" i="8"/>
  <c r="R17" i="28" s="1"/>
  <c r="D19" i="8"/>
  <c r="E19" i="8"/>
  <c r="F19" i="8"/>
  <c r="G19" i="8"/>
  <c r="H19" i="8"/>
  <c r="I19" i="8"/>
  <c r="L19" i="8"/>
  <c r="Q18" i="28"/>
  <c r="M19" i="8"/>
  <c r="R18" i="28"/>
  <c r="C20" i="8"/>
  <c r="E20" i="8"/>
  <c r="F20" i="8"/>
  <c r="G20" i="8"/>
  <c r="H20" i="8"/>
  <c r="I20" i="8"/>
  <c r="J20" i="8" s="1"/>
  <c r="L20" i="8"/>
  <c r="Q19" i="28" s="1"/>
  <c r="M20" i="8"/>
  <c r="R19" i="28"/>
  <c r="C21" i="8"/>
  <c r="D21" i="8"/>
  <c r="E21" i="8"/>
  <c r="J21" i="8"/>
  <c r="K21" i="8"/>
  <c r="P20" i="28" s="1"/>
  <c r="N20" i="28" s="1"/>
  <c r="O20" i="28" s="1"/>
  <c r="F21" i="8"/>
  <c r="G21" i="8"/>
  <c r="H21" i="8"/>
  <c r="I21" i="8"/>
  <c r="L21" i="8"/>
  <c r="Q20" i="28" s="1"/>
  <c r="M21" i="8"/>
  <c r="R20" i="28"/>
  <c r="C25" i="8"/>
  <c r="D25" i="8"/>
  <c r="E25" i="8"/>
  <c r="F25" i="8"/>
  <c r="G25" i="8"/>
  <c r="H25" i="8"/>
  <c r="M25" i="8"/>
  <c r="R24" i="28" s="1"/>
  <c r="C26" i="8"/>
  <c r="D26" i="8"/>
  <c r="E26" i="8"/>
  <c r="F26" i="8"/>
  <c r="G26" i="8"/>
  <c r="I26" i="8"/>
  <c r="L26" i="8"/>
  <c r="Q25" i="28" s="1"/>
  <c r="M26" i="8"/>
  <c r="R25" i="28" s="1"/>
  <c r="C27" i="8"/>
  <c r="E27" i="8"/>
  <c r="F27" i="8"/>
  <c r="H27" i="8"/>
  <c r="D28" i="8"/>
  <c r="E28" i="8"/>
  <c r="F28" i="8"/>
  <c r="G28" i="8"/>
  <c r="H28" i="8"/>
  <c r="I28" i="8"/>
  <c r="J28" i="8" s="1"/>
  <c r="L28" i="8"/>
  <c r="Q27" i="28" s="1"/>
  <c r="M28" i="8"/>
  <c r="R27" i="28" s="1"/>
  <c r="C29" i="8"/>
  <c r="D29" i="8"/>
  <c r="E29" i="8"/>
  <c r="F29" i="8"/>
  <c r="G29" i="8"/>
  <c r="H29" i="8"/>
  <c r="I29" i="8"/>
  <c r="J29" i="8" s="1"/>
  <c r="L29" i="8"/>
  <c r="Q28" i="28"/>
  <c r="M29" i="8"/>
  <c r="R28" i="28"/>
  <c r="C30" i="8"/>
  <c r="D30" i="8"/>
  <c r="E30" i="8"/>
  <c r="F30" i="8"/>
  <c r="J30" i="8" s="1"/>
  <c r="K30" i="8" s="1"/>
  <c r="P29" i="28" s="1"/>
  <c r="N29" i="28" s="1"/>
  <c r="O29" i="28" s="1"/>
  <c r="G30" i="8"/>
  <c r="I30" i="8"/>
  <c r="L30" i="8"/>
  <c r="Q29" i="28" s="1"/>
  <c r="M30" i="8"/>
  <c r="R29" i="28"/>
  <c r="C31" i="8"/>
  <c r="E31" i="8"/>
  <c r="F31" i="8"/>
  <c r="H31" i="8"/>
  <c r="M31" i="8"/>
  <c r="R30" i="28" s="1"/>
  <c r="D32" i="8"/>
  <c r="E32" i="8"/>
  <c r="F32" i="8"/>
  <c r="G32" i="8"/>
  <c r="H32" i="8"/>
  <c r="I32" i="8"/>
  <c r="J32" i="8"/>
  <c r="L32" i="8"/>
  <c r="Q31" i="28" s="1"/>
  <c r="M32" i="8"/>
  <c r="R31" i="28"/>
  <c r="C33" i="8"/>
  <c r="D33" i="8"/>
  <c r="E33" i="8"/>
  <c r="F33" i="8"/>
  <c r="G33" i="8"/>
  <c r="H33" i="8"/>
  <c r="I33" i="8"/>
  <c r="J33" i="8" s="1"/>
  <c r="L33" i="8"/>
  <c r="Q32" i="28"/>
  <c r="C34" i="8"/>
  <c r="D34" i="8"/>
  <c r="E34" i="8"/>
  <c r="F34" i="8"/>
  <c r="I34" i="8"/>
  <c r="J34" i="8"/>
  <c r="M34" i="8"/>
  <c r="R33" i="28" s="1"/>
  <c r="E35" i="8"/>
  <c r="F35" i="8"/>
  <c r="H35" i="8"/>
  <c r="I35" i="8"/>
  <c r="M35" i="8"/>
  <c r="R34" i="28"/>
  <c r="D36" i="8"/>
  <c r="E36" i="8"/>
  <c r="J36" i="8" s="1"/>
  <c r="F36" i="8"/>
  <c r="I36" i="8"/>
  <c r="L36" i="8"/>
  <c r="Q35" i="28"/>
  <c r="M36" i="8"/>
  <c r="R35" i="28"/>
  <c r="E37" i="8"/>
  <c r="F37" i="8"/>
  <c r="H37" i="8"/>
  <c r="I37" i="8"/>
  <c r="M37" i="8"/>
  <c r="R36" i="28"/>
  <c r="D38" i="8"/>
  <c r="E38" i="8"/>
  <c r="F38" i="8"/>
  <c r="G38" i="8"/>
  <c r="H38" i="8"/>
  <c r="I38" i="8"/>
  <c r="J38" i="8"/>
  <c r="L38" i="8"/>
  <c r="Q37" i="28"/>
  <c r="M38" i="8"/>
  <c r="R37" i="28"/>
  <c r="C39" i="8"/>
  <c r="D39" i="8"/>
  <c r="E39" i="8"/>
  <c r="F39" i="8"/>
  <c r="J39" i="8" s="1"/>
  <c r="K39" i="8" s="1"/>
  <c r="P38" i="28" s="1"/>
  <c r="N38" i="28" s="1"/>
  <c r="O38" i="28" s="1"/>
  <c r="G39" i="8"/>
  <c r="I39" i="8"/>
  <c r="L39" i="8"/>
  <c r="Q38" i="28" s="1"/>
  <c r="M39" i="8"/>
  <c r="R38" i="28" s="1"/>
  <c r="A41" i="8"/>
  <c r="A42" i="8"/>
  <c r="A2" i="46"/>
  <c r="B2" i="46"/>
  <c r="C3" i="46"/>
  <c r="D3" i="46"/>
  <c r="E3" i="46"/>
  <c r="F3" i="46"/>
  <c r="G3" i="46"/>
  <c r="H3" i="46"/>
  <c r="I3" i="46"/>
  <c r="J3" i="46"/>
  <c r="K3" i="46"/>
  <c r="L3" i="46"/>
  <c r="M3" i="46"/>
  <c r="E4" i="46"/>
  <c r="F4" i="46"/>
  <c r="G4" i="46"/>
  <c r="H4" i="46"/>
  <c r="I4" i="46" s="1"/>
  <c r="J4" i="46" s="1"/>
  <c r="K4" i="46" s="1"/>
  <c r="C8" i="46"/>
  <c r="D8" i="46"/>
  <c r="E8" i="46"/>
  <c r="F8" i="46"/>
  <c r="F7" i="46" s="1"/>
  <c r="G8" i="46"/>
  <c r="H8" i="46"/>
  <c r="I8" i="46"/>
  <c r="L8" i="46"/>
  <c r="M8" i="46"/>
  <c r="J9" i="46"/>
  <c r="K9" i="46"/>
  <c r="J10" i="46"/>
  <c r="K10" i="46" s="1"/>
  <c r="K8" i="46" s="1"/>
  <c r="J11" i="46"/>
  <c r="K11" i="46" s="1"/>
  <c r="C12" i="46"/>
  <c r="D12" i="46"/>
  <c r="D7" i="46" s="1"/>
  <c r="E12" i="46"/>
  <c r="E7" i="46"/>
  <c r="F12" i="46"/>
  <c r="G12" i="46"/>
  <c r="G7" i="46"/>
  <c r="H12" i="46"/>
  <c r="H7" i="46" s="1"/>
  <c r="H73" i="46" s="1"/>
  <c r="I12" i="46"/>
  <c r="I7" i="46" s="1"/>
  <c r="L12" i="46"/>
  <c r="L7" i="46" s="1"/>
  <c r="M12" i="46"/>
  <c r="J13" i="46"/>
  <c r="K13" i="46" s="1"/>
  <c r="J14" i="46"/>
  <c r="K14" i="46"/>
  <c r="J15" i="46"/>
  <c r="K15" i="46" s="1"/>
  <c r="J16" i="46"/>
  <c r="K16" i="46"/>
  <c r="C18" i="46"/>
  <c r="D18" i="46"/>
  <c r="E18" i="46"/>
  <c r="F18" i="46"/>
  <c r="G18" i="46"/>
  <c r="H18" i="46"/>
  <c r="I18" i="46"/>
  <c r="L18" i="46"/>
  <c r="M18" i="46"/>
  <c r="M12" i="9" s="1"/>
  <c r="J19" i="46"/>
  <c r="K19" i="46"/>
  <c r="J20" i="46"/>
  <c r="K20" i="46" s="1"/>
  <c r="J21" i="46"/>
  <c r="K21" i="46" s="1"/>
  <c r="J22" i="46"/>
  <c r="K22" i="46"/>
  <c r="J23" i="46"/>
  <c r="K23" i="46" s="1"/>
  <c r="J24" i="46"/>
  <c r="K24" i="46" s="1"/>
  <c r="J25" i="46"/>
  <c r="K25" i="46" s="1"/>
  <c r="J26" i="46"/>
  <c r="K26" i="46"/>
  <c r="J27" i="46"/>
  <c r="K27" i="46" s="1"/>
  <c r="C28" i="46"/>
  <c r="D28" i="46"/>
  <c r="D17" i="46"/>
  <c r="E28" i="46"/>
  <c r="F28" i="46"/>
  <c r="F17" i="46" s="1"/>
  <c r="G28" i="46"/>
  <c r="G17" i="46" s="1"/>
  <c r="H28" i="46"/>
  <c r="H17" i="46"/>
  <c r="I28" i="46"/>
  <c r="L28" i="46"/>
  <c r="M28" i="46"/>
  <c r="J29" i="46"/>
  <c r="K29" i="46" s="1"/>
  <c r="J30" i="46"/>
  <c r="K30" i="46" s="1"/>
  <c r="J31" i="46"/>
  <c r="K31" i="46" s="1"/>
  <c r="J32" i="46"/>
  <c r="K32" i="46" s="1"/>
  <c r="J33" i="46"/>
  <c r="K33" i="46" s="1"/>
  <c r="J34" i="46"/>
  <c r="K34" i="46" s="1"/>
  <c r="C35" i="46"/>
  <c r="D35" i="46"/>
  <c r="E35" i="46"/>
  <c r="E17" i="46" s="1"/>
  <c r="F35" i="46"/>
  <c r="G35" i="46"/>
  <c r="H35" i="46"/>
  <c r="I35" i="46"/>
  <c r="I17" i="46" s="1"/>
  <c r="L35" i="46"/>
  <c r="M35" i="46"/>
  <c r="J36" i="46"/>
  <c r="J35" i="46"/>
  <c r="K36" i="46"/>
  <c r="J37" i="46"/>
  <c r="K37" i="46"/>
  <c r="J38" i="46"/>
  <c r="K38" i="46"/>
  <c r="K35" i="46" s="1"/>
  <c r="C40" i="46"/>
  <c r="D40" i="46"/>
  <c r="D39" i="46" s="1"/>
  <c r="E40" i="46"/>
  <c r="E39" i="46" s="1"/>
  <c r="F40" i="46"/>
  <c r="G40" i="46"/>
  <c r="H40" i="46"/>
  <c r="I40" i="46"/>
  <c r="L40" i="46"/>
  <c r="M40" i="46"/>
  <c r="J41" i="46"/>
  <c r="K41" i="46" s="1"/>
  <c r="J40" i="46"/>
  <c r="J42" i="46"/>
  <c r="K42" i="46"/>
  <c r="J43" i="46"/>
  <c r="K43" i="46"/>
  <c r="C44" i="46"/>
  <c r="D44" i="46"/>
  <c r="E44" i="46"/>
  <c r="F44" i="46"/>
  <c r="F39" i="46"/>
  <c r="G44" i="46"/>
  <c r="H44" i="46"/>
  <c r="H39" i="46" s="1"/>
  <c r="I44" i="46"/>
  <c r="I19" i="9" s="1"/>
  <c r="L44" i="46"/>
  <c r="M44" i="46"/>
  <c r="J45" i="46"/>
  <c r="K45" i="46" s="1"/>
  <c r="J46" i="46"/>
  <c r="K46" i="46" s="1"/>
  <c r="J47" i="46"/>
  <c r="K47" i="46" s="1"/>
  <c r="J48" i="46"/>
  <c r="K48" i="46" s="1"/>
  <c r="J49" i="46"/>
  <c r="K49" i="46" s="1"/>
  <c r="D50" i="46"/>
  <c r="E50" i="46"/>
  <c r="F50" i="46"/>
  <c r="G50" i="46"/>
  <c r="G39" i="46" s="1"/>
  <c r="H50" i="46"/>
  <c r="I50" i="46"/>
  <c r="L50" i="46"/>
  <c r="L20" i="9" s="1"/>
  <c r="M50" i="46"/>
  <c r="J51" i="46"/>
  <c r="K51" i="46" s="1"/>
  <c r="K50" i="46" s="1"/>
  <c r="J50" i="46"/>
  <c r="J52" i="46"/>
  <c r="K52" i="46"/>
  <c r="J53" i="46"/>
  <c r="K53" i="46"/>
  <c r="C55" i="46"/>
  <c r="D55" i="46"/>
  <c r="E55" i="46"/>
  <c r="E54" i="46" s="1"/>
  <c r="F55" i="46"/>
  <c r="G55" i="46"/>
  <c r="H55" i="46"/>
  <c r="I55" i="46"/>
  <c r="I54" i="46" s="1"/>
  <c r="L55" i="46"/>
  <c r="M55" i="46"/>
  <c r="J56" i="46"/>
  <c r="J55" i="46"/>
  <c r="K56" i="46"/>
  <c r="K55" i="46" s="1"/>
  <c r="J57" i="46"/>
  <c r="K57" i="46"/>
  <c r="C58" i="46"/>
  <c r="D58" i="46"/>
  <c r="D54" i="46" s="1"/>
  <c r="E58" i="46"/>
  <c r="F58" i="46"/>
  <c r="G58" i="46"/>
  <c r="H58" i="46"/>
  <c r="H54" i="46" s="1"/>
  <c r="I58" i="46"/>
  <c r="L58" i="46"/>
  <c r="M58" i="46"/>
  <c r="J59" i="46"/>
  <c r="K59" i="46" s="1"/>
  <c r="J60" i="46"/>
  <c r="K60" i="46" s="1"/>
  <c r="C61" i="46"/>
  <c r="D61" i="46"/>
  <c r="E61" i="46"/>
  <c r="F61" i="46"/>
  <c r="G61" i="46"/>
  <c r="G54" i="46" s="1"/>
  <c r="H61" i="46"/>
  <c r="I61" i="46"/>
  <c r="L61" i="46"/>
  <c r="L24" i="9" s="1"/>
  <c r="M61" i="46"/>
  <c r="J62" i="46"/>
  <c r="J61" i="46"/>
  <c r="K62" i="46"/>
  <c r="J63" i="46"/>
  <c r="K63" i="46"/>
  <c r="J64" i="46"/>
  <c r="K64" i="46"/>
  <c r="K61" i="46" s="1"/>
  <c r="C65" i="46"/>
  <c r="D65" i="46"/>
  <c r="E65" i="46"/>
  <c r="F65" i="46"/>
  <c r="F54" i="46" s="1"/>
  <c r="G65" i="46"/>
  <c r="H65" i="46"/>
  <c r="I65" i="46"/>
  <c r="L65" i="46"/>
  <c r="L25" i="9" s="1"/>
  <c r="Q24" i="29" s="1"/>
  <c r="M65" i="46"/>
  <c r="J66" i="46"/>
  <c r="K66" i="46" s="1"/>
  <c r="K65" i="46" s="1"/>
  <c r="C67" i="46"/>
  <c r="D67" i="46"/>
  <c r="E67" i="46"/>
  <c r="F67" i="46"/>
  <c r="G67" i="46"/>
  <c r="H67" i="46"/>
  <c r="I67" i="46"/>
  <c r="L67" i="46"/>
  <c r="L26" i="9" s="1"/>
  <c r="Q25" i="29" s="1"/>
  <c r="M67" i="46"/>
  <c r="M26" i="9" s="1"/>
  <c r="R25" i="29" s="1"/>
  <c r="J68" i="46"/>
  <c r="J67" i="46" s="1"/>
  <c r="K68" i="46"/>
  <c r="J69" i="46"/>
  <c r="K69" i="46" s="1"/>
  <c r="J70" i="46"/>
  <c r="K70" i="46" s="1"/>
  <c r="J71" i="46"/>
  <c r="K71" i="46" s="1"/>
  <c r="J72" i="46"/>
  <c r="K72" i="46" s="1"/>
  <c r="A73" i="46"/>
  <c r="A76" i="46"/>
  <c r="A77" i="46"/>
  <c r="C77" i="46"/>
  <c r="D77" i="46"/>
  <c r="E77" i="46"/>
  <c r="E76" i="46"/>
  <c r="F77" i="46"/>
  <c r="G77" i="46"/>
  <c r="G76" i="46"/>
  <c r="H77" i="46"/>
  <c r="I77" i="46"/>
  <c r="L77" i="46"/>
  <c r="L31" i="9" s="1"/>
  <c r="Q30" i="29" s="1"/>
  <c r="M77" i="46"/>
  <c r="M76" i="46" s="1"/>
  <c r="A78" i="46"/>
  <c r="J78" i="46"/>
  <c r="J77" i="46" s="1"/>
  <c r="A79" i="46"/>
  <c r="J79" i="46"/>
  <c r="K79" i="46"/>
  <c r="A80" i="46"/>
  <c r="J80" i="46"/>
  <c r="K80" i="46" s="1"/>
  <c r="A81" i="46"/>
  <c r="C81" i="46"/>
  <c r="D81" i="46"/>
  <c r="D76" i="46" s="1"/>
  <c r="E81" i="46"/>
  <c r="F81" i="46"/>
  <c r="F76" i="46" s="1"/>
  <c r="G81" i="46"/>
  <c r="H81" i="46"/>
  <c r="H76" i="46" s="1"/>
  <c r="I81" i="46"/>
  <c r="L81" i="46"/>
  <c r="L33" i="9" s="1"/>
  <c r="Q32" i="29" s="1"/>
  <c r="M81" i="46"/>
  <c r="A82" i="46"/>
  <c r="J82" i="46"/>
  <c r="K82" i="46" s="1"/>
  <c r="A83" i="46"/>
  <c r="J83" i="46"/>
  <c r="K83" i="46" s="1"/>
  <c r="A84" i="46"/>
  <c r="J84" i="46"/>
  <c r="K84" i="46"/>
  <c r="A85" i="46"/>
  <c r="J85" i="46"/>
  <c r="K85" i="46" s="1"/>
  <c r="A86" i="46"/>
  <c r="A87" i="46"/>
  <c r="C87" i="46"/>
  <c r="D87" i="46"/>
  <c r="D86" i="46" s="1"/>
  <c r="E87" i="46"/>
  <c r="E86" i="46" s="1"/>
  <c r="F87" i="46"/>
  <c r="F86" i="46" s="1"/>
  <c r="G87" i="46"/>
  <c r="G86" i="46" s="1"/>
  <c r="H87" i="46"/>
  <c r="H86" i="46" s="1"/>
  <c r="I87" i="46"/>
  <c r="L87" i="46"/>
  <c r="M87" i="46"/>
  <c r="A88" i="46"/>
  <c r="J88" i="46"/>
  <c r="K88" i="46"/>
  <c r="A89" i="46"/>
  <c r="J89" i="46"/>
  <c r="K89" i="46" s="1"/>
  <c r="A90" i="46"/>
  <c r="J90" i="46"/>
  <c r="K90" i="46" s="1"/>
  <c r="A91" i="46"/>
  <c r="J91" i="46"/>
  <c r="K91" i="46" s="1"/>
  <c r="A92" i="46"/>
  <c r="J92" i="46"/>
  <c r="K92" i="46"/>
  <c r="A93" i="46"/>
  <c r="J93" i="46"/>
  <c r="K93" i="46" s="1"/>
  <c r="A94" i="46"/>
  <c r="J94" i="46"/>
  <c r="K94" i="46"/>
  <c r="A95" i="46"/>
  <c r="J95" i="46"/>
  <c r="K95" i="46" s="1"/>
  <c r="A96" i="46"/>
  <c r="J96" i="46"/>
  <c r="K96" i="46"/>
  <c r="A97" i="46"/>
  <c r="C97" i="46"/>
  <c r="D97" i="46"/>
  <c r="E97" i="46"/>
  <c r="F97" i="46"/>
  <c r="G97" i="46"/>
  <c r="H97" i="46"/>
  <c r="I97" i="46"/>
  <c r="L97" i="46"/>
  <c r="M97" i="46"/>
  <c r="A98" i="46"/>
  <c r="J98" i="46"/>
  <c r="A99" i="46"/>
  <c r="J99" i="46"/>
  <c r="K99" i="46"/>
  <c r="A100" i="46"/>
  <c r="J100" i="46"/>
  <c r="K100" i="46" s="1"/>
  <c r="A101" i="46"/>
  <c r="J101" i="46"/>
  <c r="K101" i="46"/>
  <c r="A102" i="46"/>
  <c r="J102" i="46"/>
  <c r="K102" i="46" s="1"/>
  <c r="A103" i="46"/>
  <c r="J103" i="46"/>
  <c r="K103" i="46"/>
  <c r="A104" i="46"/>
  <c r="C104" i="46"/>
  <c r="D104" i="46"/>
  <c r="E104" i="46"/>
  <c r="F104" i="46"/>
  <c r="G104" i="46"/>
  <c r="H104" i="46"/>
  <c r="I104" i="46"/>
  <c r="L104" i="46"/>
  <c r="L39" i="9" s="1"/>
  <c r="M104" i="46"/>
  <c r="A105" i="46"/>
  <c r="J105" i="46"/>
  <c r="J104" i="46" s="1"/>
  <c r="A106" i="46"/>
  <c r="J106" i="46"/>
  <c r="K106" i="46"/>
  <c r="A107" i="46"/>
  <c r="J107" i="46"/>
  <c r="K107" i="46" s="1"/>
  <c r="A108" i="46"/>
  <c r="A109" i="46"/>
  <c r="C109" i="46"/>
  <c r="D109" i="46"/>
  <c r="D108" i="46" s="1"/>
  <c r="E109" i="46"/>
  <c r="E108" i="46" s="1"/>
  <c r="F109" i="46"/>
  <c r="F108" i="46" s="1"/>
  <c r="G109" i="46"/>
  <c r="G108" i="46" s="1"/>
  <c r="H109" i="46"/>
  <c r="I109" i="46"/>
  <c r="L109" i="46"/>
  <c r="M109" i="46"/>
  <c r="A110" i="46"/>
  <c r="J110" i="46"/>
  <c r="K110" i="46" s="1"/>
  <c r="A111" i="46"/>
  <c r="J111" i="46"/>
  <c r="K111" i="46" s="1"/>
  <c r="A112" i="46"/>
  <c r="J112" i="46"/>
  <c r="K112" i="46"/>
  <c r="A113" i="46"/>
  <c r="C113" i="46"/>
  <c r="D113" i="46"/>
  <c r="E113" i="46"/>
  <c r="F113" i="46"/>
  <c r="G113" i="46"/>
  <c r="H113" i="46"/>
  <c r="I113" i="46"/>
  <c r="L113" i="46"/>
  <c r="L42" i="9" s="1"/>
  <c r="M113" i="46"/>
  <c r="A114" i="46"/>
  <c r="J114" i="46"/>
  <c r="A115" i="46"/>
  <c r="J115" i="46"/>
  <c r="K115" i="46" s="1"/>
  <c r="A116" i="46"/>
  <c r="J116" i="46"/>
  <c r="K116" i="46" s="1"/>
  <c r="A117" i="46"/>
  <c r="J117" i="46"/>
  <c r="K117" i="46"/>
  <c r="A118" i="46"/>
  <c r="J118" i="46"/>
  <c r="K118" i="46" s="1"/>
  <c r="A119" i="46"/>
  <c r="C119" i="46"/>
  <c r="C43" i="9" s="1"/>
  <c r="D119" i="46"/>
  <c r="E119" i="46"/>
  <c r="F119" i="46"/>
  <c r="G119" i="46"/>
  <c r="H119" i="46"/>
  <c r="H43" i="9" s="1"/>
  <c r="I119" i="46"/>
  <c r="L119" i="46"/>
  <c r="M119" i="46"/>
  <c r="A120" i="46"/>
  <c r="J120" i="46"/>
  <c r="K120" i="46"/>
  <c r="A121" i="46"/>
  <c r="J121" i="46"/>
  <c r="K121" i="46" s="1"/>
  <c r="A122" i="46"/>
  <c r="J122" i="46"/>
  <c r="K122" i="46"/>
  <c r="A123" i="46"/>
  <c r="A124" i="46"/>
  <c r="C124" i="46"/>
  <c r="D124" i="46"/>
  <c r="E124" i="46"/>
  <c r="F124" i="46"/>
  <c r="G124" i="46"/>
  <c r="H124" i="46"/>
  <c r="I124" i="46"/>
  <c r="I45" i="9" s="1"/>
  <c r="L124" i="46"/>
  <c r="L123" i="46"/>
  <c r="M124" i="46"/>
  <c r="A125" i="46"/>
  <c r="J125" i="46"/>
  <c r="J124" i="46" s="1"/>
  <c r="A126" i="46"/>
  <c r="J126" i="46"/>
  <c r="K126" i="46"/>
  <c r="A127" i="46"/>
  <c r="C127" i="46"/>
  <c r="D127" i="46"/>
  <c r="E127" i="46"/>
  <c r="E123" i="46" s="1"/>
  <c r="F127" i="46"/>
  <c r="G127" i="46"/>
  <c r="G123" i="46" s="1"/>
  <c r="H127" i="46"/>
  <c r="I127" i="46"/>
  <c r="I46" i="9" s="1"/>
  <c r="L127" i="46"/>
  <c r="M127" i="46"/>
  <c r="A128" i="46"/>
  <c r="J128" i="46"/>
  <c r="J127" i="46" s="1"/>
  <c r="A129" i="46"/>
  <c r="J129" i="46"/>
  <c r="K129" i="46"/>
  <c r="A130" i="46"/>
  <c r="C130" i="46"/>
  <c r="D130" i="46"/>
  <c r="E130" i="46"/>
  <c r="F130" i="46"/>
  <c r="G130" i="46"/>
  <c r="H130" i="46"/>
  <c r="I130" i="46"/>
  <c r="I47" i="9" s="1"/>
  <c r="L130" i="46"/>
  <c r="L47" i="9" s="1"/>
  <c r="M130" i="46"/>
  <c r="A131" i="46"/>
  <c r="J131" i="46"/>
  <c r="A132" i="46"/>
  <c r="J132" i="46"/>
  <c r="K132" i="46"/>
  <c r="A133" i="46"/>
  <c r="J133" i="46"/>
  <c r="K133" i="46" s="1"/>
  <c r="A134" i="46"/>
  <c r="C134" i="46"/>
  <c r="C48" i="9" s="1"/>
  <c r="D134" i="46"/>
  <c r="D123" i="46" s="1"/>
  <c r="E134" i="46"/>
  <c r="F134" i="46"/>
  <c r="F123" i="46" s="1"/>
  <c r="G134" i="46"/>
  <c r="H134" i="46"/>
  <c r="H123" i="46" s="1"/>
  <c r="I134" i="46"/>
  <c r="L134" i="46"/>
  <c r="M134" i="46"/>
  <c r="M48" i="9" s="1"/>
  <c r="R47" i="29" s="1"/>
  <c r="A135" i="46"/>
  <c r="J135" i="46"/>
  <c r="J134" i="46" s="1"/>
  <c r="A136" i="46"/>
  <c r="C136" i="46"/>
  <c r="D136" i="46"/>
  <c r="E136" i="46"/>
  <c r="F136" i="46"/>
  <c r="G136" i="46"/>
  <c r="H136" i="46"/>
  <c r="I136" i="46"/>
  <c r="L136" i="46"/>
  <c r="L49" i="9" s="1"/>
  <c r="Q48" i="29" s="1"/>
  <c r="M136" i="46"/>
  <c r="M49" i="9" s="1"/>
  <c r="R48" i="29" s="1"/>
  <c r="A137" i="46"/>
  <c r="J137" i="46"/>
  <c r="J136" i="46" s="1"/>
  <c r="A138" i="46"/>
  <c r="J138" i="46"/>
  <c r="K138" i="46"/>
  <c r="A139" i="46"/>
  <c r="J139" i="46"/>
  <c r="K139" i="46" s="1"/>
  <c r="A140" i="46"/>
  <c r="J140" i="46"/>
  <c r="K140" i="46"/>
  <c r="A141" i="46"/>
  <c r="J141" i="46"/>
  <c r="K141" i="46" s="1"/>
  <c r="A142" i="46"/>
  <c r="A143" i="46"/>
  <c r="A144" i="46"/>
  <c r="A2" i="9"/>
  <c r="B2" i="9"/>
  <c r="C3" i="9"/>
  <c r="D3" i="9"/>
  <c r="E3" i="9"/>
  <c r="F3" i="9"/>
  <c r="G3" i="9"/>
  <c r="H3" i="9"/>
  <c r="I3" i="9"/>
  <c r="J3" i="9"/>
  <c r="K3" i="9"/>
  <c r="L3" i="9"/>
  <c r="M3" i="9"/>
  <c r="E4" i="9"/>
  <c r="F4" i="9" s="1"/>
  <c r="G4" i="9" s="1"/>
  <c r="H4" i="9" s="1"/>
  <c r="I4" i="9" s="1"/>
  <c r="J4" i="9" s="1"/>
  <c r="K4" i="9" s="1"/>
  <c r="C8" i="9"/>
  <c r="D8" i="9"/>
  <c r="E8" i="9"/>
  <c r="F8" i="9"/>
  <c r="F7" i="9" s="1"/>
  <c r="G8" i="9"/>
  <c r="G7" i="9"/>
  <c r="H8" i="9"/>
  <c r="I8" i="9"/>
  <c r="L8" i="9"/>
  <c r="Q7" i="29" s="1"/>
  <c r="M8" i="9"/>
  <c r="R7" i="29" s="1"/>
  <c r="C9" i="9"/>
  <c r="D9" i="9"/>
  <c r="E9" i="9"/>
  <c r="F9" i="9"/>
  <c r="G9" i="9"/>
  <c r="H9" i="9"/>
  <c r="I9" i="9"/>
  <c r="L9" i="9"/>
  <c r="Q8" i="29" s="1"/>
  <c r="M9" i="9"/>
  <c r="R8" i="29" s="1"/>
  <c r="C10" i="9"/>
  <c r="D10" i="9"/>
  <c r="E10" i="9"/>
  <c r="F10" i="9"/>
  <c r="G10" i="9"/>
  <c r="I10" i="9"/>
  <c r="M10" i="9"/>
  <c r="R9" i="29" s="1"/>
  <c r="C12" i="9"/>
  <c r="K12" i="9" s="1"/>
  <c r="P11" i="29" s="1"/>
  <c r="N11" i="29" s="1"/>
  <c r="O11" i="29" s="1"/>
  <c r="D12" i="9"/>
  <c r="E12" i="9"/>
  <c r="F12" i="9"/>
  <c r="G12" i="9"/>
  <c r="H12" i="9"/>
  <c r="I12" i="9"/>
  <c r="L12" i="9"/>
  <c r="Q11" i="29" s="1"/>
  <c r="C13" i="9"/>
  <c r="D13" i="9"/>
  <c r="E13" i="9"/>
  <c r="E11" i="9" s="1"/>
  <c r="F13" i="9"/>
  <c r="G13" i="9"/>
  <c r="H13" i="9"/>
  <c r="H11" i="9" s="1"/>
  <c r="I13" i="9"/>
  <c r="J13" i="9"/>
  <c r="L13" i="9"/>
  <c r="Q12" i="29" s="1"/>
  <c r="M13" i="9"/>
  <c r="R12" i="29" s="1"/>
  <c r="C14" i="9"/>
  <c r="D14" i="9"/>
  <c r="E14" i="9"/>
  <c r="F14" i="9"/>
  <c r="J14" i="9" s="1"/>
  <c r="K14" i="9" s="1"/>
  <c r="P13" i="29" s="1"/>
  <c r="N13" i="29" s="1"/>
  <c r="O13" i="29" s="1"/>
  <c r="G14" i="9"/>
  <c r="H14" i="9"/>
  <c r="I14" i="9"/>
  <c r="L14" i="9"/>
  <c r="Q13" i="29" s="1"/>
  <c r="M14" i="9"/>
  <c r="R13" i="29"/>
  <c r="C15" i="9"/>
  <c r="D15" i="9"/>
  <c r="E15" i="9"/>
  <c r="F15" i="9"/>
  <c r="G15" i="9"/>
  <c r="H15" i="9"/>
  <c r="J15" i="9" s="1"/>
  <c r="I15" i="9"/>
  <c r="L15" i="9"/>
  <c r="Q14" i="29" s="1"/>
  <c r="M15" i="9"/>
  <c r="R14" i="29"/>
  <c r="C16" i="9"/>
  <c r="D16" i="9"/>
  <c r="K16" i="9" s="1"/>
  <c r="P15" i="29" s="1"/>
  <c r="N15" i="29" s="1"/>
  <c r="O15" i="29" s="1"/>
  <c r="E16" i="9"/>
  <c r="F16" i="9"/>
  <c r="G16" i="9"/>
  <c r="J16" i="9" s="1"/>
  <c r="H16" i="9"/>
  <c r="I16" i="9"/>
  <c r="I11" i="9" s="1"/>
  <c r="L16" i="9"/>
  <c r="Q15" i="29"/>
  <c r="M16" i="9"/>
  <c r="R15" i="29" s="1"/>
  <c r="C18" i="9"/>
  <c r="K18" i="9" s="1"/>
  <c r="D18" i="9"/>
  <c r="E18" i="9"/>
  <c r="E17" i="9" s="1"/>
  <c r="F18" i="9"/>
  <c r="G18" i="9"/>
  <c r="G17" i="9" s="1"/>
  <c r="H18" i="9"/>
  <c r="I18" i="9"/>
  <c r="L18" i="9"/>
  <c r="Q17" i="29" s="1"/>
  <c r="M18" i="9"/>
  <c r="R17" i="29" s="1"/>
  <c r="C19" i="9"/>
  <c r="D19" i="9"/>
  <c r="E19" i="9"/>
  <c r="F19" i="9"/>
  <c r="F17" i="9" s="1"/>
  <c r="G19" i="9"/>
  <c r="H19" i="9"/>
  <c r="H17" i="9" s="1"/>
  <c r="L19" i="9"/>
  <c r="Q18" i="29" s="1"/>
  <c r="M19" i="9"/>
  <c r="R18" i="29" s="1"/>
  <c r="C20" i="9"/>
  <c r="D20" i="9"/>
  <c r="E20" i="9"/>
  <c r="J20" i="9" s="1"/>
  <c r="F20" i="9"/>
  <c r="G20" i="9"/>
  <c r="H20" i="9"/>
  <c r="I20" i="9"/>
  <c r="M20" i="9"/>
  <c r="R19" i="29" s="1"/>
  <c r="C22" i="9"/>
  <c r="D22" i="9"/>
  <c r="E22" i="9"/>
  <c r="F22" i="9"/>
  <c r="F21" i="9" s="1"/>
  <c r="G22" i="9"/>
  <c r="G21" i="9" s="1"/>
  <c r="H22" i="9"/>
  <c r="I22" i="9"/>
  <c r="I21" i="9" s="1"/>
  <c r="L22" i="9"/>
  <c r="Q21" i="29" s="1"/>
  <c r="M22" i="9"/>
  <c r="R21" i="29" s="1"/>
  <c r="C23" i="9"/>
  <c r="D23" i="9"/>
  <c r="E23" i="9"/>
  <c r="E21" i="9" s="1"/>
  <c r="F23" i="9"/>
  <c r="G23" i="9"/>
  <c r="H23" i="9"/>
  <c r="H21" i="9" s="1"/>
  <c r="I23" i="9"/>
  <c r="J23" i="9"/>
  <c r="L23" i="9"/>
  <c r="Q22" i="29" s="1"/>
  <c r="M23" i="9"/>
  <c r="R22" i="29" s="1"/>
  <c r="C24" i="9"/>
  <c r="D24" i="9"/>
  <c r="E24" i="9"/>
  <c r="F24" i="9"/>
  <c r="G24" i="9"/>
  <c r="H24" i="9"/>
  <c r="I24" i="9"/>
  <c r="J24" i="9" s="1"/>
  <c r="M24" i="9"/>
  <c r="R23" i="29" s="1"/>
  <c r="C25" i="9"/>
  <c r="D25" i="9"/>
  <c r="E25" i="9"/>
  <c r="F25" i="9"/>
  <c r="G25" i="9"/>
  <c r="H25" i="9"/>
  <c r="I25" i="9"/>
  <c r="J25" i="9"/>
  <c r="M25" i="9"/>
  <c r="M21" i="9" s="1"/>
  <c r="R20" i="29" s="1"/>
  <c r="R24" i="29"/>
  <c r="C26" i="9"/>
  <c r="D26" i="9"/>
  <c r="E26" i="9"/>
  <c r="F26" i="9"/>
  <c r="G26" i="9"/>
  <c r="H26" i="9"/>
  <c r="I26" i="9"/>
  <c r="J26" i="9" s="1"/>
  <c r="K26" i="9" s="1"/>
  <c r="P25" i="29" s="1"/>
  <c r="N25" i="29" s="1"/>
  <c r="O25" i="29" s="1"/>
  <c r="A30" i="9"/>
  <c r="A31" i="9"/>
  <c r="C31" i="9"/>
  <c r="D31" i="9"/>
  <c r="E31" i="9"/>
  <c r="F31" i="9"/>
  <c r="F30" i="9" s="1"/>
  <c r="G31" i="9"/>
  <c r="H31" i="9"/>
  <c r="H30" i="9" s="1"/>
  <c r="I31" i="9"/>
  <c r="J31" i="9" s="1"/>
  <c r="M31" i="9"/>
  <c r="R30" i="29" s="1"/>
  <c r="A32" i="9"/>
  <c r="C32" i="9"/>
  <c r="D32" i="9"/>
  <c r="E32" i="9"/>
  <c r="F32" i="9"/>
  <c r="G32" i="9"/>
  <c r="G30" i="9" s="1"/>
  <c r="H32" i="9"/>
  <c r="I32" i="9"/>
  <c r="L32" i="9"/>
  <c r="Q31" i="29" s="1"/>
  <c r="M32" i="9"/>
  <c r="R31" i="29" s="1"/>
  <c r="A33" i="9"/>
  <c r="C33" i="9"/>
  <c r="D33" i="9"/>
  <c r="E33" i="9"/>
  <c r="F33" i="9"/>
  <c r="G33" i="9"/>
  <c r="H33" i="9"/>
  <c r="M33" i="9"/>
  <c r="R32" i="29" s="1"/>
  <c r="A34" i="9"/>
  <c r="A35" i="9"/>
  <c r="C35" i="9"/>
  <c r="D35" i="9"/>
  <c r="E35" i="9"/>
  <c r="F35" i="9"/>
  <c r="F34" i="9" s="1"/>
  <c r="G35" i="9"/>
  <c r="H35" i="9"/>
  <c r="H34" i="9" s="1"/>
  <c r="L35" i="9"/>
  <c r="Q34" i="29"/>
  <c r="M35" i="9"/>
  <c r="R34" i="29" s="1"/>
  <c r="A36" i="9"/>
  <c r="C36" i="9"/>
  <c r="D36" i="9"/>
  <c r="E36" i="9"/>
  <c r="F36" i="9"/>
  <c r="G36" i="9"/>
  <c r="G34" i="9" s="1"/>
  <c r="H36" i="9"/>
  <c r="I36" i="9"/>
  <c r="L36" i="9"/>
  <c r="Q35" i="29" s="1"/>
  <c r="M36" i="9"/>
  <c r="R35" i="29" s="1"/>
  <c r="A37" i="9"/>
  <c r="C37" i="9"/>
  <c r="D37" i="9"/>
  <c r="E37" i="9"/>
  <c r="F37" i="9"/>
  <c r="G37" i="9"/>
  <c r="H37" i="9"/>
  <c r="I37" i="9"/>
  <c r="J37" i="9" s="1"/>
  <c r="L37" i="9"/>
  <c r="Q36" i="29" s="1"/>
  <c r="M37" i="9"/>
  <c r="R36" i="29" s="1"/>
  <c r="A38" i="9"/>
  <c r="C38" i="9"/>
  <c r="D38" i="9"/>
  <c r="E38" i="9"/>
  <c r="F38" i="9"/>
  <c r="G38" i="9"/>
  <c r="H38" i="9"/>
  <c r="I38" i="9"/>
  <c r="L38" i="9"/>
  <c r="Q37" i="29" s="1"/>
  <c r="M38" i="9"/>
  <c r="R37" i="29" s="1"/>
  <c r="A39" i="9"/>
  <c r="C39" i="9"/>
  <c r="D39" i="9"/>
  <c r="E39" i="9"/>
  <c r="F39" i="9"/>
  <c r="G39" i="9"/>
  <c r="H39" i="9"/>
  <c r="I39" i="9"/>
  <c r="M39" i="9"/>
  <c r="R38" i="29" s="1"/>
  <c r="A40" i="9"/>
  <c r="A41" i="9"/>
  <c r="D41" i="9"/>
  <c r="E41" i="9"/>
  <c r="F41" i="9"/>
  <c r="F40" i="9" s="1"/>
  <c r="G41" i="9"/>
  <c r="G40" i="9" s="1"/>
  <c r="H41" i="9"/>
  <c r="I41" i="9"/>
  <c r="L41" i="9"/>
  <c r="Q40" i="29" s="1"/>
  <c r="M41" i="9"/>
  <c r="R40" i="29" s="1"/>
  <c r="A42" i="9"/>
  <c r="C42" i="9"/>
  <c r="D42" i="9"/>
  <c r="E42" i="9"/>
  <c r="F42" i="9"/>
  <c r="G42" i="9"/>
  <c r="H42" i="9"/>
  <c r="I42" i="9"/>
  <c r="M42" i="9"/>
  <c r="R41" i="29" s="1"/>
  <c r="A43" i="9"/>
  <c r="D43" i="9"/>
  <c r="E43" i="9"/>
  <c r="F43" i="9"/>
  <c r="G43" i="9"/>
  <c r="I43" i="9"/>
  <c r="L43" i="9"/>
  <c r="Q42" i="29" s="1"/>
  <c r="M43" i="9"/>
  <c r="R42" i="29" s="1"/>
  <c r="A44" i="9"/>
  <c r="A45" i="9"/>
  <c r="C45" i="9"/>
  <c r="D45" i="9"/>
  <c r="E45" i="9"/>
  <c r="E44" i="9" s="1"/>
  <c r="F45" i="9"/>
  <c r="F44" i="9" s="1"/>
  <c r="G45" i="9"/>
  <c r="G44" i="9" s="1"/>
  <c r="H45" i="9"/>
  <c r="H44" i="9" s="1"/>
  <c r="L45" i="9"/>
  <c r="Q44" i="29" s="1"/>
  <c r="M45" i="9"/>
  <c r="R44" i="29" s="1"/>
  <c r="A46" i="9"/>
  <c r="C46" i="9"/>
  <c r="D46" i="9"/>
  <c r="E46" i="9"/>
  <c r="F46" i="9"/>
  <c r="G46" i="9"/>
  <c r="H46" i="9"/>
  <c r="L46" i="9"/>
  <c r="Q45" i="29" s="1"/>
  <c r="A47" i="9"/>
  <c r="C47" i="9"/>
  <c r="D47" i="9"/>
  <c r="E47" i="9"/>
  <c r="F47" i="9"/>
  <c r="G47" i="9"/>
  <c r="H47" i="9"/>
  <c r="M47" i="9"/>
  <c r="R46" i="29" s="1"/>
  <c r="A48" i="9"/>
  <c r="D48" i="9"/>
  <c r="E48" i="9"/>
  <c r="F48" i="9"/>
  <c r="G48" i="9"/>
  <c r="H48" i="9"/>
  <c r="I48" i="9"/>
  <c r="L48" i="9"/>
  <c r="Q47" i="29" s="1"/>
  <c r="A49" i="9"/>
  <c r="C49" i="9"/>
  <c r="D49" i="9"/>
  <c r="K49" i="9" s="1"/>
  <c r="P48" i="29" s="1"/>
  <c r="N48" i="29" s="1"/>
  <c r="E49" i="9"/>
  <c r="F49" i="9"/>
  <c r="G49" i="9"/>
  <c r="H49" i="9"/>
  <c r="I49" i="9"/>
  <c r="J49" i="9"/>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G14" i="7"/>
  <c r="H14" i="7"/>
  <c r="K14" i="7"/>
  <c r="L14" i="7"/>
  <c r="B16" i="7"/>
  <c r="C16" i="7"/>
  <c r="D16" i="7"/>
  <c r="E16" i="7"/>
  <c r="F16" i="7"/>
  <c r="G16" i="7"/>
  <c r="H16" i="7"/>
  <c r="K16" i="7"/>
  <c r="L16" i="7"/>
  <c r="B18" i="7"/>
  <c r="C18" i="7"/>
  <c r="D18" i="7"/>
  <c r="E18" i="7"/>
  <c r="F18" i="7"/>
  <c r="G18" i="7"/>
  <c r="H18" i="7"/>
  <c r="K18" i="7"/>
  <c r="L18" i="7"/>
  <c r="B22" i="7"/>
  <c r="C22" i="7"/>
  <c r="D22" i="7"/>
  <c r="E22" i="7"/>
  <c r="F22" i="7"/>
  <c r="G22" i="7"/>
  <c r="H22" i="7"/>
  <c r="K22" i="7"/>
  <c r="L22" i="7"/>
  <c r="B23" i="7"/>
  <c r="C23" i="7"/>
  <c r="D23" i="7"/>
  <c r="E23" i="7"/>
  <c r="F23" i="7"/>
  <c r="G23" i="7"/>
  <c r="H23" i="7"/>
  <c r="I23" i="7"/>
  <c r="K23" i="7"/>
  <c r="L23" i="7"/>
  <c r="B25" i="7"/>
  <c r="C25" i="7"/>
  <c r="D25" i="7"/>
  <c r="E25" i="7"/>
  <c r="F25" i="7"/>
  <c r="G25" i="7"/>
  <c r="H25" i="7"/>
  <c r="K25" i="7"/>
  <c r="L25" i="7"/>
  <c r="C30" i="7"/>
  <c r="D30" i="7"/>
  <c r="F30" i="7"/>
  <c r="K30" i="7"/>
  <c r="L30" i="7"/>
  <c r="B31" i="7"/>
  <c r="C31" i="7"/>
  <c r="D31" i="7"/>
  <c r="E31" i="7"/>
  <c r="F31" i="7"/>
  <c r="G31" i="7"/>
  <c r="H31" i="7"/>
  <c r="K31" i="7"/>
  <c r="L31" i="7"/>
  <c r="B32" i="7"/>
  <c r="C32" i="7"/>
  <c r="D32" i="7"/>
  <c r="E32" i="7"/>
  <c r="F32" i="7"/>
  <c r="G32" i="7"/>
  <c r="L32" i="7"/>
  <c r="B33" i="7"/>
  <c r="C33" i="7"/>
  <c r="D33" i="7"/>
  <c r="E33" i="7"/>
  <c r="F33" i="7"/>
  <c r="G33" i="7"/>
  <c r="H33" i="7"/>
  <c r="K33" i="7"/>
  <c r="L33" i="7"/>
  <c r="D34" i="7"/>
  <c r="L34" i="7"/>
  <c r="E37" i="7"/>
  <c r="F37" i="7"/>
  <c r="F38" i="7"/>
  <c r="E40" i="7"/>
  <c r="E44" i="7"/>
  <c r="F44" i="7"/>
  <c r="G44" i="7"/>
  <c r="K44" i="7"/>
  <c r="L44" i="7"/>
  <c r="B45" i="7"/>
  <c r="C45" i="7"/>
  <c r="D45" i="7"/>
  <c r="E45" i="7"/>
  <c r="F45" i="7"/>
  <c r="G45" i="7"/>
  <c r="B46" i="7"/>
  <c r="C46" i="7"/>
  <c r="D46" i="7"/>
  <c r="I46" i="7" s="1"/>
  <c r="J46" i="7" s="1"/>
  <c r="E46" i="7"/>
  <c r="F46" i="7"/>
  <c r="G46" i="7"/>
  <c r="H46" i="7"/>
  <c r="K46" i="7"/>
  <c r="L46" i="7"/>
  <c r="E47" i="7"/>
  <c r="E51" i="7"/>
  <c r="F51" i="7"/>
  <c r="G51" i="7"/>
  <c r="E58" i="7"/>
  <c r="G58" i="7"/>
  <c r="B61" i="7"/>
  <c r="C61" i="7"/>
  <c r="D61" i="7"/>
  <c r="E61" i="7"/>
  <c r="F61" i="7"/>
  <c r="G61" i="7"/>
  <c r="H61" i="7"/>
  <c r="L61" i="7"/>
  <c r="B62" i="7"/>
  <c r="C62" i="7"/>
  <c r="D62" i="7"/>
  <c r="E62" i="7"/>
  <c r="F62" i="7"/>
  <c r="G62" i="7"/>
  <c r="H62" i="7"/>
  <c r="I62" i="7"/>
  <c r="K62" i="7"/>
  <c r="L62" i="7"/>
  <c r="B64" i="7"/>
  <c r="C64" i="7"/>
  <c r="D64" i="7"/>
  <c r="E64" i="7"/>
  <c r="F64" i="7"/>
  <c r="G64" i="7"/>
  <c r="H64" i="7"/>
  <c r="I64" i="7"/>
  <c r="L64" i="7"/>
  <c r="C65" i="7"/>
  <c r="D65" i="7"/>
  <c r="E65" i="7"/>
  <c r="F65" i="7"/>
  <c r="G65" i="7"/>
  <c r="H65" i="7"/>
  <c r="K65" i="7"/>
  <c r="L65" i="7"/>
  <c r="C66" i="7"/>
  <c r="D66" i="7"/>
  <c r="E66" i="7"/>
  <c r="F66" i="7"/>
  <c r="G66" i="7"/>
  <c r="H66" i="7"/>
  <c r="I66" i="7"/>
  <c r="C67" i="7"/>
  <c r="D67" i="7"/>
  <c r="E67" i="7"/>
  <c r="F67" i="7"/>
  <c r="I67" i="7" s="1"/>
  <c r="G67" i="7"/>
  <c r="H67" i="7"/>
  <c r="K67" i="7"/>
  <c r="L67" i="7"/>
  <c r="A2" i="51"/>
  <c r="A8" i="48" s="1"/>
  <c r="A3" i="51"/>
  <c r="D3" i="51"/>
  <c r="A4" i="51"/>
  <c r="A30" i="48" s="1"/>
  <c r="D4" i="51"/>
  <c r="A5" i="51"/>
  <c r="D5" i="51"/>
  <c r="A6" i="51"/>
  <c r="A52" i="48" s="1"/>
  <c r="D6" i="51"/>
  <c r="A7" i="51"/>
  <c r="D7" i="51"/>
  <c r="A8" i="51"/>
  <c r="D8" i="51"/>
  <c r="A9" i="51"/>
  <c r="D9" i="51"/>
  <c r="A10" i="51"/>
  <c r="D10" i="51"/>
  <c r="A11" i="51"/>
  <c r="D11" i="51"/>
  <c r="A12" i="51"/>
  <c r="D12" i="51"/>
  <c r="A13" i="51"/>
  <c r="A14" i="51"/>
  <c r="D14" i="51"/>
  <c r="A15" i="51"/>
  <c r="D15" i="51"/>
  <c r="A16"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B70" i="39" s="1"/>
  <c r="F67" i="39"/>
  <c r="E67" i="39" s="1"/>
  <c r="F68" i="39"/>
  <c r="E68" i="39" s="1"/>
  <c r="B68" i="39"/>
  <c r="F69" i="39"/>
  <c r="E69" i="39"/>
  <c r="F70" i="39"/>
  <c r="E70" i="39" s="1"/>
  <c r="F71" i="39"/>
  <c r="E71" i="39" s="1"/>
  <c r="E72" i="39"/>
  <c r="F72" i="39"/>
  <c r="F73" i="39"/>
  <c r="E73" i="39"/>
  <c r="F74" i="39"/>
  <c r="F75" i="39"/>
  <c r="E75" i="39" s="1"/>
  <c r="E76" i="39"/>
  <c r="F76" i="39"/>
  <c r="D77" i="39"/>
  <c r="F77" i="39"/>
  <c r="E77" i="39" s="1"/>
  <c r="D78" i="39"/>
  <c r="B78" i="39" s="1"/>
  <c r="F78" i="39"/>
  <c r="E78" i="39" s="1"/>
  <c r="D79" i="39"/>
  <c r="F79" i="39"/>
  <c r="E79" i="39" s="1"/>
  <c r="D80" i="39"/>
  <c r="B80" i="39" s="1"/>
  <c r="F80" i="39"/>
  <c r="E80" i="39" s="1"/>
  <c r="D81" i="39"/>
  <c r="F81" i="39"/>
  <c r="E81" i="39" s="1"/>
  <c r="D82" i="39"/>
  <c r="B82" i="39" s="1"/>
  <c r="F82" i="39"/>
  <c r="E82" i="39" s="1"/>
  <c r="D83" i="39"/>
  <c r="F83" i="39"/>
  <c r="E83" i="39" s="1"/>
  <c r="D84" i="39"/>
  <c r="B84" i="39" s="1"/>
  <c r="F84" i="39"/>
  <c r="E84" i="39" s="1"/>
  <c r="D85" i="39"/>
  <c r="F85" i="39"/>
  <c r="E85" i="39" s="1"/>
  <c r="D86" i="39"/>
  <c r="B86" i="39" s="1"/>
  <c r="F86" i="39"/>
  <c r="E86" i="39" s="1"/>
  <c r="D87" i="39"/>
  <c r="F87" i="39"/>
  <c r="E87" i="39" s="1"/>
  <c r="D88" i="39"/>
  <c r="B88" i="39" s="1"/>
  <c r="F88" i="39"/>
  <c r="E88" i="39" s="1"/>
  <c r="D89" i="39"/>
  <c r="F89" i="39"/>
  <c r="E89" i="39" s="1"/>
  <c r="D90" i="39"/>
  <c r="B90" i="39" s="1"/>
  <c r="F90" i="39"/>
  <c r="E90" i="39" s="1"/>
  <c r="D91" i="39"/>
  <c r="F91" i="39"/>
  <c r="E91" i="39" s="1"/>
  <c r="D92" i="39"/>
  <c r="B92" i="39" s="1"/>
  <c r="F92" i="39"/>
  <c r="E92" i="39" s="1"/>
  <c r="D93" i="39"/>
  <c r="F93" i="39"/>
  <c r="E93" i="39" s="1"/>
  <c r="D94" i="39"/>
  <c r="B94" i="39" s="1"/>
  <c r="F94" i="39"/>
  <c r="E94" i="39" s="1"/>
  <c r="D95" i="39"/>
  <c r="F95" i="39"/>
  <c r="E95" i="39" s="1"/>
  <c r="D96" i="39"/>
  <c r="B96" i="39" s="1"/>
  <c r="F96" i="39"/>
  <c r="E96" i="39" s="1"/>
  <c r="D97" i="39"/>
  <c r="F97" i="39"/>
  <c r="E97" i="39" s="1"/>
  <c r="D98" i="39"/>
  <c r="B98" i="39" s="1"/>
  <c r="F98" i="39"/>
  <c r="E98" i="39" s="1"/>
  <c r="D99" i="39"/>
  <c r="E99" i="39"/>
  <c r="X36" i="45"/>
  <c r="B4" i="39" s="1"/>
  <c r="K68" i="17"/>
  <c r="K73" i="17"/>
  <c r="K88" i="17"/>
  <c r="K90" i="17"/>
  <c r="K34" i="17"/>
  <c r="H56" i="7"/>
  <c r="J80" i="17"/>
  <c r="J25" i="17"/>
  <c r="H15" i="7"/>
  <c r="D8" i="7"/>
  <c r="F8" i="7"/>
  <c r="F12" i="7"/>
  <c r="D56" i="7"/>
  <c r="D15" i="7"/>
  <c r="E8" i="7"/>
  <c r="F70" i="15"/>
  <c r="E56" i="7" s="1"/>
  <c r="I56" i="7" s="1"/>
  <c r="E15" i="7"/>
  <c r="K80" i="17"/>
  <c r="J12" i="10"/>
  <c r="K83" i="17"/>
  <c r="K23" i="17"/>
  <c r="K25" i="17" s="1"/>
  <c r="J32" i="10"/>
  <c r="D17" i="7"/>
  <c r="E38" i="10"/>
  <c r="H70" i="15"/>
  <c r="G15" i="7"/>
  <c r="C56" i="7"/>
  <c r="G38" i="10"/>
  <c r="F13" i="7"/>
  <c r="K50" i="17"/>
  <c r="J62" i="17"/>
  <c r="J64" i="17" s="1"/>
  <c r="D24" i="10"/>
  <c r="G32" i="20" s="1"/>
  <c r="K116" i="17"/>
  <c r="D7" i="7"/>
  <c r="K15" i="7"/>
  <c r="C15" i="7"/>
  <c r="E13" i="7"/>
  <c r="J11" i="10"/>
  <c r="H8" i="7"/>
  <c r="C8" i="7"/>
  <c r="H11" i="22"/>
  <c r="H36" i="22"/>
  <c r="H9" i="22" s="1"/>
  <c r="C7" i="7"/>
  <c r="L70" i="15"/>
  <c r="G70" i="15"/>
  <c r="J30" i="10"/>
  <c r="K30" i="10"/>
  <c r="F15" i="7"/>
  <c r="F19" i="7"/>
  <c r="J10" i="10"/>
  <c r="R8" i="30"/>
  <c r="H41" i="22"/>
  <c r="H10" i="22" s="1"/>
  <c r="D44" i="14" s="1"/>
  <c r="B15" i="7"/>
  <c r="J15" i="7" s="1"/>
  <c r="G8" i="7"/>
  <c r="G12" i="7" s="1"/>
  <c r="K127" i="17"/>
  <c r="K30" i="17"/>
  <c r="K31" i="17" s="1"/>
  <c r="J31" i="17"/>
  <c r="J20" i="17"/>
  <c r="K18" i="17"/>
  <c r="G24" i="10"/>
  <c r="J9" i="10"/>
  <c r="K9" i="10"/>
  <c r="P8" i="30" s="1"/>
  <c r="N8" i="30" s="1"/>
  <c r="O8" i="30" s="1"/>
  <c r="K15" i="17"/>
  <c r="G67" i="15"/>
  <c r="F55" i="7" s="1"/>
  <c r="J64" i="15"/>
  <c r="K64" i="15"/>
  <c r="H67" i="15"/>
  <c r="G55" i="7" s="1"/>
  <c r="G106" i="15"/>
  <c r="D67" i="15"/>
  <c r="D106" i="15" s="1"/>
  <c r="D26" i="12"/>
  <c r="J16" i="22"/>
  <c r="H20" i="20"/>
  <c r="J9" i="14"/>
  <c r="K9" i="14" s="1"/>
  <c r="D38" i="7"/>
  <c r="H14" i="12"/>
  <c r="D14" i="12"/>
  <c r="H26" i="12"/>
  <c r="G38" i="7" s="1"/>
  <c r="J32" i="12"/>
  <c r="E36" i="12"/>
  <c r="D43" i="14"/>
  <c r="D41" i="12"/>
  <c r="C40" i="7"/>
  <c r="J40" i="12"/>
  <c r="K40" i="12"/>
  <c r="E41" i="12"/>
  <c r="D40" i="7" s="1"/>
  <c r="L41" i="12"/>
  <c r="K40" i="7" s="1"/>
  <c r="H36" i="12"/>
  <c r="D36" i="12"/>
  <c r="L26" i="12"/>
  <c r="K38" i="7" s="1"/>
  <c r="F106" i="15"/>
  <c r="B3" i="39"/>
  <c r="D2" i="20" s="1"/>
  <c r="B18" i="39"/>
  <c r="M2" i="26" s="1"/>
  <c r="B2" i="39"/>
  <c r="E2" i="20" s="1"/>
  <c r="B7" i="39"/>
  <c r="B6" i="39"/>
  <c r="M2" i="9"/>
  <c r="R3" i="28"/>
  <c r="R3" i="30"/>
  <c r="R3" i="31"/>
  <c r="X38" i="45"/>
  <c r="B17" i="39"/>
  <c r="B5" i="39"/>
  <c r="M2" i="46"/>
  <c r="M2" i="15"/>
  <c r="M2" i="18"/>
  <c r="J2" i="20"/>
  <c r="K2" i="23"/>
  <c r="K2" i="25"/>
  <c r="M2" i="37"/>
  <c r="M3" i="35"/>
  <c r="K2" i="24"/>
  <c r="B16" i="39"/>
  <c r="M2" i="48"/>
  <c r="M2" i="17"/>
  <c r="R3" i="29"/>
  <c r="K118" i="17"/>
  <c r="K124" i="17" s="1"/>
  <c r="G35" i="20"/>
  <c r="G38" i="20"/>
  <c r="G19" i="20"/>
  <c r="I15" i="7"/>
  <c r="F82" i="15"/>
  <c r="J70" i="15"/>
  <c r="I8" i="7"/>
  <c r="G56" i="7"/>
  <c r="H82" i="15"/>
  <c r="K56" i="7"/>
  <c r="G40" i="10"/>
  <c r="G44" i="10"/>
  <c r="G46" i="10" s="1"/>
  <c r="G48" i="10" s="1"/>
  <c r="G50" i="10" s="1"/>
  <c r="G63" i="10"/>
  <c r="G54" i="8" s="1"/>
  <c r="F56" i="7"/>
  <c r="D63" i="10"/>
  <c r="D54" i="8" s="1"/>
  <c r="G37" i="20"/>
  <c r="C55" i="7"/>
  <c r="G13" i="20"/>
  <c r="C37" i="7"/>
  <c r="D27" i="12"/>
  <c r="G39" i="7"/>
  <c r="D42" i="12"/>
  <c r="C39" i="7"/>
  <c r="G15" i="20"/>
  <c r="G37" i="7"/>
  <c r="C38" i="7"/>
  <c r="E42" i="12"/>
  <c r="D39" i="7"/>
  <c r="F2" i="22"/>
  <c r="R3" i="32"/>
  <c r="M2" i="34"/>
  <c r="M2" i="36"/>
  <c r="M2" i="1"/>
  <c r="Q3" i="33"/>
  <c r="M2" i="19"/>
  <c r="M2" i="16"/>
  <c r="M2" i="13"/>
  <c r="M2" i="47"/>
  <c r="M2" i="11"/>
  <c r="M2" i="12"/>
  <c r="M2" i="8"/>
  <c r="L2" i="7"/>
  <c r="C2" i="26"/>
  <c r="C2" i="24"/>
  <c r="C2" i="10"/>
  <c r="C2" i="9"/>
  <c r="C2" i="52"/>
  <c r="C2" i="37"/>
  <c r="C2" i="30"/>
  <c r="C2" i="28"/>
  <c r="C2" i="23"/>
  <c r="C2" i="18"/>
  <c r="C2" i="14"/>
  <c r="C2" i="46"/>
  <c r="C2" i="36"/>
  <c r="C2" i="1"/>
  <c r="C2" i="34"/>
  <c r="C2" i="32"/>
  <c r="C2" i="29"/>
  <c r="C2" i="27"/>
  <c r="C2" i="19"/>
  <c r="C2" i="16"/>
  <c r="C2" i="13"/>
  <c r="C2" i="12"/>
  <c r="C2" i="11"/>
  <c r="C2" i="47"/>
  <c r="C2" i="8"/>
  <c r="B2" i="7"/>
  <c r="C2" i="31"/>
  <c r="C2" i="17"/>
  <c r="C2" i="48"/>
  <c r="C2" i="33"/>
  <c r="C2" i="25"/>
  <c r="F2" i="20"/>
  <c r="C2" i="15"/>
  <c r="P3" i="31"/>
  <c r="P3" i="30"/>
  <c r="P3" i="28"/>
  <c r="O3" i="33"/>
  <c r="P3" i="32"/>
  <c r="P3" i="29"/>
  <c r="I3" i="35"/>
  <c r="K3" i="35"/>
  <c r="L2" i="52"/>
  <c r="L2" i="37"/>
  <c r="J2" i="25"/>
  <c r="J2" i="23"/>
  <c r="J3" i="22"/>
  <c r="I2" i="20"/>
  <c r="L2" i="18"/>
  <c r="L2" i="15"/>
  <c r="L2" i="14"/>
  <c r="L2" i="46"/>
  <c r="L2" i="1"/>
  <c r="L2" i="34"/>
  <c r="P3" i="33"/>
  <c r="L2" i="13"/>
  <c r="L2" i="12"/>
  <c r="K2" i="7"/>
  <c r="Q3" i="31"/>
  <c r="Q3" i="30"/>
  <c r="Q3" i="28"/>
  <c r="L2" i="26"/>
  <c r="J2" i="24"/>
  <c r="L2" i="10"/>
  <c r="L2" i="9"/>
  <c r="L2" i="36"/>
  <c r="L2" i="19"/>
  <c r="L2" i="16"/>
  <c r="L2" i="11"/>
  <c r="L2" i="47"/>
  <c r="L2" i="8"/>
  <c r="Q3" i="32"/>
  <c r="Q3" i="29"/>
  <c r="L2" i="17"/>
  <c r="L2" i="48"/>
  <c r="D44" i="12"/>
  <c r="D63" i="12" s="1"/>
  <c r="F55" i="31"/>
  <c r="F65" i="31" s="1"/>
  <c r="J14" i="27"/>
  <c r="L54" i="27"/>
  <c r="L34" i="27"/>
  <c r="K46" i="27"/>
  <c r="L46" i="27" s="1"/>
  <c r="L20" i="27"/>
  <c r="J65" i="27"/>
  <c r="J30" i="27"/>
  <c r="K81" i="27"/>
  <c r="L81" i="27" s="1"/>
  <c r="J46" i="27"/>
  <c r="J48" i="27" s="1"/>
  <c r="F38" i="10"/>
  <c r="E19" i="7" s="1"/>
  <c r="E20" i="7" s="1"/>
  <c r="D19" i="7"/>
  <c r="D20" i="7"/>
  <c r="F20" i="7"/>
  <c r="P29" i="30"/>
  <c r="N29" i="30" s="1"/>
  <c r="O29" i="30" s="1"/>
  <c r="L202" i="21"/>
  <c r="L156" i="21"/>
  <c r="L110" i="21"/>
  <c r="L64" i="21"/>
  <c r="K2" i="21"/>
  <c r="K201" i="21"/>
  <c r="K155" i="21"/>
  <c r="K109" i="21"/>
  <c r="K63" i="21"/>
  <c r="G2" i="21"/>
  <c r="E63" i="21"/>
  <c r="B75" i="39"/>
  <c r="B71" i="39"/>
  <c r="A1" i="11"/>
  <c r="B69" i="39"/>
  <c r="B67" i="39"/>
  <c r="A1" i="7"/>
  <c r="A162" i="48"/>
  <c r="A161" i="47"/>
  <c r="A151" i="48"/>
  <c r="A150" i="47"/>
  <c r="A140" i="48"/>
  <c r="A139" i="47"/>
  <c r="I65" i="7"/>
  <c r="C34" i="7"/>
  <c r="I25" i="7"/>
  <c r="J25" i="7" s="1"/>
  <c r="I16" i="7"/>
  <c r="G50" i="9"/>
  <c r="G142" i="46"/>
  <c r="E142" i="46"/>
  <c r="K28" i="46"/>
  <c r="F73" i="46"/>
  <c r="F143" i="46"/>
  <c r="D73" i="46"/>
  <c r="K7" i="8"/>
  <c r="K202" i="21"/>
  <c r="K64" i="21"/>
  <c r="K156" i="21"/>
  <c r="K110" i="21"/>
  <c r="J2" i="21"/>
  <c r="H155" i="21"/>
  <c r="H109" i="21"/>
  <c r="H201" i="21"/>
  <c r="H63" i="21"/>
  <c r="B38" i="39"/>
  <c r="I2" i="21"/>
  <c r="G201" i="21"/>
  <c r="G155" i="21"/>
  <c r="G109" i="21"/>
  <c r="G63" i="21"/>
  <c r="M156" i="21"/>
  <c r="M110" i="21"/>
  <c r="M202" i="21"/>
  <c r="M64" i="21"/>
  <c r="F201" i="21"/>
  <c r="F63" i="21"/>
  <c r="H2" i="21"/>
  <c r="F155" i="21"/>
  <c r="F109" i="21"/>
  <c r="G14" i="20"/>
  <c r="A129" i="48"/>
  <c r="A128" i="47"/>
  <c r="A118" i="48"/>
  <c r="A117" i="47"/>
  <c r="A107" i="48"/>
  <c r="A106" i="47"/>
  <c r="A96" i="48"/>
  <c r="A95" i="47"/>
  <c r="A85" i="48"/>
  <c r="A84" i="47"/>
  <c r="A74" i="48"/>
  <c r="A73" i="47"/>
  <c r="A63" i="48"/>
  <c r="A62" i="47"/>
  <c r="A51" i="47"/>
  <c r="A11" i="8" s="1"/>
  <c r="A10" i="28" s="1"/>
  <c r="A41" i="48"/>
  <c r="A11" i="11" s="1"/>
  <c r="A9" i="32" s="1"/>
  <c r="A27" i="32" s="1"/>
  <c r="A40" i="47"/>
  <c r="A29" i="47"/>
  <c r="A19" i="48"/>
  <c r="A188" i="48" s="1"/>
  <c r="A27" i="11" s="1"/>
  <c r="A18" i="47"/>
  <c r="J64" i="7"/>
  <c r="J23" i="7"/>
  <c r="F50" i="9"/>
  <c r="F142" i="46"/>
  <c r="D142" i="46"/>
  <c r="K58" i="46"/>
  <c r="K44" i="46"/>
  <c r="G73" i="46"/>
  <c r="G143" i="46"/>
  <c r="E73" i="46"/>
  <c r="E143" i="46" s="1"/>
  <c r="I12" i="22"/>
  <c r="E91" i="11"/>
  <c r="K26" i="11"/>
  <c r="D44" i="9"/>
  <c r="D40" i="9"/>
  <c r="D34" i="9"/>
  <c r="D30" i="9"/>
  <c r="D50" i="9"/>
  <c r="D21" i="9"/>
  <c r="D17" i="9"/>
  <c r="D11" i="9"/>
  <c r="D7" i="9"/>
  <c r="D27" i="9"/>
  <c r="D51" i="9" s="1"/>
  <c r="J119" i="46"/>
  <c r="J109" i="46"/>
  <c r="J65" i="46"/>
  <c r="J58" i="46"/>
  <c r="J54" i="46"/>
  <c r="J44" i="46"/>
  <c r="J39" i="46" s="1"/>
  <c r="J28" i="46"/>
  <c r="J8" i="46"/>
  <c r="G9" i="20"/>
  <c r="H13" i="22" s="1"/>
  <c r="H12" i="22"/>
  <c r="K14" i="11"/>
  <c r="P12" i="32"/>
  <c r="N12" i="32"/>
  <c r="K13" i="11"/>
  <c r="P11" i="32" s="1"/>
  <c r="N11" i="32" s="1"/>
  <c r="K11" i="11"/>
  <c r="P9" i="32" s="1"/>
  <c r="N9" i="32" s="1"/>
  <c r="K9" i="11"/>
  <c r="P7" i="32"/>
  <c r="Q6" i="32"/>
  <c r="Q21" i="32" s="1"/>
  <c r="L23" i="11"/>
  <c r="K298" i="48"/>
  <c r="K188" i="48"/>
  <c r="J151" i="48"/>
  <c r="K151" i="48" s="1"/>
  <c r="E21" i="11"/>
  <c r="J21" i="11" s="1"/>
  <c r="K21" i="11" s="1"/>
  <c r="P19" i="32" s="1"/>
  <c r="N19" i="32" s="1"/>
  <c r="J129" i="48"/>
  <c r="K129" i="48"/>
  <c r="E19" i="11"/>
  <c r="J19" i="11" s="1"/>
  <c r="K19" i="11" s="1"/>
  <c r="P17" i="32" s="1"/>
  <c r="N17" i="32" s="1"/>
  <c r="J107" i="48"/>
  <c r="E17" i="11"/>
  <c r="J17" i="11" s="1"/>
  <c r="K17" i="11" s="1"/>
  <c r="P15" i="32" s="1"/>
  <c r="N15" i="32" s="1"/>
  <c r="M173" i="48"/>
  <c r="I173" i="48"/>
  <c r="G173" i="48"/>
  <c r="C173" i="48"/>
  <c r="I18" i="14"/>
  <c r="J18" i="14"/>
  <c r="M34" i="9"/>
  <c r="R33" i="29" s="1"/>
  <c r="J22" i="9"/>
  <c r="J18" i="9"/>
  <c r="J12" i="9"/>
  <c r="J8" i="9"/>
  <c r="K137" i="46"/>
  <c r="K136" i="46" s="1"/>
  <c r="K131" i="46"/>
  <c r="K125" i="46"/>
  <c r="K124" i="46" s="1"/>
  <c r="K114" i="46"/>
  <c r="K105" i="46"/>
  <c r="K104" i="46" s="1"/>
  <c r="K98" i="46"/>
  <c r="K97" i="46" s="1"/>
  <c r="K78" i="46"/>
  <c r="K77" i="46" s="1"/>
  <c r="E22" i="8"/>
  <c r="D340" i="47"/>
  <c r="E172" i="47"/>
  <c r="R31" i="30"/>
  <c r="D38" i="10"/>
  <c r="K46" i="11"/>
  <c r="K12" i="11"/>
  <c r="P10" i="32"/>
  <c r="N10" i="32"/>
  <c r="K10" i="11"/>
  <c r="P8" i="32"/>
  <c r="N8" i="32"/>
  <c r="H23" i="11"/>
  <c r="F23" i="11"/>
  <c r="D23" i="11"/>
  <c r="K331" i="48"/>
  <c r="K287" i="48"/>
  <c r="K199" i="48"/>
  <c r="F342" i="48"/>
  <c r="F343" i="48"/>
  <c r="K177" i="48"/>
  <c r="D342" i="48"/>
  <c r="J162" i="48"/>
  <c r="K162" i="48"/>
  <c r="E22" i="11"/>
  <c r="J22" i="11" s="1"/>
  <c r="K22" i="11" s="1"/>
  <c r="P20" i="32" s="1"/>
  <c r="N20" i="32" s="1"/>
  <c r="J140" i="48"/>
  <c r="K140" i="48"/>
  <c r="E20" i="11"/>
  <c r="J20" i="11" s="1"/>
  <c r="K20" i="11" s="1"/>
  <c r="P18" i="32" s="1"/>
  <c r="N18" i="32" s="1"/>
  <c r="J118" i="48"/>
  <c r="K118" i="48"/>
  <c r="E18" i="11"/>
  <c r="J18" i="11"/>
  <c r="K18" i="11" s="1"/>
  <c r="P16" i="32" s="1"/>
  <c r="N16" i="32" s="1"/>
  <c r="K107" i="48"/>
  <c r="G27" i="12"/>
  <c r="F10" i="14"/>
  <c r="K38" i="13"/>
  <c r="E16" i="11"/>
  <c r="J16" i="11" s="1"/>
  <c r="K16" i="11" s="1"/>
  <c r="P14" i="32" s="1"/>
  <c r="N14" i="32" s="1"/>
  <c r="E15" i="11"/>
  <c r="E173" i="48"/>
  <c r="F50" i="12"/>
  <c r="J38" i="13"/>
  <c r="E20" i="14"/>
  <c r="D77" i="15"/>
  <c r="D50" i="15"/>
  <c r="E49" i="15"/>
  <c r="J49" i="15" s="1"/>
  <c r="K49" i="15" s="1"/>
  <c r="D48" i="15"/>
  <c r="D46" i="15"/>
  <c r="E45" i="15"/>
  <c r="D44" i="15"/>
  <c r="D42" i="15"/>
  <c r="E41" i="15"/>
  <c r="D40" i="15"/>
  <c r="E39" i="15"/>
  <c r="H38" i="15"/>
  <c r="F38" i="15"/>
  <c r="D38" i="15"/>
  <c r="D28" i="15"/>
  <c r="D13" i="15"/>
  <c r="J61" i="16"/>
  <c r="I61" i="7"/>
  <c r="E48" i="16"/>
  <c r="D38" i="16"/>
  <c r="E29" i="16"/>
  <c r="J73" i="17"/>
  <c r="E14" i="18"/>
  <c r="E10" i="12"/>
  <c r="I47" i="24"/>
  <c r="I41" i="24"/>
  <c r="I25" i="24"/>
  <c r="I19" i="24"/>
  <c r="K48" i="26"/>
  <c r="K56" i="26"/>
  <c r="K36" i="26"/>
  <c r="K16" i="26"/>
  <c r="G50" i="12"/>
  <c r="F41" i="7"/>
  <c r="E50" i="12"/>
  <c r="D41" i="7" s="1"/>
  <c r="I49" i="25"/>
  <c r="I39" i="25"/>
  <c r="I15" i="25"/>
  <c r="L86" i="27"/>
  <c r="K97" i="27"/>
  <c r="H47" i="24"/>
  <c r="H41" i="24"/>
  <c r="H25" i="24"/>
  <c r="H19" i="24"/>
  <c r="J81" i="27"/>
  <c r="J99" i="27" s="1"/>
  <c r="I45" i="24"/>
  <c r="I44" i="24" s="1"/>
  <c r="I35" i="24"/>
  <c r="I29" i="24"/>
  <c r="I28" i="24" s="1"/>
  <c r="H52" i="25"/>
  <c r="H44" i="25"/>
  <c r="H28" i="25"/>
  <c r="H55" i="25" s="1"/>
  <c r="H20" i="25"/>
  <c r="H10" i="25"/>
  <c r="J56" i="26"/>
  <c r="J48" i="26"/>
  <c r="J36" i="26"/>
  <c r="J28" i="26"/>
  <c r="J16" i="26"/>
  <c r="J97" i="27"/>
  <c r="H64" i="31"/>
  <c r="E26" i="33"/>
  <c r="G79" i="34"/>
  <c r="D53" i="34"/>
  <c r="D17" i="15"/>
  <c r="D79" i="34"/>
  <c r="D53" i="37"/>
  <c r="D32" i="15" s="1"/>
  <c r="K81" i="34"/>
  <c r="K76" i="34"/>
  <c r="K68" i="34"/>
  <c r="J55" i="34"/>
  <c r="K55" i="34" s="1"/>
  <c r="K54" i="34"/>
  <c r="K46" i="34"/>
  <c r="K45" i="34"/>
  <c r="J12" i="34"/>
  <c r="K76" i="37"/>
  <c r="K75" i="37" s="1"/>
  <c r="K68" i="37"/>
  <c r="K67" i="37"/>
  <c r="K54" i="37"/>
  <c r="K46" i="37"/>
  <c r="K45" i="37" s="1"/>
  <c r="J45" i="37"/>
  <c r="E53" i="1"/>
  <c r="E81" i="15"/>
  <c r="J81" i="15" s="1"/>
  <c r="K81" i="15" s="1"/>
  <c r="J55" i="1"/>
  <c r="K75" i="1"/>
  <c r="K67" i="1"/>
  <c r="H79" i="1"/>
  <c r="F79" i="1"/>
  <c r="D53" i="52"/>
  <c r="K55" i="52"/>
  <c r="K53" i="52" s="1"/>
  <c r="K45" i="52"/>
  <c r="I79" i="52"/>
  <c r="K30" i="36"/>
  <c r="K65" i="15"/>
  <c r="D53" i="1"/>
  <c r="D81" i="15"/>
  <c r="K55" i="1"/>
  <c r="K53" i="1" s="1"/>
  <c r="G79" i="1"/>
  <c r="E53" i="52"/>
  <c r="J55" i="52"/>
  <c r="H79" i="52"/>
  <c r="F79" i="52"/>
  <c r="K66" i="15"/>
  <c r="E8" i="37"/>
  <c r="J75" i="1"/>
  <c r="J67" i="1"/>
  <c r="J53" i="1"/>
  <c r="J45" i="1"/>
  <c r="E8" i="1"/>
  <c r="J75" i="52"/>
  <c r="J67" i="52"/>
  <c r="J53" i="52"/>
  <c r="J45" i="52"/>
  <c r="J30" i="36"/>
  <c r="J118" i="17"/>
  <c r="J124" i="17" s="1"/>
  <c r="K157" i="17"/>
  <c r="G122" i="21"/>
  <c r="I122" i="21"/>
  <c r="K9" i="37"/>
  <c r="K81" i="1"/>
  <c r="E14" i="12"/>
  <c r="E79" i="1"/>
  <c r="D79" i="1"/>
  <c r="D71" i="15"/>
  <c r="J173" i="48"/>
  <c r="E342" i="47"/>
  <c r="P24" i="32"/>
  <c r="N24" i="32" s="1"/>
  <c r="A8" i="8"/>
  <c r="A7" i="28" s="1"/>
  <c r="A186" i="47"/>
  <c r="A26" i="8" s="1"/>
  <c r="A25" i="28" s="1"/>
  <c r="A9" i="8"/>
  <c r="A8" i="28" s="1"/>
  <c r="A197" i="47"/>
  <c r="A27" i="8" s="1"/>
  <c r="A26" i="28" s="1"/>
  <c r="A10" i="8"/>
  <c r="A9" i="28" s="1"/>
  <c r="A208" i="47"/>
  <c r="A28" i="8" s="1"/>
  <c r="A27" i="28" s="1"/>
  <c r="A219" i="47"/>
  <c r="A29" i="8" s="1"/>
  <c r="A28" i="28" s="1"/>
  <c r="A12" i="8"/>
  <c r="A11" i="28" s="1"/>
  <c r="A230" i="47"/>
  <c r="A30" i="8" s="1"/>
  <c r="A29" i="28" s="1"/>
  <c r="A13" i="8"/>
  <c r="A12" i="28" s="1"/>
  <c r="A241" i="47"/>
  <c r="A31" i="8" s="1"/>
  <c r="A30" i="28" s="1"/>
  <c r="A14" i="8"/>
  <c r="A13" i="28"/>
  <c r="A252" i="47"/>
  <c r="A32" i="8" s="1"/>
  <c r="A31" i="28" s="1"/>
  <c r="A15" i="8"/>
  <c r="A14" i="28" s="1"/>
  <c r="A263" i="47"/>
  <c r="A33" i="8"/>
  <c r="A32" i="28" s="1"/>
  <c r="A16" i="8"/>
  <c r="A15" i="28" s="1"/>
  <c r="A274" i="47"/>
  <c r="A34" i="8"/>
  <c r="A33" i="28" s="1"/>
  <c r="A17" i="8"/>
  <c r="A16" i="28"/>
  <c r="A285" i="47"/>
  <c r="A35" i="8" s="1"/>
  <c r="A34" i="28" s="1"/>
  <c r="A18" i="8"/>
  <c r="A17" i="28"/>
  <c r="A296" i="47"/>
  <c r="A36" i="8" s="1"/>
  <c r="A35" i="28" s="1"/>
  <c r="D143" i="46"/>
  <c r="A19" i="8"/>
  <c r="A18" i="28"/>
  <c r="A307" i="47"/>
  <c r="A37" i="8"/>
  <c r="A36" i="28"/>
  <c r="A20" i="8"/>
  <c r="A19" i="28" s="1"/>
  <c r="A318" i="47"/>
  <c r="A38" i="8"/>
  <c r="A37" i="28"/>
  <c r="A21" i="8"/>
  <c r="A20" i="28"/>
  <c r="A329" i="47"/>
  <c r="A39" i="8"/>
  <c r="A38" i="28" s="1"/>
  <c r="A1" i="48"/>
  <c r="L97" i="27"/>
  <c r="D7" i="15"/>
  <c r="D51" i="7"/>
  <c r="E41" i="7"/>
  <c r="E23" i="11"/>
  <c r="J15" i="11"/>
  <c r="E50" i="7"/>
  <c r="F21" i="14"/>
  <c r="O7" i="33"/>
  <c r="K45" i="11"/>
  <c r="O6" i="33" s="1"/>
  <c r="D40" i="10"/>
  <c r="D44" i="10"/>
  <c r="H8" i="22" s="1"/>
  <c r="G7" i="20"/>
  <c r="D342" i="47"/>
  <c r="K8" i="9"/>
  <c r="J11" i="9"/>
  <c r="J21" i="9"/>
  <c r="K22" i="9"/>
  <c r="N7" i="32"/>
  <c r="A210" i="48"/>
  <c r="A29" i="11" s="1"/>
  <c r="A232" i="48"/>
  <c r="A31" i="11" s="1"/>
  <c r="A13" i="11"/>
  <c r="A11" i="32" s="1"/>
  <c r="A29" i="32" s="1"/>
  <c r="A243" i="48"/>
  <c r="A32" i="11" s="1"/>
  <c r="A14" i="11"/>
  <c r="A12" i="32" s="1"/>
  <c r="A30" i="32" s="1"/>
  <c r="A254" i="48"/>
  <c r="A33" i="11" s="1"/>
  <c r="A15" i="11"/>
  <c r="A13" i="32"/>
  <c r="A31" i="32" s="1"/>
  <c r="A265" i="48"/>
  <c r="A34" i="11" s="1"/>
  <c r="A16" i="11"/>
  <c r="A14" i="32"/>
  <c r="A32" i="32" s="1"/>
  <c r="A276" i="48"/>
  <c r="A35" i="11"/>
  <c r="A17" i="11"/>
  <c r="A15" i="32" s="1"/>
  <c r="A33" i="32" s="1"/>
  <c r="A287" i="48"/>
  <c r="A36" i="11"/>
  <c r="A18" i="11"/>
  <c r="A16" i="32" s="1"/>
  <c r="A34" i="32" s="1"/>
  <c r="A298" i="48"/>
  <c r="A37" i="11" s="1"/>
  <c r="A19" i="11"/>
  <c r="A17" i="32"/>
  <c r="A35" i="32" s="1"/>
  <c r="P6" i="28"/>
  <c r="A309" i="48"/>
  <c r="A38" i="11" s="1"/>
  <c r="A20" i="11"/>
  <c r="A18" i="32" s="1"/>
  <c r="A36" i="32"/>
  <c r="A320" i="48"/>
  <c r="A39" i="11" s="1"/>
  <c r="A21" i="11"/>
  <c r="A19" i="32"/>
  <c r="A37" i="32"/>
  <c r="A331" i="48"/>
  <c r="A40" i="11" s="1"/>
  <c r="A22" i="11"/>
  <c r="A20" i="32"/>
  <c r="A38" i="32" s="1"/>
  <c r="J103" i="27"/>
  <c r="A1" i="9"/>
  <c r="N6" i="28"/>
  <c r="P21" i="29"/>
  <c r="N21" i="29" s="1"/>
  <c r="O21" i="29" s="1"/>
  <c r="P7" i="29"/>
  <c r="N7" i="29"/>
  <c r="O7" i="29" s="1"/>
  <c r="K15" i="11"/>
  <c r="E52" i="7"/>
  <c r="C58" i="7"/>
  <c r="G34" i="20"/>
  <c r="D86" i="15"/>
  <c r="D82" i="15"/>
  <c r="H17" i="22"/>
  <c r="H14" i="20"/>
  <c r="D37" i="7"/>
  <c r="E27" i="12"/>
  <c r="E44" i="12" s="1"/>
  <c r="E63" i="12" s="1"/>
  <c r="P13" i="32"/>
  <c r="O6" i="28"/>
  <c r="N13" i="32"/>
  <c r="L26" i="29" l="1"/>
  <c r="I14" i="7"/>
  <c r="J14" i="7" s="1"/>
  <c r="I47" i="15"/>
  <c r="F34" i="7"/>
  <c r="H62" i="18"/>
  <c r="J13" i="18"/>
  <c r="I14" i="18"/>
  <c r="I10" i="12" s="1"/>
  <c r="J10" i="12" s="1"/>
  <c r="G36" i="12"/>
  <c r="C44" i="7"/>
  <c r="G39" i="20"/>
  <c r="H7" i="22" s="1"/>
  <c r="D7" i="14"/>
  <c r="D8" i="14" s="1"/>
  <c r="C47" i="7"/>
  <c r="G23" i="20"/>
  <c r="I31" i="7"/>
  <c r="J31" i="7" s="1"/>
  <c r="H47" i="12"/>
  <c r="H50" i="12" s="1"/>
  <c r="G41" i="7" s="1"/>
  <c r="J9" i="12"/>
  <c r="L53" i="31"/>
  <c r="M30" i="26"/>
  <c r="M57" i="26" s="1"/>
  <c r="L30" i="26"/>
  <c r="L57" i="26" s="1"/>
  <c r="D52" i="24"/>
  <c r="M50" i="12"/>
  <c r="L41" i="7" s="1"/>
  <c r="H27" i="12"/>
  <c r="I9" i="7"/>
  <c r="G27" i="25"/>
  <c r="G54" i="25" s="1"/>
  <c r="J10" i="17"/>
  <c r="J16" i="7"/>
  <c r="H41" i="12"/>
  <c r="J39" i="12"/>
  <c r="J41" i="12" s="1"/>
  <c r="I40" i="13"/>
  <c r="I42" i="13" s="1"/>
  <c r="K81" i="46"/>
  <c r="J16" i="8"/>
  <c r="J106" i="47"/>
  <c r="I67" i="15"/>
  <c r="H55" i="7" s="1"/>
  <c r="I55" i="7" s="1"/>
  <c r="J55" i="7" s="1"/>
  <c r="E31" i="24"/>
  <c r="I31" i="24"/>
  <c r="I52" i="24" s="1"/>
  <c r="H31" i="24"/>
  <c r="H52" i="24" s="1"/>
  <c r="I36" i="12"/>
  <c r="H39" i="7" s="1"/>
  <c r="J35" i="18"/>
  <c r="J34" i="12"/>
  <c r="K35" i="18"/>
  <c r="J46" i="17"/>
  <c r="B99" i="39"/>
  <c r="B97" i="39"/>
  <c r="B95" i="39"/>
  <c r="B93" i="39"/>
  <c r="A1" i="33" s="1"/>
  <c r="B91" i="39"/>
  <c r="B89" i="39"/>
  <c r="B87" i="39"/>
  <c r="B85" i="39"/>
  <c r="A1" i="25" s="1"/>
  <c r="B83" i="39"/>
  <c r="B81" i="39"/>
  <c r="B79" i="39"/>
  <c r="B77" i="39"/>
  <c r="A1" i="17" s="1"/>
  <c r="B72" i="39"/>
  <c r="B73" i="39"/>
  <c r="B76" i="39"/>
  <c r="B74" i="39"/>
  <c r="A1" i="14" s="1"/>
  <c r="J11" i="20"/>
  <c r="L50" i="12"/>
  <c r="K41" i="7" s="1"/>
  <c r="I30" i="26"/>
  <c r="I57" i="26" s="1"/>
  <c r="C30" i="26"/>
  <c r="C57" i="26" s="1"/>
  <c r="I33" i="25"/>
  <c r="K54" i="25"/>
  <c r="C51" i="25"/>
  <c r="I10" i="25"/>
  <c r="I27" i="25" s="1"/>
  <c r="C27" i="25"/>
  <c r="I34" i="24"/>
  <c r="I50" i="24" s="1"/>
  <c r="J31" i="24"/>
  <c r="J52" i="24"/>
  <c r="H35" i="23"/>
  <c r="E63" i="10"/>
  <c r="E54" i="8" s="1"/>
  <c r="E40" i="10"/>
  <c r="E44" i="10" s="1"/>
  <c r="E46" i="10" s="1"/>
  <c r="E48" i="10" s="1"/>
  <c r="E50" i="10" s="1"/>
  <c r="H24" i="10"/>
  <c r="I11" i="7"/>
  <c r="J11" i="7" s="1"/>
  <c r="E21" i="7"/>
  <c r="E24" i="7" s="1"/>
  <c r="E26" i="7" s="1"/>
  <c r="D46" i="10"/>
  <c r="D48" i="10" s="1"/>
  <c r="D50" i="10" s="1"/>
  <c r="F24" i="10"/>
  <c r="F21" i="7"/>
  <c r="F24" i="7" s="1"/>
  <c r="F26" i="7" s="1"/>
  <c r="R21" i="30"/>
  <c r="L11" i="7"/>
  <c r="K48" i="15"/>
  <c r="J18" i="15"/>
  <c r="K18" i="15" s="1"/>
  <c r="J10" i="18"/>
  <c r="J19" i="13"/>
  <c r="G21" i="7"/>
  <c r="I10" i="7"/>
  <c r="J10" i="7" s="1"/>
  <c r="H40" i="8"/>
  <c r="H55" i="8" s="1"/>
  <c r="J15" i="8"/>
  <c r="I76" i="46"/>
  <c r="J101" i="27"/>
  <c r="C103" i="27"/>
  <c r="K99" i="27"/>
  <c r="L99" i="27" s="1"/>
  <c r="L65" i="27"/>
  <c r="C101" i="27"/>
  <c r="L30" i="27"/>
  <c r="K103" i="27"/>
  <c r="L103" i="27" s="1"/>
  <c r="K14" i="27"/>
  <c r="J48" i="9"/>
  <c r="J130" i="46"/>
  <c r="J123" i="46" s="1"/>
  <c r="J47" i="9"/>
  <c r="K130" i="46"/>
  <c r="I44" i="9"/>
  <c r="K128" i="46"/>
  <c r="K127" i="46" s="1"/>
  <c r="J46" i="9"/>
  <c r="I123" i="46"/>
  <c r="J45" i="9"/>
  <c r="K45" i="9" s="1"/>
  <c r="P44" i="29" s="1"/>
  <c r="N44" i="29" s="1"/>
  <c r="O44" i="29" s="1"/>
  <c r="J43" i="9"/>
  <c r="K119" i="46"/>
  <c r="H40" i="9"/>
  <c r="H50" i="9" s="1"/>
  <c r="J42" i="9"/>
  <c r="J113" i="46"/>
  <c r="J108" i="46" s="1"/>
  <c r="K113" i="46"/>
  <c r="K108" i="46" s="1"/>
  <c r="I108" i="46"/>
  <c r="I40" i="9"/>
  <c r="H108" i="46"/>
  <c r="H142" i="46" s="1"/>
  <c r="H143" i="46" s="1"/>
  <c r="J41" i="9"/>
  <c r="K109" i="46"/>
  <c r="J39" i="9"/>
  <c r="K37" i="9"/>
  <c r="P36" i="29" s="1"/>
  <c r="N36" i="29" s="1"/>
  <c r="O36" i="29" s="1"/>
  <c r="J97" i="46"/>
  <c r="I86" i="46"/>
  <c r="J38" i="9"/>
  <c r="K38" i="9" s="1"/>
  <c r="P37" i="29" s="1"/>
  <c r="N37" i="29" s="1"/>
  <c r="O37" i="29" s="1"/>
  <c r="K87" i="46"/>
  <c r="J36" i="9"/>
  <c r="I35" i="9"/>
  <c r="J35" i="9" s="1"/>
  <c r="J87" i="46"/>
  <c r="J86" i="46" s="1"/>
  <c r="I33" i="9"/>
  <c r="J33" i="9" s="1"/>
  <c r="J30" i="9" s="1"/>
  <c r="K76" i="46"/>
  <c r="J81" i="46"/>
  <c r="J76" i="46" s="1"/>
  <c r="J32" i="9"/>
  <c r="I39" i="46"/>
  <c r="J19" i="9"/>
  <c r="J17" i="9" s="1"/>
  <c r="I17" i="9"/>
  <c r="I73" i="46"/>
  <c r="H10" i="9"/>
  <c r="J51" i="47"/>
  <c r="K51" i="47" s="1"/>
  <c r="J11" i="8"/>
  <c r="J230" i="47"/>
  <c r="K230" i="47" s="1"/>
  <c r="K29" i="8"/>
  <c r="P28" i="28" s="1"/>
  <c r="N28" i="28" s="1"/>
  <c r="O28" i="28" s="1"/>
  <c r="I22" i="8"/>
  <c r="J95" i="47"/>
  <c r="K95" i="47" s="1"/>
  <c r="I172" i="47"/>
  <c r="H172" i="47"/>
  <c r="H26" i="29"/>
  <c r="M64" i="31"/>
  <c r="I8" i="34"/>
  <c r="I79" i="34" s="1"/>
  <c r="L39" i="30"/>
  <c r="L43" i="30" s="1"/>
  <c r="H39" i="30"/>
  <c r="H43" i="30" s="1"/>
  <c r="L55" i="31"/>
  <c r="L65" i="31" s="1"/>
  <c r="J64" i="31"/>
  <c r="K53" i="31"/>
  <c r="J55" i="31"/>
  <c r="J65" i="31" s="1"/>
  <c r="Q55" i="31"/>
  <c r="Q65" i="31" s="1"/>
  <c r="R55" i="31"/>
  <c r="R65" i="31" s="1"/>
  <c r="N7" i="33"/>
  <c r="M26" i="33"/>
  <c r="M39" i="30"/>
  <c r="M43" i="30" s="1"/>
  <c r="K39" i="30"/>
  <c r="K43" i="30" s="1"/>
  <c r="J39" i="30"/>
  <c r="J43" i="30" s="1"/>
  <c r="I41" i="15"/>
  <c r="K26" i="33"/>
  <c r="M40" i="32"/>
  <c r="J40" i="32"/>
  <c r="K12" i="1"/>
  <c r="J29" i="34"/>
  <c r="J12" i="15"/>
  <c r="J42" i="15"/>
  <c r="K53" i="34"/>
  <c r="J17" i="15"/>
  <c r="K17" i="15" s="1"/>
  <c r="I40" i="22"/>
  <c r="H40" i="13"/>
  <c r="H42" i="13" s="1"/>
  <c r="H7" i="14" s="1"/>
  <c r="H8" i="14" s="1"/>
  <c r="H47" i="7"/>
  <c r="I44" i="7"/>
  <c r="H45" i="7"/>
  <c r="I45" i="7" s="1"/>
  <c r="J45" i="7" s="1"/>
  <c r="J29" i="13"/>
  <c r="L62" i="18"/>
  <c r="H38" i="7"/>
  <c r="I38" i="7" s="1"/>
  <c r="J38" i="7" s="1"/>
  <c r="J21" i="12"/>
  <c r="I18" i="7"/>
  <c r="J18" i="7" s="1"/>
  <c r="I22" i="7"/>
  <c r="J22" i="7" s="1"/>
  <c r="G24" i="7"/>
  <c r="G26" i="7" s="1"/>
  <c r="P20" i="30"/>
  <c r="N20" i="30" s="1"/>
  <c r="O20" i="30" s="1"/>
  <c r="I14" i="22"/>
  <c r="J22" i="10"/>
  <c r="K22" i="10" s="1"/>
  <c r="P21" i="30" s="1"/>
  <c r="N21" i="30" s="1"/>
  <c r="O21" i="30" s="1"/>
  <c r="K46" i="17"/>
  <c r="H13" i="7"/>
  <c r="I13" i="7" s="1"/>
  <c r="J27" i="10"/>
  <c r="K62" i="17"/>
  <c r="K64" i="17" s="1"/>
  <c r="K27" i="10"/>
  <c r="K85" i="17"/>
  <c r="J85" i="17"/>
  <c r="K34" i="10"/>
  <c r="P33" i="30" s="1"/>
  <c r="N33" i="30" s="1"/>
  <c r="O33" i="30" s="1"/>
  <c r="I36" i="10"/>
  <c r="I38" i="10" s="1"/>
  <c r="L157" i="17"/>
  <c r="L161" i="17" s="1"/>
  <c r="I24" i="10"/>
  <c r="I63" i="10" s="1"/>
  <c r="I54" i="8" s="1"/>
  <c r="J7" i="10"/>
  <c r="H7" i="7"/>
  <c r="B30" i="7"/>
  <c r="H106" i="15"/>
  <c r="K154" i="17"/>
  <c r="J154" i="17"/>
  <c r="K80" i="16"/>
  <c r="J62" i="7" s="1"/>
  <c r="B67" i="7"/>
  <c r="J67" i="7" s="1"/>
  <c r="C29" i="16"/>
  <c r="J65" i="7"/>
  <c r="C17" i="16"/>
  <c r="J59" i="15"/>
  <c r="J67" i="15" s="1"/>
  <c r="B55" i="7"/>
  <c r="C106" i="15"/>
  <c r="I8" i="20"/>
  <c r="H5" i="22"/>
  <c r="M40" i="13"/>
  <c r="L40" i="13"/>
  <c r="C40" i="13"/>
  <c r="C42" i="13" s="1"/>
  <c r="C7" i="14" s="1"/>
  <c r="C8" i="14" s="1"/>
  <c r="C10" i="14" s="1"/>
  <c r="B50" i="7" s="1"/>
  <c r="B44" i="7"/>
  <c r="K19" i="13"/>
  <c r="K70" i="15"/>
  <c r="K11" i="10"/>
  <c r="K10" i="10"/>
  <c r="P9" i="30" s="1"/>
  <c r="N9" i="30" s="1"/>
  <c r="O9" i="30" s="1"/>
  <c r="B8" i="7"/>
  <c r="K10" i="17"/>
  <c r="G36" i="22"/>
  <c r="G9" i="22" s="1"/>
  <c r="J9" i="7"/>
  <c r="G30" i="7"/>
  <c r="G34" i="7" s="1"/>
  <c r="I33" i="7"/>
  <c r="J33" i="7" s="1"/>
  <c r="J243" i="48"/>
  <c r="K243" i="48" s="1"/>
  <c r="I342" i="48"/>
  <c r="I343" i="48" s="1"/>
  <c r="H30" i="7"/>
  <c r="H65" i="11"/>
  <c r="K55" i="11"/>
  <c r="O16" i="33" s="1"/>
  <c r="J49" i="11"/>
  <c r="H342" i="48"/>
  <c r="H343" i="48" s="1"/>
  <c r="J35" i="11"/>
  <c r="H41" i="11"/>
  <c r="H42" i="11" s="1"/>
  <c r="G29" i="7" s="1"/>
  <c r="J276" i="48"/>
  <c r="K276" i="48" s="1"/>
  <c r="K33" i="11"/>
  <c r="P31" i="32" s="1"/>
  <c r="N31" i="32" s="1"/>
  <c r="C342" i="48"/>
  <c r="C343" i="48" s="1"/>
  <c r="J31" i="11"/>
  <c r="K31" i="11" s="1"/>
  <c r="P29" i="32" s="1"/>
  <c r="N29" i="32" s="1"/>
  <c r="J232" i="48"/>
  <c r="K232" i="48" s="1"/>
  <c r="J30" i="11"/>
  <c r="J29" i="11"/>
  <c r="K59" i="11"/>
  <c r="O20" i="33" s="1"/>
  <c r="N20" i="33" s="1"/>
  <c r="J59" i="11"/>
  <c r="J55" i="11"/>
  <c r="I65" i="11"/>
  <c r="O11" i="33"/>
  <c r="N11" i="33" s="1"/>
  <c r="K49" i="11"/>
  <c r="O10" i="33" s="1"/>
  <c r="N10" i="33" s="1"/>
  <c r="J45" i="11"/>
  <c r="I48" i="12"/>
  <c r="F11" i="20"/>
  <c r="C62" i="18"/>
  <c r="C57" i="14"/>
  <c r="C19" i="14" s="1"/>
  <c r="C50" i="12"/>
  <c r="B41" i="7" s="1"/>
  <c r="C36" i="12"/>
  <c r="K32" i="12"/>
  <c r="C43" i="14"/>
  <c r="K10" i="12"/>
  <c r="K43" i="14" s="1"/>
  <c r="K13" i="18"/>
  <c r="C14" i="12"/>
  <c r="B37" i="7" s="1"/>
  <c r="F15" i="20"/>
  <c r="C27" i="12"/>
  <c r="K41" i="28"/>
  <c r="G41" i="28"/>
  <c r="C41" i="28"/>
  <c r="L41" i="28"/>
  <c r="H41" i="28"/>
  <c r="D41" i="28"/>
  <c r="M49" i="29"/>
  <c r="J49" i="29"/>
  <c r="F49" i="29"/>
  <c r="K49" i="29"/>
  <c r="I49" i="29"/>
  <c r="G49" i="29"/>
  <c r="C49" i="29"/>
  <c r="M26" i="29"/>
  <c r="I26" i="29"/>
  <c r="E26" i="29"/>
  <c r="J26" i="29"/>
  <c r="F26" i="29"/>
  <c r="M79" i="52"/>
  <c r="M107" i="52" s="1"/>
  <c r="L8" i="52"/>
  <c r="L79" i="52" s="1"/>
  <c r="C8" i="52"/>
  <c r="C79" i="52" s="1"/>
  <c r="C107" i="52" s="1"/>
  <c r="J12" i="52"/>
  <c r="K12" i="52" s="1"/>
  <c r="L44" i="15"/>
  <c r="K14" i="15"/>
  <c r="K29" i="34"/>
  <c r="K12" i="34"/>
  <c r="C39" i="15"/>
  <c r="C13" i="15"/>
  <c r="C7" i="15" s="1"/>
  <c r="C42" i="15"/>
  <c r="K42" i="15" s="1"/>
  <c r="M8" i="34"/>
  <c r="M79" i="34" s="1"/>
  <c r="L8" i="34"/>
  <c r="L79" i="34" s="1"/>
  <c r="C26" i="33"/>
  <c r="L47" i="15"/>
  <c r="M47" i="15"/>
  <c r="M41" i="15"/>
  <c r="M43" i="15" s="1"/>
  <c r="L41" i="15"/>
  <c r="M28" i="15"/>
  <c r="M22" i="15" s="1"/>
  <c r="L57" i="7" s="1"/>
  <c r="L8" i="37"/>
  <c r="L79" i="37" s="1"/>
  <c r="L23" i="15"/>
  <c r="L8" i="1"/>
  <c r="L79" i="1" s="1"/>
  <c r="L73" i="15"/>
  <c r="M77" i="15"/>
  <c r="M71" i="15" s="1"/>
  <c r="L77" i="15"/>
  <c r="L71" i="15" s="1"/>
  <c r="M8" i="1"/>
  <c r="M79" i="1" s="1"/>
  <c r="C77" i="15"/>
  <c r="C71" i="15" s="1"/>
  <c r="C22" i="15"/>
  <c r="C85" i="15"/>
  <c r="B57" i="7"/>
  <c r="I26" i="33"/>
  <c r="F26" i="33"/>
  <c r="E40" i="32"/>
  <c r="N16" i="33"/>
  <c r="D26" i="33"/>
  <c r="O47" i="31"/>
  <c r="H55" i="31"/>
  <c r="H65" i="31" s="1"/>
  <c r="N47" i="31"/>
  <c r="G55" i="31"/>
  <c r="G65" i="31" s="1"/>
  <c r="E55" i="31"/>
  <c r="D55" i="31"/>
  <c r="F8" i="20"/>
  <c r="K32" i="10"/>
  <c r="J56" i="7"/>
  <c r="P26" i="30"/>
  <c r="B13" i="7"/>
  <c r="J13" i="7" s="1"/>
  <c r="C38" i="10"/>
  <c r="G41" i="22"/>
  <c r="G10" i="22" s="1"/>
  <c r="C44" i="14" s="1"/>
  <c r="C40" i="14" s="1"/>
  <c r="C16" i="14" s="1"/>
  <c r="G11" i="22"/>
  <c r="C24" i="10"/>
  <c r="F38" i="20" s="1"/>
  <c r="K12" i="10"/>
  <c r="P11" i="30" s="1"/>
  <c r="N11" i="30" s="1"/>
  <c r="O11" i="30" s="1"/>
  <c r="K20" i="17"/>
  <c r="J8" i="7"/>
  <c r="B12" i="7"/>
  <c r="K34" i="8"/>
  <c r="P33" i="28" s="1"/>
  <c r="N33" i="28" s="1"/>
  <c r="O33" i="28" s="1"/>
  <c r="K33" i="8"/>
  <c r="P32" i="28" s="1"/>
  <c r="N32" i="28" s="1"/>
  <c r="O32" i="28" s="1"/>
  <c r="K73" i="47"/>
  <c r="C172" i="47"/>
  <c r="C22" i="8"/>
  <c r="C123" i="46"/>
  <c r="K47" i="9"/>
  <c r="P46" i="29" s="1"/>
  <c r="N46" i="29" s="1"/>
  <c r="C44" i="9"/>
  <c r="K43" i="9"/>
  <c r="P42" i="29" s="1"/>
  <c r="N42" i="29" s="1"/>
  <c r="C108" i="46"/>
  <c r="C41" i="9"/>
  <c r="C40" i="9" s="1"/>
  <c r="K86" i="46"/>
  <c r="C34" i="9"/>
  <c r="C86" i="46"/>
  <c r="C30" i="9"/>
  <c r="C76" i="46"/>
  <c r="C142" i="46" s="1"/>
  <c r="K31" i="9"/>
  <c r="P30" i="29" s="1"/>
  <c r="N30" i="29" s="1"/>
  <c r="O30" i="29" s="1"/>
  <c r="K25" i="9"/>
  <c r="P24" i="29" s="1"/>
  <c r="N24" i="29" s="1"/>
  <c r="O24" i="29" s="1"/>
  <c r="K24" i="9"/>
  <c r="P23" i="29" s="1"/>
  <c r="N23" i="29" s="1"/>
  <c r="O23" i="29" s="1"/>
  <c r="C54" i="46"/>
  <c r="K23" i="9"/>
  <c r="K54" i="46"/>
  <c r="C21" i="9"/>
  <c r="K19" i="9"/>
  <c r="P18" i="29" s="1"/>
  <c r="N18" i="29" s="1"/>
  <c r="O18" i="29" s="1"/>
  <c r="K20" i="9"/>
  <c r="P19" i="29" s="1"/>
  <c r="N19" i="29" s="1"/>
  <c r="O19" i="29" s="1"/>
  <c r="P17" i="29"/>
  <c r="N17" i="29" s="1"/>
  <c r="O17" i="29" s="1"/>
  <c r="C17" i="9"/>
  <c r="C39" i="46"/>
  <c r="K40" i="46"/>
  <c r="K39" i="46" s="1"/>
  <c r="K13" i="9"/>
  <c r="P12" i="29" s="1"/>
  <c r="N12" i="29" s="1"/>
  <c r="O12" i="29" s="1"/>
  <c r="C7" i="46"/>
  <c r="C7" i="9"/>
  <c r="B34" i="7"/>
  <c r="C65" i="11"/>
  <c r="G12" i="22" s="1"/>
  <c r="N6" i="33"/>
  <c r="K31" i="24"/>
  <c r="K52" i="24" s="1"/>
  <c r="H48" i="23"/>
  <c r="H45" i="23"/>
  <c r="E32" i="23"/>
  <c r="I48" i="23"/>
  <c r="H42" i="23"/>
  <c r="H51" i="23"/>
  <c r="H29" i="23"/>
  <c r="G32" i="23"/>
  <c r="I20" i="23"/>
  <c r="H20" i="23"/>
  <c r="D32" i="23"/>
  <c r="D52" i="23" s="1"/>
  <c r="K51" i="23"/>
  <c r="E51" i="23"/>
  <c r="I9" i="23"/>
  <c r="I32" i="23" s="1"/>
  <c r="I52" i="23" s="1"/>
  <c r="I45" i="23"/>
  <c r="J51" i="23"/>
  <c r="D51" i="23"/>
  <c r="F32" i="23"/>
  <c r="F52" i="23" s="1"/>
  <c r="J32" i="23"/>
  <c r="K32" i="23"/>
  <c r="K52" i="23" s="1"/>
  <c r="M57" i="14"/>
  <c r="M19" i="14" s="1"/>
  <c r="L57" i="14"/>
  <c r="L19" i="14" s="1"/>
  <c r="M41" i="12"/>
  <c r="L40" i="7" s="1"/>
  <c r="L36" i="12"/>
  <c r="M36" i="12"/>
  <c r="J15" i="20"/>
  <c r="L39" i="7"/>
  <c r="I15" i="20"/>
  <c r="K39" i="7"/>
  <c r="L42" i="12"/>
  <c r="M38" i="16"/>
  <c r="K66" i="7"/>
  <c r="M29" i="16"/>
  <c r="L67" i="15"/>
  <c r="L86" i="15" s="1"/>
  <c r="Q39" i="32"/>
  <c r="Q40" i="32" s="1"/>
  <c r="L342" i="48"/>
  <c r="L343" i="48" s="1"/>
  <c r="R39" i="32"/>
  <c r="M342" i="48"/>
  <c r="M343" i="48" s="1"/>
  <c r="M41" i="11"/>
  <c r="Q20" i="33"/>
  <c r="Q26" i="33"/>
  <c r="Q31" i="33" s="1"/>
  <c r="L65" i="11"/>
  <c r="P6" i="33"/>
  <c r="P26" i="33" s="1"/>
  <c r="P31" i="33" s="1"/>
  <c r="K17" i="7"/>
  <c r="Q31" i="30"/>
  <c r="M70" i="15"/>
  <c r="L15" i="7"/>
  <c r="R29" i="30"/>
  <c r="L38" i="10"/>
  <c r="I7" i="20" s="1"/>
  <c r="Q26" i="30"/>
  <c r="Q37" i="30" s="1"/>
  <c r="K13" i="7"/>
  <c r="M38" i="10"/>
  <c r="J7" i="20" s="1"/>
  <c r="R26" i="30"/>
  <c r="L13" i="7"/>
  <c r="K11" i="7"/>
  <c r="K8" i="7"/>
  <c r="L8" i="7"/>
  <c r="Q8" i="30"/>
  <c r="M24" i="10"/>
  <c r="R6" i="30"/>
  <c r="R23" i="30" s="1"/>
  <c r="K41" i="22"/>
  <c r="K10" i="22" s="1"/>
  <c r="M44" i="14" s="1"/>
  <c r="K11" i="22"/>
  <c r="L7" i="7"/>
  <c r="L12" i="7" s="1"/>
  <c r="K36" i="22"/>
  <c r="J36" i="22"/>
  <c r="K37" i="22" s="1"/>
  <c r="K9" i="22" s="1"/>
  <c r="L24" i="10"/>
  <c r="J41" i="22"/>
  <c r="J10" i="22" s="1"/>
  <c r="L44" i="14" s="1"/>
  <c r="Q6" i="30"/>
  <c r="K7" i="7"/>
  <c r="J11" i="22"/>
  <c r="R37" i="30"/>
  <c r="Q23" i="30"/>
  <c r="R39" i="28"/>
  <c r="Q24" i="28"/>
  <c r="Q39" i="28" s="1"/>
  <c r="L40" i="8"/>
  <c r="M340" i="47"/>
  <c r="M342" i="47" s="1"/>
  <c r="L172" i="47"/>
  <c r="R8" i="28"/>
  <c r="R21" i="28" s="1"/>
  <c r="R41" i="28" s="1"/>
  <c r="M22" i="8"/>
  <c r="L9" i="8"/>
  <c r="M172" i="47"/>
  <c r="M123" i="46"/>
  <c r="Q46" i="29"/>
  <c r="L44" i="9"/>
  <c r="Q43" i="29" s="1"/>
  <c r="M46" i="9"/>
  <c r="R45" i="29" s="1"/>
  <c r="M44" i="9"/>
  <c r="R43" i="29" s="1"/>
  <c r="Q41" i="29"/>
  <c r="L40" i="9"/>
  <c r="Q39" i="29" s="1"/>
  <c r="M108" i="46"/>
  <c r="L108" i="46"/>
  <c r="M40" i="9"/>
  <c r="R39" i="29" s="1"/>
  <c r="Q38" i="29"/>
  <c r="L34" i="9"/>
  <c r="Q33" i="29" s="1"/>
  <c r="M86" i="46"/>
  <c r="M142" i="46" s="1"/>
  <c r="L86" i="46"/>
  <c r="M30" i="9"/>
  <c r="R29" i="29" s="1"/>
  <c r="L76" i="46"/>
  <c r="L30" i="9"/>
  <c r="Q23" i="29"/>
  <c r="L21" i="9"/>
  <c r="Q20" i="29" s="1"/>
  <c r="L54" i="46"/>
  <c r="M54" i="46"/>
  <c r="Q19" i="29"/>
  <c r="L17" i="9"/>
  <c r="Q16" i="29" s="1"/>
  <c r="L39" i="46"/>
  <c r="M17" i="9"/>
  <c r="R16" i="29" s="1"/>
  <c r="M39" i="46"/>
  <c r="L11" i="9"/>
  <c r="Q10" i="29" s="1"/>
  <c r="M11" i="9"/>
  <c r="R10" i="29" s="1"/>
  <c r="R11" i="29"/>
  <c r="M7" i="9"/>
  <c r="R6" i="29" s="1"/>
  <c r="L10" i="9"/>
  <c r="A221" i="48"/>
  <c r="A30" i="11" s="1"/>
  <c r="A12" i="11"/>
  <c r="A10" i="32" s="1"/>
  <c r="A28" i="32" s="1"/>
  <c r="A199" i="48"/>
  <c r="A28" i="11" s="1"/>
  <c r="A10" i="11"/>
  <c r="A8" i="32" s="1"/>
  <c r="A26" i="32" s="1"/>
  <c r="A9" i="11"/>
  <c r="A7" i="32" s="1"/>
  <c r="A25" i="32" s="1"/>
  <c r="A177" i="48"/>
  <c r="A26" i="11" s="1"/>
  <c r="A8" i="11"/>
  <c r="A6" i="32" s="1"/>
  <c r="A24" i="32" s="1"/>
  <c r="A7" i="47"/>
  <c r="Q22" i="32"/>
  <c r="K19" i="18"/>
  <c r="L16" i="18" s="1"/>
  <c r="L19" i="18" s="1"/>
  <c r="M16" i="18" s="1"/>
  <c r="M19" i="18" s="1"/>
  <c r="M13" i="18" s="1"/>
  <c r="M14" i="18" s="1"/>
  <c r="M10" i="12" s="1"/>
  <c r="M14" i="12" s="1"/>
  <c r="K14" i="18"/>
  <c r="D47" i="15"/>
  <c r="D22" i="15"/>
  <c r="D38" i="14"/>
  <c r="D40" i="14" s="1"/>
  <c r="D16" i="14" s="1"/>
  <c r="E155" i="21"/>
  <c r="C2" i="20"/>
  <c r="E109" i="21"/>
  <c r="D2" i="22"/>
  <c r="E201" i="21"/>
  <c r="J44" i="9"/>
  <c r="J40" i="9"/>
  <c r="K39" i="9"/>
  <c r="P38" i="29" s="1"/>
  <c r="N38" i="29" s="1"/>
  <c r="K36" i="9"/>
  <c r="J53" i="34"/>
  <c r="D79" i="37"/>
  <c r="A1" i="29"/>
  <c r="A1" i="12"/>
  <c r="A1" i="21"/>
  <c r="A1" i="32"/>
  <c r="A1" i="31"/>
  <c r="A1" i="40"/>
  <c r="A1" i="15"/>
  <c r="A1" i="23"/>
  <c r="A1" i="36"/>
  <c r="A1" i="27"/>
  <c r="A1" i="24"/>
  <c r="A1" i="47"/>
  <c r="A1" i="26"/>
  <c r="A1" i="1"/>
  <c r="A1" i="35"/>
  <c r="A1" i="13"/>
  <c r="A1" i="46"/>
  <c r="A1" i="18"/>
  <c r="A1" i="28"/>
  <c r="A1" i="22"/>
  <c r="A1" i="50"/>
  <c r="A1" i="19"/>
  <c r="A1" i="8"/>
  <c r="A1" i="37"/>
  <c r="A1" i="16"/>
  <c r="A1" i="30"/>
  <c r="A1" i="20"/>
  <c r="A1" i="52"/>
  <c r="A1" i="10"/>
  <c r="B4" i="50"/>
  <c r="B8" i="50" s="1"/>
  <c r="A1" i="34"/>
  <c r="K48" i="9"/>
  <c r="P47" i="29" s="1"/>
  <c r="N47" i="29" s="1"/>
  <c r="K46" i="9"/>
  <c r="K42" i="9"/>
  <c r="K32" i="9"/>
  <c r="E2" i="22"/>
  <c r="E74" i="39"/>
  <c r="E40" i="9"/>
  <c r="K15" i="9"/>
  <c r="G11" i="9"/>
  <c r="G27" i="9" s="1"/>
  <c r="G51" i="9" s="1"/>
  <c r="H7" i="9"/>
  <c r="H27" i="9" s="1"/>
  <c r="J9" i="9"/>
  <c r="K9" i="9" s="1"/>
  <c r="P8" i="29" s="1"/>
  <c r="N8" i="29" s="1"/>
  <c r="O8" i="29" s="1"/>
  <c r="E7" i="9"/>
  <c r="E27" i="9" s="1"/>
  <c r="E34" i="9"/>
  <c r="E30" i="9"/>
  <c r="E50" i="9" s="1"/>
  <c r="F11" i="9"/>
  <c r="F27" i="9" s="1"/>
  <c r="F51" i="9" s="1"/>
  <c r="C11" i="9"/>
  <c r="C27" i="9" s="1"/>
  <c r="J27" i="8"/>
  <c r="K31" i="27"/>
  <c r="M2" i="52"/>
  <c r="K3" i="22"/>
  <c r="M2" i="14"/>
  <c r="M2" i="10"/>
  <c r="J10" i="9"/>
  <c r="K10" i="9" s="1"/>
  <c r="P9" i="29" s="1"/>
  <c r="N9" i="29" s="1"/>
  <c r="O9" i="29" s="1"/>
  <c r="K67" i="46"/>
  <c r="K48" i="27"/>
  <c r="I7" i="9"/>
  <c r="J35" i="8"/>
  <c r="K135" i="46"/>
  <c r="K134" i="46" s="1"/>
  <c r="K123" i="46" s="1"/>
  <c r="K18" i="46"/>
  <c r="K17" i="46" s="1"/>
  <c r="L17" i="46"/>
  <c r="K12" i="46"/>
  <c r="K7" i="46" s="1"/>
  <c r="M40" i="8"/>
  <c r="E40" i="8"/>
  <c r="H22" i="8"/>
  <c r="C38" i="8"/>
  <c r="K38" i="8" s="1"/>
  <c r="P37" i="28" s="1"/>
  <c r="N37" i="28" s="1"/>
  <c r="O37" i="28" s="1"/>
  <c r="K318" i="47"/>
  <c r="C36" i="8"/>
  <c r="K36" i="8" s="1"/>
  <c r="P35" i="28" s="1"/>
  <c r="N35" i="28" s="1"/>
  <c r="O35" i="28" s="1"/>
  <c r="D35" i="8"/>
  <c r="C32" i="8"/>
  <c r="K32" i="8" s="1"/>
  <c r="P31" i="28" s="1"/>
  <c r="N31" i="28" s="1"/>
  <c r="O31" i="28" s="1"/>
  <c r="K252" i="47"/>
  <c r="D31" i="8"/>
  <c r="G340" i="47"/>
  <c r="G342" i="47" s="1"/>
  <c r="K12" i="8"/>
  <c r="P11" i="28" s="1"/>
  <c r="N11" i="28" s="1"/>
  <c r="O11" i="28" s="1"/>
  <c r="K36" i="11"/>
  <c r="P34" i="32" s="1"/>
  <c r="N34" i="32" s="1"/>
  <c r="K34" i="11"/>
  <c r="P32" i="32" s="1"/>
  <c r="N32" i="32" s="1"/>
  <c r="R20" i="32"/>
  <c r="M23" i="11"/>
  <c r="J18" i="46"/>
  <c r="J17" i="46" s="1"/>
  <c r="J12" i="46"/>
  <c r="J7" i="46" s="1"/>
  <c r="J73" i="46" s="1"/>
  <c r="M7" i="46"/>
  <c r="F40" i="8"/>
  <c r="F55" i="8" s="1"/>
  <c r="J19" i="8"/>
  <c r="K14" i="8"/>
  <c r="P13" i="28" s="1"/>
  <c r="N13" i="28" s="1"/>
  <c r="O13" i="28" s="1"/>
  <c r="K11" i="8"/>
  <c r="K9" i="8"/>
  <c r="P8" i="28" s="1"/>
  <c r="N8" i="28" s="1"/>
  <c r="O8" i="28" s="1"/>
  <c r="J8" i="8"/>
  <c r="K307" i="47"/>
  <c r="D37" i="8"/>
  <c r="J296" i="47"/>
  <c r="K296" i="47" s="1"/>
  <c r="G35" i="8"/>
  <c r="J285" i="47"/>
  <c r="K285" i="47" s="1"/>
  <c r="J263" i="47"/>
  <c r="K263" i="47" s="1"/>
  <c r="G31" i="8"/>
  <c r="J31" i="8" s="1"/>
  <c r="J241" i="47"/>
  <c r="K241" i="47" s="1"/>
  <c r="C28" i="8"/>
  <c r="K208" i="47"/>
  <c r="D27" i="8"/>
  <c r="L340" i="47"/>
  <c r="L342" i="47" s="1"/>
  <c r="K20" i="8"/>
  <c r="P19" i="28" s="1"/>
  <c r="N19" i="28" s="1"/>
  <c r="K128" i="47"/>
  <c r="D91" i="11"/>
  <c r="K37" i="11"/>
  <c r="P35" i="32" s="1"/>
  <c r="N35" i="32" s="1"/>
  <c r="K30" i="11"/>
  <c r="P28" i="32" s="1"/>
  <c r="N28" i="32" s="1"/>
  <c r="K28" i="11"/>
  <c r="P26" i="32" s="1"/>
  <c r="N26" i="32" s="1"/>
  <c r="C17" i="46"/>
  <c r="C73" i="46" s="1"/>
  <c r="J26" i="8"/>
  <c r="K26" i="8" s="1"/>
  <c r="P25" i="28" s="1"/>
  <c r="N25" i="28" s="1"/>
  <c r="O25" i="28" s="1"/>
  <c r="K19" i="8"/>
  <c r="P18" i="28" s="1"/>
  <c r="N18" i="28" s="1"/>
  <c r="G37" i="8"/>
  <c r="J37" i="8" s="1"/>
  <c r="J307" i="47"/>
  <c r="J219" i="47"/>
  <c r="K219" i="47" s="1"/>
  <c r="G27" i="8"/>
  <c r="J197" i="47"/>
  <c r="K197" i="47" s="1"/>
  <c r="C340" i="47"/>
  <c r="C342" i="47" s="1"/>
  <c r="I340" i="47"/>
  <c r="I25" i="8"/>
  <c r="J175" i="47"/>
  <c r="K175" i="47" s="1"/>
  <c r="K16" i="8"/>
  <c r="P15" i="28" s="1"/>
  <c r="N15" i="28" s="1"/>
  <c r="F22" i="8"/>
  <c r="K39" i="11"/>
  <c r="P37" i="32" s="1"/>
  <c r="N37" i="32" s="1"/>
  <c r="K35" i="11"/>
  <c r="P33" i="32" s="1"/>
  <c r="N33" i="32" s="1"/>
  <c r="J27" i="11"/>
  <c r="F41" i="11"/>
  <c r="F42" i="11" s="1"/>
  <c r="E29" i="7" s="1"/>
  <c r="M17" i="46"/>
  <c r="K15" i="8"/>
  <c r="P14" i="28" s="1"/>
  <c r="N14" i="28" s="1"/>
  <c r="O14" i="28" s="1"/>
  <c r="K13" i="8"/>
  <c r="P12" i="28" s="1"/>
  <c r="N12" i="28" s="1"/>
  <c r="O12" i="28" s="1"/>
  <c r="K10" i="8"/>
  <c r="P9" i="28" s="1"/>
  <c r="N9" i="28" s="1"/>
  <c r="O9" i="28" s="1"/>
  <c r="J329" i="47"/>
  <c r="K329" i="47" s="1"/>
  <c r="F340" i="47"/>
  <c r="H340" i="47"/>
  <c r="K84" i="47"/>
  <c r="K40" i="11"/>
  <c r="P38" i="32" s="1"/>
  <c r="N38" i="32" s="1"/>
  <c r="J37" i="11"/>
  <c r="I41" i="11"/>
  <c r="I42" i="11" s="1"/>
  <c r="H29" i="7" s="1"/>
  <c r="J40" i="47"/>
  <c r="K40" i="47" s="1"/>
  <c r="D45" i="15"/>
  <c r="K45" i="15" s="1"/>
  <c r="J54" i="26"/>
  <c r="J20" i="37"/>
  <c r="H26" i="15"/>
  <c r="J26" i="15" s="1"/>
  <c r="K26" i="15" s="1"/>
  <c r="K150" i="47"/>
  <c r="K106" i="47"/>
  <c r="K18" i="47"/>
  <c r="D41" i="11"/>
  <c r="D42" i="11" s="1"/>
  <c r="C29" i="7" s="1"/>
  <c r="J8" i="11"/>
  <c r="G342" i="48"/>
  <c r="G343" i="48" s="1"/>
  <c r="J309" i="48"/>
  <c r="K309" i="48" s="1"/>
  <c r="J265" i="48"/>
  <c r="K265" i="48" s="1"/>
  <c r="J221" i="48"/>
  <c r="K221" i="48" s="1"/>
  <c r="K96" i="48"/>
  <c r="K41" i="48"/>
  <c r="K29" i="13"/>
  <c r="J75" i="15"/>
  <c r="K75" i="15" s="1"/>
  <c r="I77" i="15"/>
  <c r="I71" i="15" s="1"/>
  <c r="K15" i="15"/>
  <c r="F13" i="15"/>
  <c r="F7" i="15" s="1"/>
  <c r="J9" i="15"/>
  <c r="K9" i="15" s="1"/>
  <c r="F39" i="15"/>
  <c r="J39" i="15" s="1"/>
  <c r="J8" i="15"/>
  <c r="E13" i="15"/>
  <c r="E7" i="15" s="1"/>
  <c r="E38" i="15"/>
  <c r="E52" i="24"/>
  <c r="I34" i="25"/>
  <c r="M41" i="28"/>
  <c r="I41" i="28"/>
  <c r="E41" i="28"/>
  <c r="F18" i="8"/>
  <c r="J18" i="8" s="1"/>
  <c r="K18" i="8" s="1"/>
  <c r="P17" i="28" s="1"/>
  <c r="N17" i="28" s="1"/>
  <c r="J274" i="47"/>
  <c r="K274" i="47" s="1"/>
  <c r="J186" i="47"/>
  <c r="K186" i="47" s="1"/>
  <c r="F172" i="47"/>
  <c r="J62" i="47"/>
  <c r="K62" i="47" s="1"/>
  <c r="C17" i="7"/>
  <c r="L41" i="11"/>
  <c r="L42" i="11" s="1"/>
  <c r="K29" i="7" s="1"/>
  <c r="E40" i="11"/>
  <c r="J40" i="11" s="1"/>
  <c r="C29" i="11"/>
  <c r="C41" i="11" s="1"/>
  <c r="C42" i="11" s="1"/>
  <c r="B29" i="7" s="1"/>
  <c r="E342" i="48"/>
  <c r="J320" i="48"/>
  <c r="K320" i="48" s="1"/>
  <c r="J210" i="48"/>
  <c r="K210" i="48" s="1"/>
  <c r="K74" i="48"/>
  <c r="J63" i="48"/>
  <c r="J19" i="48"/>
  <c r="G41" i="12"/>
  <c r="F40" i="7" s="1"/>
  <c r="G42" i="12"/>
  <c r="G44" i="12" s="1"/>
  <c r="G63" i="12" s="1"/>
  <c r="I40" i="15"/>
  <c r="I28" i="15"/>
  <c r="I22" i="15" s="1"/>
  <c r="H57" i="7" s="1"/>
  <c r="J25" i="15"/>
  <c r="K25" i="15" s="1"/>
  <c r="E28" i="15"/>
  <c r="E40" i="15"/>
  <c r="J19" i="15"/>
  <c r="G7" i="15"/>
  <c r="F29" i="16"/>
  <c r="J24" i="16"/>
  <c r="K37" i="18"/>
  <c r="K39" i="18" s="1"/>
  <c r="J39" i="18"/>
  <c r="J24" i="18"/>
  <c r="K23" i="18"/>
  <c r="K24" i="18" s="1"/>
  <c r="E32" i="11"/>
  <c r="J85" i="48"/>
  <c r="K85" i="48" s="1"/>
  <c r="K63" i="48"/>
  <c r="D173" i="48"/>
  <c r="K19" i="48"/>
  <c r="F36" i="12"/>
  <c r="M67" i="15"/>
  <c r="G28" i="15"/>
  <c r="G22" i="15" s="1"/>
  <c r="F57" i="7" s="1"/>
  <c r="K19" i="15"/>
  <c r="K12" i="15"/>
  <c r="G40" i="15"/>
  <c r="J10" i="15"/>
  <c r="K10" i="15" s="1"/>
  <c r="L13" i="15"/>
  <c r="L7" i="15" s="1"/>
  <c r="J38" i="16"/>
  <c r="K33" i="16"/>
  <c r="K38" i="16" s="1"/>
  <c r="J80" i="15"/>
  <c r="K80" i="15" s="1"/>
  <c r="J73" i="15"/>
  <c r="K73" i="15" s="1"/>
  <c r="J33" i="15"/>
  <c r="K33" i="15" s="1"/>
  <c r="F45" i="15"/>
  <c r="J45" i="15" s="1"/>
  <c r="J30" i="15"/>
  <c r="K30" i="15" s="1"/>
  <c r="K27" i="15"/>
  <c r="F28" i="15"/>
  <c r="F22" i="15" s="1"/>
  <c r="E57" i="7" s="1"/>
  <c r="K20" i="15"/>
  <c r="J46" i="15"/>
  <c r="K46" i="15" s="1"/>
  <c r="C45" i="15"/>
  <c r="I44" i="15"/>
  <c r="J44" i="15" s="1"/>
  <c r="C41" i="15"/>
  <c r="G38" i="15"/>
  <c r="K42" i="16"/>
  <c r="K47" i="16" s="1"/>
  <c r="K48" i="16" s="1"/>
  <c r="J47" i="16"/>
  <c r="J48" i="16" s="1"/>
  <c r="K56" i="18"/>
  <c r="J61" i="18"/>
  <c r="D62" i="18"/>
  <c r="G51" i="23"/>
  <c r="C51" i="23"/>
  <c r="E52" i="23"/>
  <c r="I44" i="25"/>
  <c r="E40" i="13"/>
  <c r="E42" i="13" s="1"/>
  <c r="J13" i="14"/>
  <c r="K13" i="14" s="1"/>
  <c r="K78" i="15"/>
  <c r="E77" i="15"/>
  <c r="E71" i="15" s="1"/>
  <c r="J72" i="15"/>
  <c r="J50" i="15"/>
  <c r="K50" i="15" s="1"/>
  <c r="J35" i="15"/>
  <c r="K35" i="15" s="1"/>
  <c r="G50" i="15"/>
  <c r="J31" i="15"/>
  <c r="K31" i="15" s="1"/>
  <c r="J24" i="15"/>
  <c r="M48" i="15"/>
  <c r="M46" i="15"/>
  <c r="M13" i="15"/>
  <c r="M7" i="15" s="1"/>
  <c r="J11" i="15"/>
  <c r="K11" i="15" s="1"/>
  <c r="H13" i="15"/>
  <c r="H7" i="15" s="1"/>
  <c r="I13" i="15"/>
  <c r="I7" i="15" s="1"/>
  <c r="J41" i="16"/>
  <c r="K41" i="16" s="1"/>
  <c r="L17" i="16"/>
  <c r="F17" i="16"/>
  <c r="J12" i="16"/>
  <c r="M62" i="18"/>
  <c r="K45" i="18"/>
  <c r="I35" i="23"/>
  <c r="I51" i="23" s="1"/>
  <c r="H26" i="23"/>
  <c r="I27" i="23"/>
  <c r="I26" i="23" s="1"/>
  <c r="L49" i="29"/>
  <c r="H49" i="29"/>
  <c r="H51" i="29" s="1"/>
  <c r="D49" i="29"/>
  <c r="D51" i="29" s="1"/>
  <c r="G40" i="13"/>
  <c r="G42" i="13" s="1"/>
  <c r="J74" i="15"/>
  <c r="K74" i="15" s="1"/>
  <c r="G77" i="15"/>
  <c r="G71" i="15" s="1"/>
  <c r="K29" i="15"/>
  <c r="C44" i="15"/>
  <c r="K24" i="15"/>
  <c r="J23" i="15"/>
  <c r="D39" i="15"/>
  <c r="K29" i="18"/>
  <c r="K30" i="18" s="1"/>
  <c r="J30" i="18"/>
  <c r="G31" i="24"/>
  <c r="G52" i="24" s="1"/>
  <c r="H25" i="25"/>
  <c r="H27" i="25" s="1"/>
  <c r="H54" i="25" s="1"/>
  <c r="F30" i="26"/>
  <c r="F57" i="26" s="1"/>
  <c r="F47" i="15"/>
  <c r="F51" i="25"/>
  <c r="F54" i="25" s="1"/>
  <c r="A43" i="25"/>
  <c r="A48" i="25"/>
  <c r="I51" i="29"/>
  <c r="E51" i="29"/>
  <c r="P64" i="31"/>
  <c r="P53" i="31"/>
  <c r="P55" i="31" s="1"/>
  <c r="C55" i="31"/>
  <c r="C57" i="31" s="1"/>
  <c r="D56" i="31" s="1"/>
  <c r="I55" i="31"/>
  <c r="L26" i="33"/>
  <c r="H26" i="33"/>
  <c r="K71" i="34"/>
  <c r="K43" i="36"/>
  <c r="H9" i="23"/>
  <c r="C32" i="23"/>
  <c r="H34" i="24"/>
  <c r="H50" i="24" s="1"/>
  <c r="C50" i="24"/>
  <c r="C52" i="24" s="1"/>
  <c r="F31" i="24"/>
  <c r="F52" i="24" s="1"/>
  <c r="A20" i="25"/>
  <c r="A25" i="25"/>
  <c r="E27" i="25"/>
  <c r="K19" i="26"/>
  <c r="K22" i="26" s="1"/>
  <c r="K30" i="26" s="1"/>
  <c r="K57" i="26" s="1"/>
  <c r="J22" i="26"/>
  <c r="J30" i="26" s="1"/>
  <c r="J57" i="26" s="1"/>
  <c r="H30" i="26"/>
  <c r="H57" i="26" s="1"/>
  <c r="I99" i="27"/>
  <c r="I101" i="27" s="1"/>
  <c r="I103" i="27"/>
  <c r="D101" i="27"/>
  <c r="M55" i="31"/>
  <c r="J26" i="33"/>
  <c r="J49" i="34"/>
  <c r="K50" i="34"/>
  <c r="K49" i="34" s="1"/>
  <c r="H8" i="34"/>
  <c r="H79" i="34" s="1"/>
  <c r="C8" i="34"/>
  <c r="C79" i="37"/>
  <c r="G8" i="52"/>
  <c r="J16" i="52"/>
  <c r="J51" i="25"/>
  <c r="J54" i="25" s="1"/>
  <c r="E51" i="25"/>
  <c r="I28" i="25"/>
  <c r="I55" i="25" s="1"/>
  <c r="D27" i="25"/>
  <c r="D54" i="25" s="1"/>
  <c r="K54" i="26"/>
  <c r="J42" i="26"/>
  <c r="E48" i="27"/>
  <c r="E101" i="27" s="1"/>
  <c r="E103" i="27"/>
  <c r="K26" i="29"/>
  <c r="G26" i="29"/>
  <c r="C26" i="29"/>
  <c r="C51" i="29" s="1"/>
  <c r="K55" i="31"/>
  <c r="O6" i="31"/>
  <c r="O22" i="31" s="1"/>
  <c r="O34" i="31" s="1"/>
  <c r="N22" i="31"/>
  <c r="N34" i="31" s="1"/>
  <c r="K77" i="34"/>
  <c r="K75" i="34" s="1"/>
  <c r="J75" i="34"/>
  <c r="K69" i="34"/>
  <c r="K67" i="34" s="1"/>
  <c r="J67" i="34"/>
  <c r="F8" i="34"/>
  <c r="F79" i="34" s="1"/>
  <c r="I79" i="37"/>
  <c r="K71" i="37"/>
  <c r="K29" i="37"/>
  <c r="K20" i="37"/>
  <c r="H8" i="37"/>
  <c r="H79" i="37" s="1"/>
  <c r="J23" i="1"/>
  <c r="I8" i="1"/>
  <c r="J81" i="52"/>
  <c r="K81" i="52" s="1"/>
  <c r="J20" i="34"/>
  <c r="K20" i="34" s="1"/>
  <c r="J81" i="37"/>
  <c r="K81" i="37" s="1"/>
  <c r="J71" i="37"/>
  <c r="E55" i="37"/>
  <c r="J12" i="37"/>
  <c r="K12" i="37" s="1"/>
  <c r="M8" i="37"/>
  <c r="M79" i="37" s="1"/>
  <c r="K71" i="1"/>
  <c r="J49" i="1"/>
  <c r="K50" i="1"/>
  <c r="K49" i="1" s="1"/>
  <c r="K23" i="1"/>
  <c r="J20" i="1"/>
  <c r="K20" i="1" s="1"/>
  <c r="J16" i="1"/>
  <c r="J9" i="1"/>
  <c r="K9" i="1" s="1"/>
  <c r="C8" i="1"/>
  <c r="K158" i="17"/>
  <c r="K161" i="17" s="1"/>
  <c r="J161" i="17"/>
  <c r="J23" i="34"/>
  <c r="K23" i="34" s="1"/>
  <c r="J16" i="34"/>
  <c r="K16" i="34" s="1"/>
  <c r="J9" i="34"/>
  <c r="K9" i="34" s="1"/>
  <c r="E8" i="34"/>
  <c r="F8" i="37"/>
  <c r="J29" i="1"/>
  <c r="K29" i="1" s="1"/>
  <c r="K16" i="1"/>
  <c r="K75" i="52"/>
  <c r="K71" i="52"/>
  <c r="K49" i="52"/>
  <c r="J20" i="52"/>
  <c r="K20" i="52" s="1"/>
  <c r="K16" i="52"/>
  <c r="L88" i="21"/>
  <c r="H122" i="21"/>
  <c r="E122" i="21"/>
  <c r="L134" i="21"/>
  <c r="J43" i="36"/>
  <c r="K8" i="36"/>
  <c r="K17" i="36" s="1"/>
  <c r="J17" i="36"/>
  <c r="I76" i="21"/>
  <c r="F122" i="21"/>
  <c r="M143" i="21"/>
  <c r="M168" i="21"/>
  <c r="F189" i="21"/>
  <c r="I189" i="21"/>
  <c r="F214" i="21"/>
  <c r="I214" i="21"/>
  <c r="M235" i="21"/>
  <c r="M51" i="29" l="1"/>
  <c r="K51" i="29"/>
  <c r="L51" i="29"/>
  <c r="I7" i="14"/>
  <c r="I8" i="14" s="1"/>
  <c r="I10" i="14" s="1"/>
  <c r="H50" i="7" s="1"/>
  <c r="J14" i="12"/>
  <c r="I14" i="12"/>
  <c r="H37" i="7" s="1"/>
  <c r="I37" i="7" s="1"/>
  <c r="J37" i="7" s="1"/>
  <c r="J14" i="18"/>
  <c r="J19" i="18"/>
  <c r="I42" i="12"/>
  <c r="J14" i="20"/>
  <c r="F39" i="7"/>
  <c r="D10" i="14"/>
  <c r="C50" i="7" s="1"/>
  <c r="K9" i="12"/>
  <c r="K14" i="12" s="1"/>
  <c r="K40" i="13"/>
  <c r="K42" i="13" s="1"/>
  <c r="L41" i="13" s="1"/>
  <c r="L42" i="13" s="1"/>
  <c r="I23" i="20" s="1"/>
  <c r="G52" i="23"/>
  <c r="G47" i="7"/>
  <c r="J40" i="13"/>
  <c r="J42" i="13" s="1"/>
  <c r="H10" i="14"/>
  <c r="H21" i="14" s="1"/>
  <c r="L55" i="8"/>
  <c r="K39" i="12"/>
  <c r="K41" i="12" s="1"/>
  <c r="H42" i="12"/>
  <c r="H44" i="12" s="1"/>
  <c r="H63" i="12" s="1"/>
  <c r="G40" i="7"/>
  <c r="I40" i="7" s="1"/>
  <c r="J40" i="7" s="1"/>
  <c r="J106" i="15"/>
  <c r="I43" i="15"/>
  <c r="I51" i="15" s="1"/>
  <c r="K59" i="15"/>
  <c r="K67" i="15" s="1"/>
  <c r="I106" i="15"/>
  <c r="K33" i="9"/>
  <c r="P32" i="29" s="1"/>
  <c r="N32" i="29" s="1"/>
  <c r="O32" i="29" s="1"/>
  <c r="H342" i="47"/>
  <c r="K34" i="12"/>
  <c r="K36" i="12" s="1"/>
  <c r="J36" i="12"/>
  <c r="J42" i="12" s="1"/>
  <c r="C54" i="25"/>
  <c r="F63" i="10"/>
  <c r="F40" i="10"/>
  <c r="F44" i="10" s="1"/>
  <c r="F46" i="10" s="1"/>
  <c r="F48" i="10" s="1"/>
  <c r="F50" i="10" s="1"/>
  <c r="H63" i="10"/>
  <c r="H40" i="10"/>
  <c r="H44" i="10" s="1"/>
  <c r="H46" i="10" s="1"/>
  <c r="H48" i="10" s="1"/>
  <c r="H50" i="10" s="1"/>
  <c r="K12" i="7"/>
  <c r="I342" i="47"/>
  <c r="P10" i="28"/>
  <c r="N10" i="28" s="1"/>
  <c r="O10" i="28" s="1"/>
  <c r="K15" i="27"/>
  <c r="L14" i="27"/>
  <c r="H51" i="9"/>
  <c r="I142" i="46"/>
  <c r="J142" i="46"/>
  <c r="J143" i="46" s="1"/>
  <c r="K142" i="46"/>
  <c r="J34" i="9"/>
  <c r="J50" i="9" s="1"/>
  <c r="I143" i="46"/>
  <c r="K35" i="9"/>
  <c r="P34" i="29" s="1"/>
  <c r="N34" i="29" s="1"/>
  <c r="O34" i="29" s="1"/>
  <c r="I34" i="9"/>
  <c r="I30" i="9"/>
  <c r="I27" i="9"/>
  <c r="J340" i="47"/>
  <c r="K340" i="47" s="1"/>
  <c r="F51" i="29"/>
  <c r="J44" i="7"/>
  <c r="J26" i="12"/>
  <c r="J27" i="12" s="1"/>
  <c r="K21" i="12"/>
  <c r="K26" i="12" s="1"/>
  <c r="J36" i="10"/>
  <c r="I7" i="7"/>
  <c r="J7" i="7" s="1"/>
  <c r="H12" i="7"/>
  <c r="I12" i="7" s="1"/>
  <c r="J12" i="7" s="1"/>
  <c r="K7" i="10"/>
  <c r="K24" i="10" s="1"/>
  <c r="H35" i="20" s="1"/>
  <c r="J24" i="10"/>
  <c r="J63" i="10" s="1"/>
  <c r="H19" i="7"/>
  <c r="I40" i="10"/>
  <c r="I44" i="10" s="1"/>
  <c r="I46" i="10" s="1"/>
  <c r="I48" i="10" s="1"/>
  <c r="I50" i="10" s="1"/>
  <c r="F39" i="20"/>
  <c r="G7" i="22" s="1"/>
  <c r="B47" i="7"/>
  <c r="G5" i="22"/>
  <c r="F23" i="20"/>
  <c r="P10" i="30"/>
  <c r="H91" i="11"/>
  <c r="O26" i="33"/>
  <c r="K65" i="11"/>
  <c r="J65" i="11"/>
  <c r="J48" i="12"/>
  <c r="C20" i="14"/>
  <c r="B51" i="7" s="1"/>
  <c r="B52" i="7" s="1"/>
  <c r="C80" i="18"/>
  <c r="B39" i="7"/>
  <c r="C42" i="12"/>
  <c r="C44" i="12" s="1"/>
  <c r="C63" i="12" s="1"/>
  <c r="J19" i="20"/>
  <c r="L13" i="18"/>
  <c r="L14" i="18" s="1"/>
  <c r="L10" i="12" s="1"/>
  <c r="K15" i="22" s="1"/>
  <c r="I38" i="20"/>
  <c r="F13" i="20"/>
  <c r="F14" i="20"/>
  <c r="G51" i="29"/>
  <c r="J51" i="29"/>
  <c r="L107" i="34"/>
  <c r="L38" i="15"/>
  <c r="L43" i="15" s="1"/>
  <c r="L51" i="15" s="1"/>
  <c r="L28" i="15"/>
  <c r="L22" i="15" s="1"/>
  <c r="L87" i="15" s="1"/>
  <c r="L82" i="15"/>
  <c r="K58" i="7"/>
  <c r="B58" i="7"/>
  <c r="G17" i="22"/>
  <c r="C82" i="15"/>
  <c r="C86" i="15"/>
  <c r="C87" i="15"/>
  <c r="N26" i="33"/>
  <c r="D57" i="31"/>
  <c r="E56" i="31" s="1"/>
  <c r="E57" i="31" s="1"/>
  <c r="F56" i="31" s="1"/>
  <c r="F57" i="31" s="1"/>
  <c r="G56" i="31" s="1"/>
  <c r="G57" i="31" s="1"/>
  <c r="H56" i="31" s="1"/>
  <c r="H57" i="31" s="1"/>
  <c r="I56" i="31" s="1"/>
  <c r="I57" i="31" s="1"/>
  <c r="J56" i="31" s="1"/>
  <c r="J57" i="31" s="1"/>
  <c r="K56" i="31" s="1"/>
  <c r="K57" i="31" s="1"/>
  <c r="L56" i="31" s="1"/>
  <c r="L57" i="31" s="1"/>
  <c r="M56" i="31" s="1"/>
  <c r="M57" i="31" s="1"/>
  <c r="N56" i="31" s="1"/>
  <c r="N53" i="31"/>
  <c r="N55" i="31" s="1"/>
  <c r="N65" i="31" s="1"/>
  <c r="N64" i="31"/>
  <c r="O64" i="31"/>
  <c r="O53" i="31"/>
  <c r="O55" i="31" s="1"/>
  <c r="O65" i="31" s="1"/>
  <c r="P31" i="30"/>
  <c r="N31" i="30" s="1"/>
  <c r="O31" i="30" s="1"/>
  <c r="H8" i="20"/>
  <c r="F7" i="20"/>
  <c r="B19" i="7"/>
  <c r="B20" i="7" s="1"/>
  <c r="B21" i="7" s="1"/>
  <c r="B24" i="7" s="1"/>
  <c r="B26" i="7" s="1"/>
  <c r="N26" i="30"/>
  <c r="F37" i="20"/>
  <c r="C63" i="10"/>
  <c r="C54" i="8" s="1"/>
  <c r="F35" i="20"/>
  <c r="C40" i="10"/>
  <c r="C44" i="10" s="1"/>
  <c r="F19" i="20"/>
  <c r="F32" i="20"/>
  <c r="F34" i="20"/>
  <c r="C50" i="9"/>
  <c r="C51" i="9" s="1"/>
  <c r="K41" i="9"/>
  <c r="P40" i="29" s="1"/>
  <c r="N40" i="29" s="1"/>
  <c r="C143" i="46"/>
  <c r="P22" i="29"/>
  <c r="N22" i="29" s="1"/>
  <c r="O22" i="29" s="1"/>
  <c r="K21" i="9"/>
  <c r="P20" i="29" s="1"/>
  <c r="N20" i="29" s="1"/>
  <c r="O20" i="29" s="1"/>
  <c r="K17" i="9"/>
  <c r="P16" i="29" s="1"/>
  <c r="N16" i="29" s="1"/>
  <c r="O16" i="29" s="1"/>
  <c r="C91" i="11"/>
  <c r="F9" i="20"/>
  <c r="G13" i="22" s="1"/>
  <c r="H32" i="23"/>
  <c r="H52" i="23" s="1"/>
  <c r="J52" i="23"/>
  <c r="M42" i="12"/>
  <c r="M43" i="14"/>
  <c r="M40" i="14" s="1"/>
  <c r="M16" i="14" s="1"/>
  <c r="M20" i="14" s="1"/>
  <c r="K42" i="22"/>
  <c r="L14" i="12"/>
  <c r="J15" i="22"/>
  <c r="L43" i="14"/>
  <c r="L40" i="14" s="1"/>
  <c r="L16" i="14" s="1"/>
  <c r="L20" i="14" s="1"/>
  <c r="J17" i="22"/>
  <c r="L106" i="15"/>
  <c r="K55" i="7"/>
  <c r="M42" i="11"/>
  <c r="L29" i="7" s="1"/>
  <c r="M85" i="15"/>
  <c r="L56" i="7"/>
  <c r="Q39" i="30"/>
  <c r="Q43" i="30" s="1"/>
  <c r="L19" i="7"/>
  <c r="L20" i="7" s="1"/>
  <c r="L21" i="7" s="1"/>
  <c r="L24" i="7" s="1"/>
  <c r="L26" i="7" s="1"/>
  <c r="K19" i="7"/>
  <c r="K20" i="7" s="1"/>
  <c r="K21" i="7" s="1"/>
  <c r="K24" i="7" s="1"/>
  <c r="K26" i="7" s="1"/>
  <c r="R39" i="30"/>
  <c r="R43" i="30" s="1"/>
  <c r="I19" i="20"/>
  <c r="I34" i="20"/>
  <c r="I35" i="20"/>
  <c r="I32" i="20"/>
  <c r="L63" i="10"/>
  <c r="I37" i="20"/>
  <c r="L40" i="10"/>
  <c r="L44" i="10" s="1"/>
  <c r="L46" i="10" s="1"/>
  <c r="L48" i="10" s="1"/>
  <c r="L50" i="10" s="1"/>
  <c r="M63" i="10"/>
  <c r="M54" i="8" s="1"/>
  <c r="J35" i="20"/>
  <c r="J32" i="20"/>
  <c r="M40" i="10"/>
  <c r="M44" i="10" s="1"/>
  <c r="J37" i="20"/>
  <c r="J38" i="20"/>
  <c r="Q8" i="28"/>
  <c r="Q21" i="28" s="1"/>
  <c r="Q41" i="28" s="1"/>
  <c r="L22" i="8"/>
  <c r="L142" i="46"/>
  <c r="R49" i="29"/>
  <c r="M50" i="9"/>
  <c r="Q29" i="29"/>
  <c r="Q49" i="29" s="1"/>
  <c r="L50" i="9"/>
  <c r="L73" i="46"/>
  <c r="R26" i="29"/>
  <c r="M73" i="46"/>
  <c r="M143" i="46" s="1"/>
  <c r="M27" i="9"/>
  <c r="Q9" i="29"/>
  <c r="L7" i="9"/>
  <c r="A7" i="8"/>
  <c r="A6" i="28" s="1"/>
  <c r="A175" i="47"/>
  <c r="A25" i="8" s="1"/>
  <c r="A24" i="28" s="1"/>
  <c r="P65" i="31"/>
  <c r="P57" i="31"/>
  <c r="Q56" i="31" s="1"/>
  <c r="Q57" i="31" s="1"/>
  <c r="R56" i="31" s="1"/>
  <c r="R57" i="31" s="1"/>
  <c r="K44" i="15"/>
  <c r="J8" i="37"/>
  <c r="F79" i="37"/>
  <c r="K39" i="15"/>
  <c r="D43" i="15"/>
  <c r="J17" i="7"/>
  <c r="C20" i="7"/>
  <c r="C21" i="7" s="1"/>
  <c r="C24" i="7" s="1"/>
  <c r="C19" i="7"/>
  <c r="R22" i="32"/>
  <c r="R21" i="32"/>
  <c r="R40" i="32" s="1"/>
  <c r="R45" i="32" s="1"/>
  <c r="E55" i="8"/>
  <c r="E41" i="8"/>
  <c r="E51" i="9"/>
  <c r="E79" i="34"/>
  <c r="J8" i="34"/>
  <c r="J79" i="34" s="1"/>
  <c r="E53" i="37"/>
  <c r="J55" i="37"/>
  <c r="E54" i="25"/>
  <c r="I65" i="31"/>
  <c r="K23" i="15"/>
  <c r="J28" i="15"/>
  <c r="F58" i="7"/>
  <c r="G82" i="15"/>
  <c r="G7" i="14"/>
  <c r="F47" i="7"/>
  <c r="H41" i="15"/>
  <c r="F42" i="12"/>
  <c r="F44" i="12" s="1"/>
  <c r="F63" i="12" s="1"/>
  <c r="E39" i="7"/>
  <c r="I39" i="7" s="1"/>
  <c r="J39" i="7" s="1"/>
  <c r="I14" i="20"/>
  <c r="E43" i="15"/>
  <c r="J38" i="15"/>
  <c r="I82" i="15"/>
  <c r="H58" i="7"/>
  <c r="K27" i="11"/>
  <c r="K27" i="8"/>
  <c r="P26" i="28" s="1"/>
  <c r="N26" i="28" s="1"/>
  <c r="O26" i="28" s="1"/>
  <c r="D40" i="8"/>
  <c r="J22" i="8"/>
  <c r="K29" i="11"/>
  <c r="P27" i="32" s="1"/>
  <c r="N27" i="32" s="1"/>
  <c r="K31" i="8"/>
  <c r="P30" i="28" s="1"/>
  <c r="N30" i="28" s="1"/>
  <c r="O30" i="28" s="1"/>
  <c r="K35" i="8"/>
  <c r="P34" i="28" s="1"/>
  <c r="N34" i="28" s="1"/>
  <c r="O34" i="28" s="1"/>
  <c r="M55" i="8"/>
  <c r="M41" i="8"/>
  <c r="J7" i="9"/>
  <c r="J27" i="9" s="1"/>
  <c r="P41" i="29"/>
  <c r="N41" i="29" s="1"/>
  <c r="N10" i="30"/>
  <c r="D87" i="15"/>
  <c r="D85" i="15"/>
  <c r="C57" i="7"/>
  <c r="J13" i="20"/>
  <c r="L37" i="7"/>
  <c r="M27" i="12"/>
  <c r="M44" i="12" s="1"/>
  <c r="M63" i="12" s="1"/>
  <c r="F54" i="8"/>
  <c r="F41" i="8"/>
  <c r="C40" i="8"/>
  <c r="K28" i="8"/>
  <c r="P27" i="28" s="1"/>
  <c r="N27" i="28" s="1"/>
  <c r="O27" i="28" s="1"/>
  <c r="I79" i="1"/>
  <c r="J8" i="1"/>
  <c r="J79" i="1" s="1"/>
  <c r="G79" i="52"/>
  <c r="J8" i="52"/>
  <c r="M65" i="31"/>
  <c r="L58" i="7"/>
  <c r="K17" i="22"/>
  <c r="J34" i="20"/>
  <c r="M87" i="15"/>
  <c r="M86" i="15"/>
  <c r="M82" i="15"/>
  <c r="K12" i="16"/>
  <c r="K17" i="16" s="1"/>
  <c r="J17" i="16"/>
  <c r="K72" i="15"/>
  <c r="K77" i="15" s="1"/>
  <c r="K71" i="15" s="1"/>
  <c r="J77" i="15"/>
  <c r="J71" i="15" s="1"/>
  <c r="J82" i="15" s="1"/>
  <c r="J32" i="11"/>
  <c r="K32" i="11" s="1"/>
  <c r="P30" i="32" s="1"/>
  <c r="N30" i="32" s="1"/>
  <c r="E41" i="11"/>
  <c r="E42" i="11" s="1"/>
  <c r="D29" i="7" s="1"/>
  <c r="I29" i="7" s="1"/>
  <c r="J29" i="7" s="1"/>
  <c r="F342" i="47"/>
  <c r="J342" i="47" s="1"/>
  <c r="K342" i="47" s="1"/>
  <c r="J172" i="47"/>
  <c r="K172" i="47" s="1"/>
  <c r="I51" i="25"/>
  <c r="I54" i="25" s="1"/>
  <c r="K8" i="11"/>
  <c r="J23" i="11"/>
  <c r="K8" i="8"/>
  <c r="K73" i="46"/>
  <c r="L48" i="27"/>
  <c r="K101" i="27"/>
  <c r="L101" i="27" s="1"/>
  <c r="P45" i="29"/>
  <c r="N45" i="29" s="1"/>
  <c r="K44" i="9"/>
  <c r="P43" i="29" s="1"/>
  <c r="N43" i="29" s="1"/>
  <c r="O43" i="29" s="1"/>
  <c r="K65" i="31"/>
  <c r="C79" i="34"/>
  <c r="C107" i="34" s="1"/>
  <c r="D58" i="7"/>
  <c r="E82" i="15"/>
  <c r="K61" i="18"/>
  <c r="K53" i="14"/>
  <c r="K57" i="14" s="1"/>
  <c r="K19" i="14" s="1"/>
  <c r="I19" i="14" s="1"/>
  <c r="J19" i="14" s="1"/>
  <c r="M106" i="15"/>
  <c r="L55" i="7"/>
  <c r="E343" i="48"/>
  <c r="J343" i="48" s="1"/>
  <c r="J342" i="48"/>
  <c r="K342" i="48" s="1"/>
  <c r="M51" i="15"/>
  <c r="P14" i="29"/>
  <c r="N14" i="29" s="1"/>
  <c r="O14" i="29" s="1"/>
  <c r="K11" i="9"/>
  <c r="P10" i="29" s="1"/>
  <c r="N10" i="29" s="1"/>
  <c r="O10" i="29" s="1"/>
  <c r="P31" i="29"/>
  <c r="N31" i="29" s="1"/>
  <c r="O31" i="29" s="1"/>
  <c r="K30" i="9"/>
  <c r="C79" i="1"/>
  <c r="K8" i="1"/>
  <c r="K79" i="1" s="1"/>
  <c r="M107" i="37"/>
  <c r="M107" i="34"/>
  <c r="C52" i="23"/>
  <c r="E7" i="14"/>
  <c r="D47" i="7"/>
  <c r="I47" i="7" s="1"/>
  <c r="G43" i="15"/>
  <c r="G51" i="15" s="1"/>
  <c r="H28" i="15"/>
  <c r="H22" i="15" s="1"/>
  <c r="G57" i="7" s="1"/>
  <c r="D343" i="48"/>
  <c r="K173" i="48"/>
  <c r="J29" i="16"/>
  <c r="K24" i="16"/>
  <c r="K29" i="16" s="1"/>
  <c r="J40" i="15"/>
  <c r="K40" i="15" s="1"/>
  <c r="K8" i="15"/>
  <c r="J13" i="15"/>
  <c r="C43" i="15"/>
  <c r="C51" i="15" s="1"/>
  <c r="J25" i="8"/>
  <c r="I40" i="8"/>
  <c r="G40" i="8"/>
  <c r="K37" i="8"/>
  <c r="P36" i="28" s="1"/>
  <c r="N36" i="28" s="1"/>
  <c r="O36" i="28" s="1"/>
  <c r="H41" i="8"/>
  <c r="H54" i="8"/>
  <c r="P35" i="29"/>
  <c r="N35" i="29" s="1"/>
  <c r="O35" i="29" s="1"/>
  <c r="K34" i="9"/>
  <c r="P33" i="29" s="1"/>
  <c r="N33" i="29" s="1"/>
  <c r="O33" i="29" s="1"/>
  <c r="K7" i="9"/>
  <c r="D20" i="14"/>
  <c r="F43" i="15"/>
  <c r="F51" i="15" s="1"/>
  <c r="Q45" i="32"/>
  <c r="J69" i="11" l="1"/>
  <c r="F72" i="11"/>
  <c r="I27" i="12"/>
  <c r="I44" i="12"/>
  <c r="K27" i="12"/>
  <c r="J42" i="22"/>
  <c r="G50" i="7"/>
  <c r="G52" i="7" s="1"/>
  <c r="H39" i="20"/>
  <c r="I7" i="22" s="1"/>
  <c r="I5" i="22"/>
  <c r="H23" i="20"/>
  <c r="L143" i="46"/>
  <c r="J44" i="12"/>
  <c r="H15" i="20"/>
  <c r="K42" i="12"/>
  <c r="K44" i="12" s="1"/>
  <c r="H13" i="20"/>
  <c r="I41" i="22"/>
  <c r="I10" i="22" s="1"/>
  <c r="K44" i="14" s="1"/>
  <c r="K40" i="14" s="1"/>
  <c r="K16" i="14" s="1"/>
  <c r="K143" i="46"/>
  <c r="K40" i="9"/>
  <c r="P39" i="29" s="1"/>
  <c r="N39" i="29" s="1"/>
  <c r="J51" i="9"/>
  <c r="I50" i="9"/>
  <c r="I51" i="9" s="1"/>
  <c r="N57" i="31"/>
  <c r="I39" i="20"/>
  <c r="J7" i="22" s="1"/>
  <c r="M41" i="13"/>
  <c r="M42" i="13" s="1"/>
  <c r="K47" i="7"/>
  <c r="L7" i="14"/>
  <c r="J5" i="22"/>
  <c r="K106" i="15"/>
  <c r="J38" i="10"/>
  <c r="J40" i="10" s="1"/>
  <c r="J44" i="10" s="1"/>
  <c r="J46" i="10" s="1"/>
  <c r="J48" i="10" s="1"/>
  <c r="J50" i="10" s="1"/>
  <c r="K36" i="10"/>
  <c r="P6" i="30"/>
  <c r="I36" i="22"/>
  <c r="H37" i="20"/>
  <c r="H32" i="20"/>
  <c r="I11" i="22"/>
  <c r="I19" i="7"/>
  <c r="I20" i="7" s="1"/>
  <c r="I21" i="7" s="1"/>
  <c r="H20" i="7"/>
  <c r="H21" i="7" s="1"/>
  <c r="H24" i="7" s="1"/>
  <c r="J47" i="7"/>
  <c r="H19" i="20"/>
  <c r="H38" i="20"/>
  <c r="K63" i="10"/>
  <c r="C21" i="14"/>
  <c r="G6" i="22" s="1"/>
  <c r="O31" i="33"/>
  <c r="K48" i="12"/>
  <c r="L85" i="15"/>
  <c r="K57" i="7"/>
  <c r="J18" i="22"/>
  <c r="L84" i="15"/>
  <c r="O26" i="30"/>
  <c r="G8" i="22"/>
  <c r="C46" i="10"/>
  <c r="C48" i="10" s="1"/>
  <c r="C50" i="10" s="1"/>
  <c r="K51" i="7"/>
  <c r="L51" i="7"/>
  <c r="I13" i="20"/>
  <c r="K37" i="7"/>
  <c r="L27" i="12"/>
  <c r="L44" i="12" s="1"/>
  <c r="L63" i="12" s="1"/>
  <c r="R46" i="30"/>
  <c r="Q46" i="30"/>
  <c r="J8" i="22"/>
  <c r="M46" i="10"/>
  <c r="M48" i="10" s="1"/>
  <c r="M50" i="10" s="1"/>
  <c r="K8" i="22"/>
  <c r="L41" i="8"/>
  <c r="L54" i="8"/>
  <c r="R51" i="29"/>
  <c r="M51" i="9"/>
  <c r="Q6" i="29"/>
  <c r="Q26" i="29" s="1"/>
  <c r="Q51" i="29" s="1"/>
  <c r="L27" i="9"/>
  <c r="L51" i="9" s="1"/>
  <c r="H43" i="15"/>
  <c r="H51" i="15" s="1"/>
  <c r="J41" i="15"/>
  <c r="K41" i="15" s="1"/>
  <c r="C26" i="7"/>
  <c r="K8" i="37"/>
  <c r="P6" i="29"/>
  <c r="K27" i="9"/>
  <c r="I55" i="8"/>
  <c r="I41" i="8"/>
  <c r="C107" i="37"/>
  <c r="P7" i="28"/>
  <c r="K22" i="8"/>
  <c r="C55" i="8"/>
  <c r="C41" i="8"/>
  <c r="O10" i="30"/>
  <c r="K28" i="15"/>
  <c r="D51" i="15"/>
  <c r="K343" i="48"/>
  <c r="E8" i="14"/>
  <c r="E10" i="14" s="1"/>
  <c r="J7" i="14"/>
  <c r="K50" i="9"/>
  <c r="P29" i="29"/>
  <c r="K18" i="22"/>
  <c r="M84" i="15"/>
  <c r="I58" i="7"/>
  <c r="J58" i="7" s="1"/>
  <c r="K8" i="52"/>
  <c r="K79" i="52" s="1"/>
  <c r="J79" i="52"/>
  <c r="J54" i="8"/>
  <c r="J41" i="11"/>
  <c r="J42" i="11" s="1"/>
  <c r="O45" i="32" s="1"/>
  <c r="G8" i="14"/>
  <c r="G10" i="14" s="1"/>
  <c r="K55" i="37"/>
  <c r="K53" i="37" s="1"/>
  <c r="J53" i="37"/>
  <c r="J79" i="37" s="1"/>
  <c r="G55" i="8"/>
  <c r="G41" i="8"/>
  <c r="J7" i="15"/>
  <c r="K13" i="15"/>
  <c r="K7" i="15" s="1"/>
  <c r="J40" i="8"/>
  <c r="J41" i="8" s="1"/>
  <c r="K25" i="8"/>
  <c r="C51" i="7"/>
  <c r="D21" i="14"/>
  <c r="H6" i="22" s="1"/>
  <c r="G18" i="22"/>
  <c r="C84" i="15"/>
  <c r="K8" i="34"/>
  <c r="K79" i="34" s="1"/>
  <c r="P6" i="32"/>
  <c r="K23" i="11"/>
  <c r="K82" i="15"/>
  <c r="I17" i="22"/>
  <c r="H34" i="20"/>
  <c r="K86" i="15"/>
  <c r="D55" i="8"/>
  <c r="D41" i="8"/>
  <c r="P25" i="32"/>
  <c r="K41" i="11"/>
  <c r="K38" i="15"/>
  <c r="E32" i="15"/>
  <c r="E79" i="37"/>
  <c r="F76" i="11" l="1"/>
  <c r="E30" i="7"/>
  <c r="K69" i="11"/>
  <c r="K72" i="11" s="1"/>
  <c r="J72" i="11"/>
  <c r="I16" i="14"/>
  <c r="J16" i="14" s="1"/>
  <c r="J20" i="14" s="1"/>
  <c r="I54" i="18"/>
  <c r="J53" i="18"/>
  <c r="K20" i="14"/>
  <c r="J43" i="15"/>
  <c r="K43" i="15" s="1"/>
  <c r="L8" i="14"/>
  <c r="L10" i="14" s="1"/>
  <c r="M7" i="14"/>
  <c r="M8" i="14" s="1"/>
  <c r="M10" i="14" s="1"/>
  <c r="J39" i="20"/>
  <c r="K7" i="22" s="1"/>
  <c r="K5" i="22"/>
  <c r="L47" i="7"/>
  <c r="J23" i="20"/>
  <c r="J55" i="8"/>
  <c r="P35" i="30"/>
  <c r="K38" i="10"/>
  <c r="J19" i="7"/>
  <c r="J20" i="7" s="1"/>
  <c r="J21" i="7" s="1"/>
  <c r="N6" i="30"/>
  <c r="P23" i="30"/>
  <c r="I9" i="22"/>
  <c r="J37" i="22"/>
  <c r="J9" i="22" s="1"/>
  <c r="H26" i="7"/>
  <c r="I24" i="7"/>
  <c r="H11" i="20"/>
  <c r="F50" i="7"/>
  <c r="F52" i="7" s="1"/>
  <c r="G21" i="14"/>
  <c r="D50" i="7"/>
  <c r="E21" i="14"/>
  <c r="C52" i="7"/>
  <c r="K7" i="14"/>
  <c r="J32" i="15"/>
  <c r="E47" i="15"/>
  <c r="E22" i="15"/>
  <c r="D57" i="7" s="1"/>
  <c r="I57" i="7" s="1"/>
  <c r="J57" i="7" s="1"/>
  <c r="N25" i="32"/>
  <c r="N39" i="32" s="1"/>
  <c r="P39" i="32"/>
  <c r="N6" i="32"/>
  <c r="N21" i="32" s="1"/>
  <c r="P21" i="32"/>
  <c r="P24" i="28"/>
  <c r="K40" i="8"/>
  <c r="K79" i="37"/>
  <c r="K42" i="11"/>
  <c r="P26" i="29"/>
  <c r="N6" i="29"/>
  <c r="N29" i="29"/>
  <c r="P49" i="29"/>
  <c r="J8" i="14"/>
  <c r="K8" i="14" s="1"/>
  <c r="D84" i="15"/>
  <c r="H18" i="22"/>
  <c r="K54" i="8"/>
  <c r="N7" i="28"/>
  <c r="P21" i="28"/>
  <c r="K51" i="9"/>
  <c r="E34" i="7" l="1"/>
  <c r="I30" i="7"/>
  <c r="J30" i="7" s="1"/>
  <c r="I20" i="14"/>
  <c r="I21" i="14" s="1"/>
  <c r="K55" i="8"/>
  <c r="K53" i="18"/>
  <c r="K54" i="18" s="1"/>
  <c r="K62" i="18" s="1"/>
  <c r="J54" i="18"/>
  <c r="J62" i="18" s="1"/>
  <c r="I47" i="12"/>
  <c r="I62" i="18"/>
  <c r="K50" i="7"/>
  <c r="K52" i="7" s="1"/>
  <c r="L21" i="14"/>
  <c r="J6" i="22" s="1"/>
  <c r="L50" i="7"/>
  <c r="L52" i="7" s="1"/>
  <c r="M21" i="14"/>
  <c r="K6" i="22" s="1"/>
  <c r="N35" i="30"/>
  <c r="P37" i="30"/>
  <c r="P39" i="30" s="1"/>
  <c r="P43" i="30" s="1"/>
  <c r="H7" i="20"/>
  <c r="K40" i="10"/>
  <c r="K44" i="10" s="1"/>
  <c r="O6" i="30"/>
  <c r="O23" i="30" s="1"/>
  <c r="N23" i="30"/>
  <c r="I26" i="7"/>
  <c r="J24" i="7"/>
  <c r="J26" i="7" s="1"/>
  <c r="K41" i="8"/>
  <c r="J10" i="14"/>
  <c r="J21" i="14" s="1"/>
  <c r="O7" i="28"/>
  <c r="O21" i="28" s="1"/>
  <c r="N21" i="28"/>
  <c r="N49" i="29"/>
  <c r="O29" i="29"/>
  <c r="O49" i="29" s="1"/>
  <c r="N40" i="32"/>
  <c r="N22" i="32"/>
  <c r="J47" i="15"/>
  <c r="E51" i="15"/>
  <c r="P22" i="32"/>
  <c r="P40" i="32"/>
  <c r="P45" i="32" s="1"/>
  <c r="I50" i="7"/>
  <c r="D52" i="7"/>
  <c r="O6" i="29"/>
  <c r="O26" i="29" s="1"/>
  <c r="N26" i="29"/>
  <c r="K32" i="15"/>
  <c r="K22" i="15" s="1"/>
  <c r="J22" i="15"/>
  <c r="P51" i="29"/>
  <c r="P39" i="28"/>
  <c r="P41" i="28" s="1"/>
  <c r="N24" i="28"/>
  <c r="K10" i="14"/>
  <c r="K21" i="14" s="1"/>
  <c r="I6" i="22" s="1"/>
  <c r="H51" i="7" l="1"/>
  <c r="I51" i="7" s="1"/>
  <c r="J51" i="7" s="1"/>
  <c r="J47" i="12"/>
  <c r="I50" i="12"/>
  <c r="I8" i="22"/>
  <c r="K46" i="10"/>
  <c r="K48" i="10" s="1"/>
  <c r="K50" i="10" s="1"/>
  <c r="P46" i="30"/>
  <c r="O35" i="30"/>
  <c r="O37" i="30" s="1"/>
  <c r="O39" i="30" s="1"/>
  <c r="O43" i="30" s="1"/>
  <c r="N37" i="30"/>
  <c r="N39" i="30" s="1"/>
  <c r="N43" i="30" s="1"/>
  <c r="O51" i="29"/>
  <c r="N51" i="29"/>
  <c r="O24" i="28"/>
  <c r="O39" i="28" s="1"/>
  <c r="O41" i="28" s="1"/>
  <c r="N39" i="28"/>
  <c r="N41" i="28" s="1"/>
  <c r="K85" i="15"/>
  <c r="K87" i="15"/>
  <c r="J50" i="7"/>
  <c r="K47" i="15"/>
  <c r="K51" i="15" s="1"/>
  <c r="J51" i="15"/>
  <c r="I52" i="7" l="1"/>
  <c r="J52" i="7"/>
  <c r="H52" i="7"/>
  <c r="K84" i="15"/>
  <c r="H41" i="7"/>
  <c r="I41" i="7" s="1"/>
  <c r="J41" i="7" s="1"/>
  <c r="I63" i="12"/>
  <c r="K47" i="12"/>
  <c r="K50" i="12" s="1"/>
  <c r="J50" i="12"/>
  <c r="J63" i="12" s="1"/>
  <c r="I18" i="22"/>
  <c r="K63" i="12" l="1"/>
  <c r="M80" i="18"/>
  <c r="I76" i="11"/>
  <c r="I91" i="11" s="1"/>
  <c r="J74" i="11"/>
  <c r="K74" i="11" s="1"/>
  <c r="H32" i="7"/>
  <c r="H34" i="7" s="1"/>
  <c r="H9" i="20" l="1"/>
  <c r="I13" i="22" s="1"/>
  <c r="K76" i="11"/>
  <c r="J76" i="11"/>
  <c r="J91" i="11" s="1"/>
  <c r="I32" i="7"/>
  <c r="K32" i="7" l="1"/>
  <c r="K34" i="7" s="1"/>
  <c r="L76" i="11"/>
  <c r="L91" i="11" s="1"/>
  <c r="I9" i="20"/>
  <c r="J13" i="22" s="1"/>
  <c r="I34" i="7"/>
  <c r="J32" i="7"/>
  <c r="J34" i="7" s="1"/>
  <c r="K91" i="11"/>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<sst xmlns="http://schemas.openxmlformats.org/spreadsheetml/2006/main" count="4224" uniqueCount="2080">
  <si>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</si>
  <si>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</si>
  <si>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</si>
  <si>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</si>
  <si>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</si>
  <si>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</si>
  <si>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</si>
  <si>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</si>
  <si>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</si>
  <si>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</si>
  <si>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</si>
  <si>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</si>
  <si>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</si>
  <si>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</si>
  <si>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</si>
  <si>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</si>
  <si>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</si>
  <si>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</si>
  <si>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</si>
  <si>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</si>
  <si>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</si>
  <si>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</si>
  <si>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</si>
  <si>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</si>
  <si>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</si>
  <si>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</si>
  <si>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</si>
  <si>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</si>
  <si>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</si>
  <si>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</si>
  <si>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</si>
  <si>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</si>
  <si>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</si>
  <si>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</si>
  <si>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</si>
  <si>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</si>
  <si>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</si>
  <si>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</si>
  <si>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</si>
  <si>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</si>
  <si>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</si>
  <si>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</si>
  <si>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</si>
  <si>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</si>
  <si>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</si>
  <si>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</si>
  <si>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</si>
  <si>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</si>
  <si>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</si>
  <si>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</si>
  <si>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</si>
  <si>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</si>
  <si>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</si>
  <si>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</si>
  <si>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</si>
  <si>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</si>
  <si>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</si>
  <si>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</si>
  <si>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</si>
  <si>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</si>
  <si>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</si>
  <si>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</si>
  <si>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</si>
  <si>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</si>
  <si>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</si>
  <si>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</si>
  <si>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</si>
  <si>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</si>
  <si>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</si>
  <si>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</si>
  <si>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</si>
  <si>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</si>
  <si>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</si>
  <si>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</si>
  <si>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</si>
  <si>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</si>
  <si>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</si>
  <si>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</si>
  <si>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</si>
  <si>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</si>
  <si>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</si>
  <si>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</si>
  <si>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</si>
  <si>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</si>
  <si>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</si>
  <si>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</si>
  <si>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</si>
  <si>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</si>
  <si>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</si>
  <si>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</si>
  <si>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</si>
  <si>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</si>
  <si>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</si>
  <si>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</si>
  <si>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</si>
  <si>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</si>
  <si>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</si>
  <si>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</si>
  <si>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</si>
  <si>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</si>
  <si>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</si>
  <si>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</si>
  <si>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</si>
  <si>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</si>
  <si>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</si>
  <si>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</si>
  <si>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</si>
  <si>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</si>
  <si>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</si>
  <si>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</si>
  <si>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</si>
  <si>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</si>
  <si>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</si>
  <si>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</si>
  <si>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</si>
  <si>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</si>
  <si>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</si>
  <si>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</si>
  <si>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</si>
  <si>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</si>
  <si>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</si>
  <si>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</si>
  <si>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</si>
  <si>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</si>
  <si>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</si>
  <si>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</si>
  <si>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</si>
  <si>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</si>
  <si>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</si>
  <si>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</si>
  <si>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</si>
  <si>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</si>
  <si>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</si>
  <si>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</si>
  <si>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</si>
  <si>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</si>
  <si>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</si>
  <si>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</si>
  <si>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</si>
  <si>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</si>
  <si>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</si>
  <si>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</si>
  <si>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</si>
  <si>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</si>
  <si>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</si>
  <si>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</si>
  <si>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</si>
  <si>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</si>
  <si>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</si>
  <si>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</si>
  <si>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</si>
  <si>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</si>
  <si>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</si>
  <si>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</si>
  <si>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</si>
  <si>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</si>
  <si>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</si>
  <si>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</si>
  <si>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</si>
  <si>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</si>
  <si>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</si>
  <si>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</si>
  <si>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</si>
  <si>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</si>
  <si>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</si>
  <si>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</si>
  <si>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</si>
  <si>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</si>
  <si>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</si>
  <si>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</si>
  <si>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</si>
  <si>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</si>
  <si>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</si>
  <si>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</si>
  <si>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</si>
  <si>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</si>
  <si>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</si>
  <si>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</si>
  <si>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</si>
  <si>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</si>
  <si>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</si>
  <si>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</si>
  <si>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</si>
  <si>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</si>
  <si>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</si>
  <si>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</si>
  <si>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</si>
  <si>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</si>
  <si>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</si>
  <si>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</si>
  <si>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</si>
  <si>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</si>
  <si>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</si>
  <si>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</si>
  <si>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</si>
  <si>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</si>
  <si>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</si>
  <si>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</si>
  <si>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</si>
  <si>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</si>
  <si>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</si>
  <si>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</si>
  <si>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</si>
  <si>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</si>
  <si>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</si>
  <si>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</si>
  <si>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</si>
  <si>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</si>
  <si>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</si>
  <si>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</si>
  <si>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</si>
  <si>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</si>
  <si>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</si>
  <si>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</si>
  <si>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</si>
  <si>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</si>
  <si>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</si>
  <si>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</si>
  <si>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</si>
  <si>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</si>
  <si>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</si>
  <si>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</si>
  <si>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</si>
  <si>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</si>
  <si>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</si>
  <si>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</si>
  <si>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</si>
  <si>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</si>
  <si>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</si>
  <si>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</si>
  <si>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</si>
  <si>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</si>
  <si>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</si>
  <si>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</si>
  <si>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</si>
  <si>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</si>
  <si>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</si>
  <si>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</si>
  <si>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</si>
  <si>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</si>
  <si>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</si>
  <si>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</si>
  <si>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</si>
  <si>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</si>
  <si>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</si>
  <si>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</si>
  <si>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</si>
  <si>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</si>
  <si>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</si>
  <si>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</si>
  <si>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</si>
  <si>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</si>
  <si>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</si>
  <si>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</si>
  <si>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</si>
  <si>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</si>
  <si>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</si>
  <si>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</si>
  <si>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</si>
  <si>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</si>
  <si>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</si>
  <si>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</si>
  <si>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</si>
  <si>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</si>
  <si>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</si>
  <si>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</si>
  <si>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</si>
  <si>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</si>
  <si>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</si>
  <si>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</si>
  <si>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</si>
  <si>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</si>
  <si>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</si>
  <si>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</si>
  <si>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</si>
  <si>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</si>
  <si>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</si>
  <si>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</si>
  <si>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</si>
  <si>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</si>
  <si>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</si>
  <si>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</si>
  <si>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</si>
  <si>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</si>
  <si>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</si>
  <si>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</si>
  <si>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</si>
  <si>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</si>
  <si>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</si>
  <si>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</si>
  <si>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</si>
  <si>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</si>
  <si>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</si>
  <si>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</si>
  <si>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</si>
  <si>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</si>
  <si>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</si>
  <si>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</si>
  <si>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</si>
  <si>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</si>
  <si>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</si>
  <si>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</si>
  <si>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</si>
  <si>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</si>
  <si>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</si>
  <si>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</si>
  <si>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</si>
  <si>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</si>
  <si>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</si>
  <si>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</si>
  <si>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</si>
  <si>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</si>
  <si>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</si>
  <si>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</si>
  <si>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</si>
  <si>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</si>
  <si>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</si>
  <si>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</si>
  <si>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</si>
  <si>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</si>
  <si>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</si>
  <si>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</si>
  <si>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</si>
  <si>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</si>
  <si>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</si>
  <si>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</si>
  <si>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</si>
  <si>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</si>
  <si>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</si>
  <si>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</si>
  <si>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</si>
  <si>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</si>
  <si>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</si>
  <si>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</si>
  <si>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</si>
  <si>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</si>
  <si>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</si>
  <si>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</si>
  <si>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</si>
  <si>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</si>
  <si>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</si>
  <si>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</si>
  <si>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</si>
  <si>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</si>
  <si>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</si>
  <si>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</si>
  <si>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</si>
  <si>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</si>
  <si>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</si>
  <si>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</si>
  <si>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</si>
  <si>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</si>
  <si>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</si>
  <si>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</si>
  <si>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</si>
  <si>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</si>
  <si>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</si>
  <si>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</si>
  <si>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</si>
  <si>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</si>
  <si>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</si>
  <si>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</si>
  <si>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</si>
  <si>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</si>
  <si>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</si>
  <si>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</si>
  <si>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</si>
  <si>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</si>
  <si>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</si>
  <si>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</si>
  <si>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</si>
  <si>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</si>
  <si>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</si>
  <si>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</si>
  <si>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</si>
  <si>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</si>
  <si>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</si>
  <si>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</si>
  <si>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</si>
  <si>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</si>
  <si>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</si>
  <si>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</si>
  <si>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</si>
  <si>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</si>
  <si>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</si>
  <si>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</si>
  <si>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</si>
  <si>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</si>
  <si>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</si>
  <si>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</si>
  <si>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</si>
  <si>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</si>
  <si>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</si>
  <si>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</si>
  <si>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</si>
  <si>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</si>
  <si>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</si>
  <si>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</si>
  <si>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</si>
  <si>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</si>
  <si>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</si>
  <si>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</si>
  <si>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</si>
  <si>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</si>
  <si>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</si>
  <si>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</si>
  <si>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</si>
  <si>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</si>
  <si>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</si>
  <si>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</si>
  <si>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</si>
  <si>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</si>
  <si>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</si>
  <si>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</si>
  <si>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</si>
  <si>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</si>
  <si>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</si>
  <si>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</si>
  <si>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</si>
  <si>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</si>
  <si>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</si>
  <si>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</si>
  <si>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</si>
  <si>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</si>
  <si>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</si>
  <si>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</si>
  <si>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</si>
  <si>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</si>
  <si>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</si>
  <si>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</si>
  <si>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</si>
  <si>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</si>
  <si>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</si>
  <si>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</si>
  <si>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</si>
  <si>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</si>
  <si>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</si>
  <si>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</si>
  <si>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</si>
  <si>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</si>
  <si>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</si>
  <si>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</si>
  <si>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</si>
  <si>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</si>
  <si>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</si>
  <si>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</si>
  <si>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</si>
  <si>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</si>
  <si>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</si>
  <si>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</si>
  <si>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</si>
  <si>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</si>
  <si>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</si>
  <si>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</si>
  <si>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</si>
  <si>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</si>
  <si>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</si>
  <si>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</si>
  <si>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</si>
  <si>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</si>
  <si>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</si>
  <si>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</si>
  <si>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</si>
  <si>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</si>
  <si>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</si>
  <si>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</si>
  <si>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</si>
  <si>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</si>
  <si>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</si>
  <si>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</si>
  <si>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</si>
  <si>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</si>
  <si>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</si>
  <si>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</si>
  <si>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</si>
  <si>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</si>
  <si>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</si>
  <si>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</si>
  <si>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</si>
  <si>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</si>
  <si>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</si>
  <si>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</si>
  <si>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Total Capital Expenditure - Standard</t>
  </si>
  <si>
    <t>2. Total Capital Expenditure must reconcile to the 'Financial Position' budget and monthly budget statement</t>
  </si>
  <si>
    <t>Infrastructure - Road transport</t>
  </si>
  <si>
    <t>Roads, Pavements &amp; Bridges</t>
  </si>
  <si>
    <t>Storm water</t>
  </si>
  <si>
    <t>Infrastructure - Electricity</t>
  </si>
  <si>
    <t>Generation</t>
  </si>
  <si>
    <t>Transmission &amp; Reticulation</t>
  </si>
  <si>
    <t>Street Lighting</t>
  </si>
  <si>
    <t>Infrastructure - Water</t>
  </si>
  <si>
    <t>Dams &amp; Reservoirs</t>
  </si>
  <si>
    <t>Water purification</t>
  </si>
  <si>
    <t>Reticulation</t>
  </si>
  <si>
    <t>Infrastructure - Sanitation</t>
  </si>
  <si>
    <t>Sewerage purification</t>
  </si>
  <si>
    <t>Infrastructure - Other</t>
  </si>
  <si>
    <t>Transportation</t>
  </si>
  <si>
    <t>Gas</t>
  </si>
  <si>
    <t>Parks &amp; gardens</t>
  </si>
  <si>
    <t>Sports Fields &amp; stadia</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</si>
  <si>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</si>
  <si>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</si>
  <si>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</si>
  <si>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</si>
  <si>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</si>
  <si>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</si>
  <si>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</si>
  <si>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</si>
  <si>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</si>
  <si>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</si>
  <si>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</si>
  <si>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</si>
  <si>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</si>
  <si>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</si>
  <si>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</si>
  <si>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Specialised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</si>
  <si>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</si>
  <si>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</si>
  <si>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</si>
  <si>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</si>
  <si>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</si>
  <si>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</si>
  <si>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</si>
  <si>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</si>
  <si>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</si>
  <si>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</si>
  <si>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Other (list sub-class)</t>
  </si>
  <si>
    <t>List sub-class</t>
  </si>
  <si>
    <t>2. Airports, Car Parks, Bus Terminals and Taxi Ranks</t>
  </si>
  <si>
    <t>3. For example - technology backbones (e.g. fibre optic, WIFI infrastructure) for economic development purposes</t>
  </si>
  <si>
    <t>4. Work-in-progress/under construction to be budgeted under the respective item</t>
  </si>
  <si>
    <t>5. Infrastructure includes 'land and buildings required' by that infrastructure and vehicles/plant &amp; equipment used by the service generated by that infrastructure</t>
  </si>
  <si>
    <t>6. Donated/contributed &amp; leased assets to be included within the respective sub-class</t>
  </si>
  <si>
    <t>Municipal Vote/Capital project</t>
  </si>
  <si>
    <t>Program/Project description</t>
  </si>
  <si>
    <t>Project number</t>
  </si>
  <si>
    <t>Audited Actual</t>
  </si>
  <si>
    <t>R thousand</t>
  </si>
  <si>
    <t>R'000</t>
  </si>
  <si>
    <t>Parent municipality:</t>
  </si>
  <si>
    <t>List all capital programs/projects grouped by Municipal Vote</t>
  </si>
  <si>
    <t>Entities:</t>
  </si>
  <si>
    <t>List all capital programs/projects grouped by Municipal Entity</t>
  </si>
  <si>
    <t>Entity Name</t>
  </si>
  <si>
    <t>Project name</t>
  </si>
  <si>
    <t>References</t>
  </si>
  <si>
    <t>1. List all projects where approved budgets have been adjusted</t>
  </si>
  <si>
    <t>2. Refer MFMA s30</t>
  </si>
  <si>
    <t>3. As per Budget Table A6</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</si>
  <si>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</si>
  <si>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</si>
  <si>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</si>
  <si>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</si>
  <si>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</si>
  <si>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</si>
  <si>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</si>
  <si>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</si>
  <si>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</si>
  <si>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</si>
  <si>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</si>
  <si>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</si>
  <si>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</si>
  <si>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</si>
  <si>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</si>
  <si>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</si>
  <si>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</si>
  <si>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</si>
  <si>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</si>
  <si>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</si>
  <si>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</si>
  <si>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</si>
  <si>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</si>
  <si>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</si>
  <si>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</si>
  <si>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</si>
  <si>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Conservancy</t>
  </si>
  <si>
    <t>Ambulances</t>
  </si>
  <si>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</si>
  <si>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</si>
  <si>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</si>
  <si>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</si>
  <si>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</si>
  <si>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</si>
  <si>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</si>
  <si>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</si>
  <si>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</si>
  <si>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</si>
  <si>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</si>
  <si>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</si>
  <si>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</si>
  <si>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</si>
  <si>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</si>
  <si>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</si>
  <si>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</si>
  <si>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</si>
  <si>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</si>
  <si>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</si>
  <si>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</si>
  <si>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</si>
  <si>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</si>
  <si>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</si>
  <si>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</si>
  <si>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</si>
  <si>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</si>
  <si>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</si>
  <si>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</si>
  <si>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</si>
  <si>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</si>
  <si>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</si>
  <si>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</si>
  <si>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</si>
  <si>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</si>
  <si>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</si>
  <si>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</si>
  <si>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</si>
  <si>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</si>
  <si>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</si>
  <si>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</si>
  <si>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</si>
  <si>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</si>
  <si>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</si>
  <si>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</si>
  <si>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</si>
  <si>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</si>
  <si>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</si>
  <si>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</si>
  <si>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</si>
  <si>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</si>
  <si>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</si>
  <si>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</si>
  <si>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</si>
  <si>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</si>
  <si>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</si>
  <si>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</si>
  <si>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</si>
  <si>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</si>
  <si>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</si>
  <si>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</si>
  <si>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</si>
  <si>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</si>
  <si>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</si>
  <si>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</si>
  <si>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</si>
  <si>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</si>
  <si>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</si>
  <si>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</si>
  <si>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</si>
  <si>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</si>
  <si>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</si>
  <si>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Revenue - Standard</t>
  </si>
  <si>
    <t>Governance and administration</t>
  </si>
  <si>
    <t>Executive and council</t>
  </si>
  <si>
    <t>Budget and treasury office</t>
  </si>
  <si>
    <t>Corporate services</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</si>
  <si>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</si>
  <si>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</si>
  <si>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</si>
  <si>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</si>
  <si>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</si>
  <si>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</si>
  <si>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</si>
  <si>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</si>
  <si>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</si>
  <si>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</si>
  <si>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</si>
  <si>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</si>
  <si>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</si>
  <si>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</si>
  <si>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</si>
  <si>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</si>
  <si>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Total Revenue - Standard</t>
  </si>
  <si>
    <t>Expenditure - Standard</t>
  </si>
  <si>
    <t>Total Expenditure - Standard</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</si>
  <si>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</si>
  <si>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</si>
  <si>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</si>
  <si>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</si>
  <si>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</si>
  <si>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</si>
  <si>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</si>
  <si>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</si>
  <si>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Property rates - penalties &amp; collection charges</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</si>
  <si>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</si>
  <si>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</si>
  <si>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</si>
  <si>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</si>
  <si>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</si>
  <si>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</si>
  <si>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</si>
  <si>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</si>
  <si>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Fines</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</si>
  <si>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</si>
  <si>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</si>
  <si>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</si>
  <si>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</si>
  <si>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</si>
  <si>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</si>
  <si>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</si>
  <si>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</si>
  <si>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</si>
  <si>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</si>
  <si>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</si>
  <si>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</si>
  <si>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Contributions</t>
  </si>
  <si>
    <t>Contributed assets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</si>
  <si>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</si>
  <si>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</si>
  <si>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</si>
  <si>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</si>
  <si>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</si>
  <si>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</si>
  <si>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</si>
  <si>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</si>
  <si>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</si>
  <si>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Capital Expenditure - Standard</t>
  </si>
  <si>
    <t>Funded by:</t>
  </si>
  <si>
    <t>National Government</t>
  </si>
  <si>
    <t>Provincial Government</t>
  </si>
  <si>
    <t>District Municipality</t>
  </si>
  <si>
    <t>Total Capital transfers recognised</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</si>
  <si>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</si>
  <si>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</si>
  <si>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</si>
  <si>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</si>
  <si>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</si>
  <si>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</si>
  <si>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</si>
  <si>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</si>
  <si>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</si>
  <si>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</si>
  <si>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</si>
  <si>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</si>
  <si>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</si>
  <si>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</si>
  <si>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</si>
  <si>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</si>
  <si>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</si>
  <si>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</si>
  <si>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</si>
  <si>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</si>
  <si>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</si>
  <si>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</si>
  <si>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</si>
  <si>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</si>
  <si>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</si>
  <si>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</si>
  <si>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</si>
  <si>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</si>
  <si>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</si>
  <si>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</si>
  <si>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</si>
  <si>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</si>
  <si>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</si>
  <si>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</si>
  <si>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</si>
  <si>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</si>
  <si>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</si>
  <si>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</si>
  <si>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</si>
  <si>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</si>
  <si>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</si>
  <si>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</si>
  <si>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</si>
  <si>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</si>
  <si>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</si>
  <si>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</si>
  <si>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</si>
  <si>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</si>
  <si>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</si>
  <si>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</si>
  <si>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</si>
  <si>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</si>
  <si>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</si>
  <si>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</si>
  <si>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</si>
  <si>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</si>
  <si>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</si>
  <si>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</si>
  <si>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</si>
  <si>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</si>
  <si>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</si>
  <si>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</si>
  <si>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</si>
  <si>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</si>
  <si>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</si>
  <si>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</si>
  <si>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</si>
  <si>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</si>
  <si>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</si>
  <si>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</si>
  <si>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</si>
  <si>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</si>
  <si>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</si>
  <si>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</si>
  <si>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</si>
  <si>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</si>
  <si>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</si>
  <si>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</si>
  <si>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</si>
  <si>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</si>
  <si>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</si>
  <si>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</si>
  <si>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</si>
  <si>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</si>
  <si>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</si>
  <si>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</si>
  <si>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</si>
  <si>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</si>
  <si>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</si>
  <si>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</si>
  <si>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</si>
  <si>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</si>
  <si>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</si>
  <si>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</si>
  <si>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</si>
  <si>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</si>
  <si>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</si>
  <si>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</si>
  <si>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</si>
  <si>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</si>
  <si>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</si>
  <si>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 xml:space="preserve">  Infrastructure - Road transport</t>
  </si>
  <si>
    <t xml:space="preserve">  Infrastructure - Electricity</t>
  </si>
  <si>
    <t xml:space="preserve">  Infrastructure - Water</t>
  </si>
  <si>
    <t xml:space="preserve">  Infrastructure - Sanitation</t>
  </si>
  <si>
    <t xml:space="preserve">  Infrastructure - Other</t>
  </si>
  <si>
    <t>Infrastructure</t>
  </si>
  <si>
    <t>Community</t>
  </si>
  <si>
    <t>Heritage assets</t>
  </si>
  <si>
    <t>Investment properties</t>
  </si>
  <si>
    <t>Other assets</t>
  </si>
  <si>
    <t>Intangibles</t>
  </si>
  <si>
    <t>Biological assets</t>
  </si>
  <si>
    <t>ASSET REGISTER SUMMARY - PPE (WDV)</t>
  </si>
  <si>
    <t>EXPENDITURE OTHER ITEMS</t>
  </si>
  <si>
    <t>Repairs and Maintenance by asset class</t>
  </si>
  <si>
    <t>Name link</t>
  </si>
  <si>
    <t>Name of Muni</t>
  </si>
  <si>
    <t>Choose name from list</t>
  </si>
  <si>
    <t>Set name on 'Instructions' sheet</t>
  </si>
  <si>
    <t>DC1 West Coast</t>
  </si>
  <si>
    <t>WC WESTERN CAPE</t>
  </si>
  <si>
    <t>EC EASTERN CAPE</t>
  </si>
  <si>
    <t>DC12 Amathole</t>
  </si>
  <si>
    <t>DC13 Chris Hani</t>
  </si>
  <si>
    <t>DC15 O .R. Tambo</t>
  </si>
  <si>
    <t>DC16 Xhariep</t>
  </si>
  <si>
    <t>FS FREE STATE</t>
  </si>
  <si>
    <t>DC18 Lejweleputswa</t>
  </si>
  <si>
    <t>DC19 Thabo Mofutsanyana</t>
  </si>
  <si>
    <t>DC20 Fezile Dabi</t>
  </si>
  <si>
    <t>DC21 Ugu</t>
  </si>
  <si>
    <t>DC22 uMgungundlovu</t>
  </si>
  <si>
    <t>DC23 Uthukela</t>
  </si>
  <si>
    <t>DC24 Umzinyathi</t>
  </si>
  <si>
    <t>DC25 Amajuba</t>
  </si>
  <si>
    <t>DC26 Zululand</t>
  </si>
  <si>
    <t>DC27 Umkhanyakude</t>
  </si>
  <si>
    <t>DC28 uThungulu</t>
  </si>
  <si>
    <t>DC29 iLembe</t>
  </si>
  <si>
    <t>DC3 Overberg</t>
  </si>
  <si>
    <t>DC30 Gert Sibande</t>
  </si>
  <si>
    <t>MP MPUMALANGA</t>
  </si>
  <si>
    <t>DC31 Nkangala</t>
  </si>
  <si>
    <t>DC32 Ehlanzeni</t>
  </si>
  <si>
    <t>DC33 Mopani</t>
  </si>
  <si>
    <t>DC34 Vhembe</t>
  </si>
  <si>
    <t>DC35 Capricorn</t>
  </si>
  <si>
    <t>DC36 Waterberg</t>
  </si>
  <si>
    <t>DC37 Bojanala Platinum</t>
  </si>
  <si>
    <t>NW NORTH WEST</t>
  </si>
  <si>
    <t>DC38 Ngaka Modiri Molema</t>
  </si>
  <si>
    <t>DC39 Dr Ruth Segomotsi Mompati</t>
  </si>
  <si>
    <t>DC4 Eden</t>
  </si>
  <si>
    <t>DC40 Dr Kenneth Kaunda</t>
  </si>
  <si>
    <t>DC42 Sedibeng</t>
  </si>
  <si>
    <t>GT GAUTENG</t>
  </si>
  <si>
    <t>DC44 Alfred Nzo</t>
  </si>
  <si>
    <t>NC NORTHERN CAPE</t>
  </si>
  <si>
    <t>DC48 West Rand</t>
  </si>
  <si>
    <t>DC5 Central Karoo</t>
  </si>
  <si>
    <t>DC6 Namakwa</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</si>
  <si>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</si>
  <si>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</si>
  <si>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</si>
  <si>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</si>
  <si>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</si>
  <si>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</si>
  <si>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</si>
  <si>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</si>
  <si>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</si>
  <si>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</si>
  <si>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</si>
  <si>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</si>
  <si>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</si>
  <si>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</si>
  <si>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</si>
  <si>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</si>
  <si>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</si>
  <si>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</si>
  <si>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</si>
  <si>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</si>
  <si>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EC134 Lukhanji</t>
  </si>
  <si>
    <t>EC135 Intsika Yethu</t>
  </si>
  <si>
    <t>EC136 Emalahleni (Ec)</t>
  </si>
  <si>
    <t>EC137 Engcobo</t>
  </si>
  <si>
    <t>EC138 Sakhisizwe</t>
  </si>
  <si>
    <t>EC141 Elundini</t>
  </si>
  <si>
    <t>EC142 Senqu</t>
  </si>
  <si>
    <t>EC143 Maletswai</t>
  </si>
  <si>
    <t>EC144 Gariep</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</si>
  <si>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</si>
  <si>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</si>
  <si>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</si>
  <si>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</si>
  <si>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</si>
  <si>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</si>
  <si>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</si>
  <si>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</si>
  <si>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</si>
  <si>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</si>
  <si>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</si>
  <si>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</si>
  <si>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</si>
  <si>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</si>
  <si>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</si>
  <si>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</si>
  <si>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</si>
  <si>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</si>
  <si>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</si>
  <si>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</si>
  <si>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</si>
  <si>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</si>
  <si>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</si>
  <si>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</si>
  <si>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</si>
  <si>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</si>
  <si>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</si>
  <si>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</si>
  <si>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GT482 Randfontein</t>
  </si>
  <si>
    <t>GT483 Westonaria</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</si>
  <si>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</si>
  <si>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</si>
  <si>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</si>
  <si>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</si>
  <si>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</si>
  <si>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</si>
  <si>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</si>
  <si>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</si>
  <si>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</si>
  <si>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</si>
  <si>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</si>
  <si>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</si>
  <si>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</si>
  <si>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</si>
  <si>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</si>
  <si>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</si>
  <si>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</si>
  <si>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</si>
  <si>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</si>
  <si>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</si>
  <si>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</si>
  <si>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</si>
  <si>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</si>
  <si>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</si>
  <si>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</si>
  <si>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</si>
  <si>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</si>
  <si>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</si>
  <si>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</si>
  <si>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</si>
  <si>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</si>
  <si>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</si>
  <si>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</si>
  <si>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</si>
  <si>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</si>
  <si>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</si>
  <si>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</si>
  <si>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</si>
  <si>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</si>
  <si>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</si>
  <si>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</si>
  <si>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</si>
  <si>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</si>
  <si>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</si>
  <si>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</si>
  <si>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</si>
  <si>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</si>
  <si>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</si>
  <si>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</si>
  <si>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</si>
  <si>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</si>
  <si>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</si>
  <si>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</si>
  <si>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</si>
  <si>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</si>
  <si>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</si>
  <si>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</si>
  <si>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</si>
  <si>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</si>
  <si>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</si>
  <si>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</si>
  <si>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</si>
  <si>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</si>
  <si>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</si>
  <si>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</si>
  <si>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</si>
  <si>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</si>
  <si>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</si>
  <si>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</si>
  <si>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MP301 Albert Luthuli</t>
  </si>
  <si>
    <t>MP302 Msukaligwa</t>
  </si>
  <si>
    <t>MP303 Mkhondo</t>
  </si>
  <si>
    <t>MP305 Lekwa</t>
  </si>
  <si>
    <t>MP306 Dipaleseng</t>
  </si>
  <si>
    <t>MP307 Govan Mbeki</t>
  </si>
  <si>
    <t>MP313 Steve Tshwete</t>
  </si>
  <si>
    <t>MP314 Emakhazeni</t>
  </si>
  <si>
    <t>MP316 Dr J.S. Moroka</t>
  </si>
  <si>
    <t>MP321 Thaba Chweu</t>
  </si>
  <si>
    <t>MP322 Mbombela</t>
  </si>
  <si>
    <t>MP323 Umjindi</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</si>
  <si>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</si>
  <si>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</si>
  <si>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</si>
  <si>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</si>
  <si>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</si>
  <si>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</si>
  <si>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</si>
  <si>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</si>
  <si>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</si>
  <si>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</si>
  <si>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</si>
  <si>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</si>
  <si>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</si>
  <si>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</si>
  <si>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</si>
  <si>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</si>
  <si>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</si>
  <si>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</si>
  <si>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</si>
  <si>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</si>
  <si>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</si>
  <si>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</si>
  <si>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</si>
  <si>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</si>
  <si>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</si>
  <si>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</si>
  <si>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</si>
  <si>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</si>
  <si>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</si>
  <si>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</si>
  <si>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</si>
  <si>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</si>
  <si>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</si>
  <si>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</si>
  <si>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</si>
  <si>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</si>
  <si>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</si>
  <si>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</si>
  <si>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</si>
  <si>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</si>
  <si>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</si>
  <si>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</si>
  <si>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</si>
  <si>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</si>
  <si>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</si>
  <si>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</si>
  <si>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</si>
  <si>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</si>
  <si>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</si>
  <si>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</si>
  <si>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</si>
  <si>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</si>
  <si>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</si>
  <si>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</si>
  <si>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</si>
  <si>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</si>
  <si>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</si>
  <si>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</si>
  <si>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</si>
  <si>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</si>
  <si>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</si>
  <si>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</si>
  <si>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</si>
  <si>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</si>
  <si>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</si>
  <si>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</si>
  <si>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</si>
  <si>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</si>
  <si>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</si>
  <si>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</si>
  <si>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</si>
  <si>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Renewal and 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</si>
  <si>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</si>
  <si>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</si>
  <si>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</si>
  <si>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</si>
  <si>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</si>
  <si>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</si>
  <si>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</si>
  <si>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</si>
  <si>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</si>
  <si>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</si>
  <si>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</si>
  <si>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Municipal Manager</t>
  </si>
  <si>
    <t>Human Resources</t>
  </si>
  <si>
    <t>Information Technology</t>
  </si>
  <si>
    <t>Property Services</t>
  </si>
  <si>
    <t>Other Admin</t>
  </si>
  <si>
    <t>Libraries and Archives</t>
  </si>
  <si>
    <t>Museums &amp; Art Galleries etc</t>
  </si>
  <si>
    <t>Community halls and Facilities</t>
  </si>
  <si>
    <t>Cemeteries &amp; Crematoriums</t>
  </si>
  <si>
    <t>Child Care</t>
  </si>
  <si>
    <t>Aged Care</t>
  </si>
  <si>
    <t>Other Community</t>
  </si>
  <si>
    <t>Other Social</t>
  </si>
  <si>
    <t>Police</t>
  </si>
  <si>
    <t>Fire</t>
  </si>
  <si>
    <t>Civil Defence</t>
  </si>
  <si>
    <t xml:space="preserve">Other   </t>
  </si>
  <si>
    <t xml:space="preserve">Economic Development/Planning </t>
  </si>
  <si>
    <t xml:space="preserve">Town Planning/Building enforcement </t>
  </si>
  <si>
    <t>Licensing &amp; Regulation</t>
  </si>
  <si>
    <t>Roads</t>
  </si>
  <si>
    <t>Public Buses</t>
  </si>
  <si>
    <t>Parking Garages</t>
  </si>
  <si>
    <t>Vehicle Licensing and Testing</t>
  </si>
  <si>
    <t>Pollution Control</t>
  </si>
  <si>
    <t>Biodiversity &amp; Landscape</t>
  </si>
  <si>
    <t>Electricity Distribution</t>
  </si>
  <si>
    <t>Electricity Generation</t>
  </si>
  <si>
    <t>Water Distribution</t>
  </si>
  <si>
    <t>Water Storage</t>
  </si>
  <si>
    <t>Sewerage</t>
  </si>
  <si>
    <t>Storm Water Management</t>
  </si>
  <si>
    <t>Public Toilets</t>
  </si>
  <si>
    <t>Solid Waste</t>
  </si>
  <si>
    <t>Air Transport</t>
  </si>
  <si>
    <t>Tourism</t>
  </si>
  <si>
    <t>Forestry</t>
  </si>
  <si>
    <t>1. Government Finance Statistics Functions and Sub-functions are standardised to assist national and international accounts and comparison</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</si>
  <si>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</si>
  <si>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</si>
  <si>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</si>
  <si>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</si>
  <si>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</si>
  <si>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</si>
  <si>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</si>
  <si>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</si>
  <si>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</si>
  <si>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</si>
  <si>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</si>
  <si>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</si>
  <si>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</si>
  <si>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</si>
  <si>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</si>
  <si>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</si>
  <si>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</si>
  <si>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</si>
  <si>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</si>
  <si>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</si>
  <si>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</si>
  <si>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</si>
  <si>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</si>
  <si>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</si>
  <si>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</si>
  <si>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</si>
  <si>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</si>
  <si>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</si>
  <si>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</si>
  <si>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</si>
  <si>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</si>
  <si>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</si>
  <si>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</si>
  <si>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</si>
  <si>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</si>
  <si>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</si>
  <si>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</si>
  <si>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</si>
  <si>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</si>
  <si>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</si>
  <si>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</si>
  <si>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</si>
  <si>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</si>
  <si>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</si>
  <si>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</si>
  <si>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</si>
  <si>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</si>
  <si>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</si>
  <si>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</si>
  <si>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</si>
  <si>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</si>
  <si>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</si>
  <si>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</si>
  <si>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</si>
  <si>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</si>
  <si>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</si>
  <si>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</si>
  <si>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</si>
  <si>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</si>
  <si>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</si>
  <si>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</si>
  <si>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</si>
  <si>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</si>
  <si>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</si>
  <si>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</si>
  <si>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</si>
  <si>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</si>
  <si>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</si>
  <si>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</si>
  <si>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</si>
  <si>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</si>
  <si>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</si>
  <si>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</si>
  <si>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</si>
  <si>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Sanitation (free sanitation service)</t>
  </si>
  <si>
    <t>Electricity/other energy (50kwh per household per month)</t>
  </si>
  <si>
    <t>Refuse (removed once a week)</t>
  </si>
  <si>
    <t xml:space="preserve">Total cost of FBS provided (minimum social package) </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</si>
  <si>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</si>
  <si>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</si>
  <si>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</si>
  <si>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</si>
  <si>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</si>
  <si>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</si>
  <si>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</si>
  <si>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Property rates (other exemptions, reductions and rebates)</t>
  </si>
  <si>
    <t>Sanitation</t>
  </si>
  <si>
    <t>Electricity/other energy</t>
  </si>
  <si>
    <t>Refuse</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</si>
  <si>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</si>
  <si>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</si>
  <si>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</si>
  <si>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</si>
  <si>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</si>
  <si>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</si>
  <si>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</si>
  <si>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</si>
  <si>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</si>
  <si>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</si>
  <si>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</si>
  <si>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</si>
  <si>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</si>
  <si>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</si>
  <si>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</si>
  <si>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</si>
  <si>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</si>
  <si>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</si>
  <si>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</si>
  <si>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</si>
  <si>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</si>
  <si>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</si>
  <si>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</si>
  <si>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</si>
  <si>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</si>
  <si>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</si>
  <si>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</si>
  <si>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</si>
  <si>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</si>
  <si>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</si>
  <si>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</si>
  <si>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</si>
  <si>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</si>
  <si>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</si>
  <si>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</si>
  <si>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Property rates (R15 000 threshold rebate)</t>
  </si>
  <si>
    <t>Municipal Housing - rental rebates</t>
  </si>
  <si>
    <t>Housing - top structure subsidies</t>
  </si>
  <si>
    <t>Total revenue cost of free services provided (total social package)</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</si>
  <si>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</si>
  <si>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</si>
  <si>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</si>
  <si>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</si>
  <si>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</si>
  <si>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</si>
  <si>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</si>
  <si>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</si>
  <si>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</si>
  <si>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</si>
  <si>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</si>
  <si>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</si>
  <si>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</si>
  <si>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</si>
  <si>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</si>
  <si>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t>Transfers recognised - operating</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</si>
  <si>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</si>
  <si>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</si>
  <si>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</si>
  <si>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</si>
  <si>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</si>
  <si>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less Revenue Foregone</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</si>
  <si>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</si>
  <si>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</si>
  <si>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</si>
  <si>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</si>
  <si>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</si>
  <si>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</si>
  <si>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</si>
  <si>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</si>
  <si>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</si>
  <si>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</si>
  <si>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</si>
  <si>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</si>
  <si>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</si>
  <si>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</si>
  <si>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</si>
  <si>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</si>
  <si>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</si>
  <si>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</si>
  <si>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</si>
  <si>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</si>
  <si>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</si>
  <si>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</si>
  <si>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</si>
  <si>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</si>
  <si>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</si>
  <si>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</si>
  <si>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</si>
  <si>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</si>
  <si>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</si>
  <si>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</si>
  <si>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</si>
  <si>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</si>
  <si>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</si>
  <si>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</si>
  <si>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</si>
  <si>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</si>
  <si>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</si>
  <si>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</si>
  <si>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</si>
  <si>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</si>
  <si>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</si>
  <si>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</si>
  <si>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</si>
  <si>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</si>
  <si>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</si>
  <si>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</si>
  <si>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</si>
  <si>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Agricultural assets</t>
  </si>
  <si>
    <t>Agricultural Assets</t>
  </si>
  <si>
    <t>Capital expenditure on new assets by Asset Class/Sub-class</t>
  </si>
  <si>
    <r>
      <t>Total Capital Expenditure on new assets</t>
    </r>
    <r>
      <rPr>
        <b/>
        <i/>
        <sz val="8"/>
        <rFont val="Arial Narrow"/>
        <family val="2"/>
      </rPr>
      <t xml:space="preserve"> to be adjusted</t>
    </r>
  </si>
  <si>
    <t>1. Total Capital Expenditure on new assets (SB18a) plus Total Capital Expenditure on renewal of existing assets (SB18b) must reconcile to total capital expenditure in Budgeted Capital Expenditure</t>
  </si>
  <si>
    <t>Capital expenditure on renewal of existing assets by Asset Class/Sub-class</t>
  </si>
  <si>
    <r>
      <t xml:space="preserve">Total Capital Expenditure on renewal of existing assets </t>
    </r>
    <r>
      <rPr>
        <b/>
        <i/>
        <sz val="8"/>
        <rFont val="Arial Narrow"/>
        <family val="2"/>
      </rPr>
      <t>to be adjusted</t>
    </r>
  </si>
  <si>
    <t>1. Total Capital Expenditure  on renewal of existing assets (SB18b) plus Total Capital Expenditure on new assets (SB18a) must reconcile to total capital expenditure in Budgeted Capital Expenditure</t>
  </si>
  <si>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</si>
  <si>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</si>
  <si>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</si>
  <si>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</si>
  <si>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</si>
  <si>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</si>
  <si>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Call deposits &lt; 90 days</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</si>
  <si>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</si>
  <si>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</si>
  <si>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</si>
  <si>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</si>
  <si>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</si>
  <si>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</si>
  <si>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</si>
  <si>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</si>
  <si>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</si>
  <si>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</si>
  <si>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</si>
  <si>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</si>
  <si>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</si>
  <si>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</si>
  <si>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</si>
  <si>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</si>
  <si>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</si>
  <si>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</si>
  <si>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</si>
  <si>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</si>
  <si>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</si>
  <si>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</si>
  <si>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</si>
  <si>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</si>
  <si>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</si>
  <si>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</si>
  <si>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</si>
  <si>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</si>
  <si>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</si>
  <si>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</si>
  <si>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</si>
  <si>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</si>
  <si>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</si>
  <si>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</si>
  <si>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</si>
  <si>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</si>
  <si>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</si>
  <si>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</si>
  <si>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</si>
  <si>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</si>
  <si>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</si>
  <si>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</si>
  <si>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</si>
  <si>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</si>
  <si>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</si>
  <si>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</si>
  <si>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</si>
  <si>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</si>
  <si>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</si>
  <si>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</si>
  <si>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</si>
  <si>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</si>
  <si>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</si>
  <si>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</si>
  <si>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</si>
  <si>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</si>
  <si>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</si>
  <si>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</si>
  <si>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</si>
  <si>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</si>
  <si>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</si>
  <si>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</si>
  <si>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</si>
  <si>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</si>
  <si>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</si>
  <si>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</si>
  <si>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</si>
  <si>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</si>
  <si>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</si>
  <si>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</si>
  <si>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</si>
  <si>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</si>
  <si>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</si>
  <si>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</si>
  <si>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</si>
  <si>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</si>
  <si>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</si>
  <si>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</si>
  <si>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</si>
  <si>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</si>
  <si>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</si>
  <si>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</si>
  <si>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</si>
  <si>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t>
  </si>
  <si>
    <t>16. Not municipal contributions to the 'top structure' being built using the housing subsidies</t>
  </si>
  <si>
    <t>17. Statues, art collections, medals etc.</t>
  </si>
  <si>
    <t>16 Not municipal contributions to the 'top structure' being built using the housing subsidies</t>
  </si>
  <si>
    <t>15. Buses used to provide a service to the community</t>
  </si>
  <si>
    <t>15 Buses used to provide a service to the community</t>
  </si>
  <si>
    <t>18. Ambulances, fire engines, refuse vehicles - but not vehicles that would normally be classified as 'Plant and equipment'. Detail to be entered below</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</si>
  <si>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</si>
  <si>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</si>
  <si>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</si>
  <si>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</si>
  <si>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</si>
  <si>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</si>
  <si>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</si>
  <si>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</si>
  <si>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</si>
  <si>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</si>
  <si>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</si>
  <si>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</si>
  <si>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</si>
  <si>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</si>
  <si>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</si>
  <si>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</si>
  <si>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</si>
  <si>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</si>
  <si>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</si>
  <si>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</si>
  <si>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</si>
  <si>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</si>
  <si>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</si>
  <si>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</si>
  <si>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</si>
  <si>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</si>
  <si>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</si>
  <si>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</si>
  <si>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</si>
  <si>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</si>
  <si>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</si>
  <si>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</si>
  <si>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</si>
  <si>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</si>
  <si>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</si>
  <si>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7.10</t>
  </si>
  <si>
    <t>8.10</t>
  </si>
  <si>
    <t>9.10</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</si>
  <si>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</si>
  <si>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</si>
  <si>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</si>
  <si>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</si>
  <si>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</si>
  <si>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</si>
  <si>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</si>
  <si>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</si>
  <si>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</si>
  <si>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</si>
  <si>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</si>
  <si>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</si>
  <si>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</si>
  <si>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</si>
  <si>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</si>
  <si>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</si>
  <si>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</si>
  <si>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</si>
  <si>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</si>
  <si>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</si>
  <si>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</si>
  <si>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</si>
  <si>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</si>
  <si>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</si>
  <si>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</si>
  <si>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</si>
  <si>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</si>
  <si>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</si>
  <si>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</si>
  <si>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</si>
  <si>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</si>
  <si>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</si>
  <si>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</si>
  <si>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</si>
  <si>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</si>
  <si>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</si>
  <si>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</si>
  <si>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</si>
  <si>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</si>
  <si>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</si>
  <si>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</si>
  <si>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</si>
  <si>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</si>
  <si>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</si>
  <si>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</si>
  <si>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</si>
  <si>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</si>
  <si>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</si>
  <si>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</si>
  <si>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</si>
  <si>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</si>
  <si>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</si>
  <si>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</si>
  <si>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</si>
  <si>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</si>
  <si>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Investment Properties</t>
  </si>
  <si>
    <t>Other Assets</t>
  </si>
  <si>
    <t>Waste Management</t>
  </si>
  <si>
    <t>Sportsfields &amp; stadia</t>
  </si>
  <si>
    <t>Specialised vehicles - Refuse</t>
  </si>
  <si>
    <t>Specialised vehicles - Fire</t>
  </si>
  <si>
    <t>Specialised vehicles - Conservancy</t>
  </si>
  <si>
    <t>Specialised vehicles - Ambulances</t>
  </si>
  <si>
    <t>GPS co-ordinates</t>
  </si>
  <si>
    <t>Individually Approved
Yes/No</t>
  </si>
  <si>
    <t>5. Correct to seconds. Provide a logical starting point on networked infrastructure.</t>
  </si>
  <si>
    <t>6. Distinguish projects approved in terms of MFMA section 19(1)(b) and MRRR Regulation 13</t>
  </si>
  <si>
    <t>4. Asset category and sub-category must be selected from Budget Table SA34</t>
  </si>
  <si>
    <t>IDP Goal Code</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</si>
  <si>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</si>
  <si>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</si>
  <si>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</si>
  <si>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</si>
  <si>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</si>
  <si>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</si>
  <si>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</si>
  <si>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</si>
  <si>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</si>
  <si>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</si>
  <si>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</si>
  <si>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</si>
  <si>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</si>
  <si>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FS164 Naledi (Fs)</t>
  </si>
  <si>
    <t>FS196 Mantsopa</t>
  </si>
  <si>
    <t>MP312 Emalahleni (Mp)</t>
  </si>
  <si>
    <t>MP315 Thembisile Hani</t>
  </si>
  <si>
    <t>BUF Buffalo City</t>
  </si>
  <si>
    <t>NMA Nelson Mandela Bay</t>
  </si>
  <si>
    <t>MAN Mangaung</t>
  </si>
  <si>
    <t>EKU Ekurhuleni Metro</t>
  </si>
  <si>
    <t>JHB City Of Johannesburg</t>
  </si>
  <si>
    <t>TSH City Of Tshwane</t>
  </si>
  <si>
    <t>ETH eThekwini</t>
  </si>
  <si>
    <t>LIM LIMPOPO</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</si>
  <si>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</si>
  <si>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</si>
  <si>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</si>
  <si>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</si>
  <si>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</si>
  <si>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</si>
  <si>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</si>
  <si>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</si>
  <si>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</si>
  <si>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</si>
  <si>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</si>
  <si>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</si>
  <si>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</si>
  <si>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</si>
  <si>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</si>
  <si>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</si>
  <si>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</si>
  <si>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</si>
  <si>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</si>
  <si>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</si>
  <si>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</si>
  <si>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</si>
  <si>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</si>
  <si>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</si>
  <si>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</si>
  <si>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</si>
  <si>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</si>
  <si>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</si>
  <si>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Minorities' interests</t>
  </si>
  <si>
    <t>Property rates, penalties &amp; collection charges</t>
  </si>
  <si>
    <t>Renewal of Existing Assets as % of total capex</t>
  </si>
  <si>
    <t>Renewal of Existing Assets as % of deprecn"</t>
  </si>
  <si>
    <t>Electricity Bulk Purchases</t>
  </si>
  <si>
    <t>Water Bulk Purchases</t>
  </si>
  <si>
    <t>List other revenue by source</t>
  </si>
  <si>
    <t>Cash transfers and grants</t>
  </si>
  <si>
    <t>Non-cash transfers and grants</t>
  </si>
  <si>
    <t>Total transfers and grants</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</si>
  <si>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</si>
  <si>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</si>
  <si>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</si>
  <si>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</si>
  <si>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</si>
  <si>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</si>
  <si>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</si>
  <si>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</si>
  <si>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</si>
  <si>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</si>
  <si>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</si>
  <si>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</si>
  <si>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</si>
  <si>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</si>
  <si>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</si>
  <si>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</si>
  <si>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</si>
  <si>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</si>
  <si>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</si>
  <si>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</si>
  <si>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</si>
  <si>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</si>
  <si>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</si>
  <si>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</si>
  <si>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</si>
  <si>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</si>
  <si>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</si>
  <si>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</si>
  <si>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</si>
  <si>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</si>
  <si>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</si>
  <si>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</si>
  <si>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</si>
  <si>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polokwane</t>
  </si>
  <si>
    <t>Polokwane</t>
  </si>
  <si>
    <t>Civic Centre</t>
  </si>
  <si>
    <t>Cnr Landros Mare &amp; Bodenstein</t>
  </si>
  <si>
    <t>015 290 2000/1/2</t>
  </si>
  <si>
    <t>Caiphus Mathiba</t>
  </si>
  <si>
    <t>n/a</t>
  </si>
  <si>
    <t>caiphusm1@polokwane.gov.za</t>
  </si>
  <si>
    <t>Thembi Nkadimeng</t>
  </si>
  <si>
    <t>thembin@polokwane.gov.za</t>
  </si>
  <si>
    <t>Joel Sefala</t>
  </si>
  <si>
    <t>seokas@polokwane.gov.za</t>
  </si>
  <si>
    <t>Leiselle Pragji</t>
  </si>
  <si>
    <t>Leisellep@polokwane.gov.za</t>
  </si>
  <si>
    <t>Fikile Mudau</t>
  </si>
  <si>
    <t>Helen Netshikovhela</t>
  </si>
  <si>
    <t>helenn@polokwane.gov.za</t>
  </si>
  <si>
    <t>Wilken Nel</t>
  </si>
  <si>
    <t>wilkenn@polokwane.gov.za</t>
  </si>
  <si>
    <t>Moleboheng Mathebula</t>
  </si>
  <si>
    <t>molebohengm@polokwane.gov.za</t>
  </si>
  <si>
    <t>COUNCIL</t>
  </si>
  <si>
    <t>Council</t>
  </si>
  <si>
    <t>Office of executive Mayor</t>
  </si>
  <si>
    <t>Office of Speaker</t>
  </si>
  <si>
    <t>Office of Chief Whip</t>
  </si>
  <si>
    <t>Office of the Municipal Manger</t>
  </si>
  <si>
    <t>Office of the Municipal Manager</t>
  </si>
  <si>
    <t>Communications and Marketing</t>
  </si>
  <si>
    <t>Strategic Planning Monitoring and Evaluation</t>
  </si>
  <si>
    <t>Director Strategic Planning Monitoring and Evaluation</t>
  </si>
  <si>
    <t>Risk Management</t>
  </si>
  <si>
    <t>Internal Audit</t>
  </si>
  <si>
    <t>Project Management</t>
  </si>
  <si>
    <t>Perfomance Management</t>
  </si>
  <si>
    <t>IDP</t>
  </si>
  <si>
    <t>Cluster Offices</t>
  </si>
  <si>
    <t>Engineering Services</t>
  </si>
  <si>
    <t>Roads and streets</t>
  </si>
  <si>
    <t>Stormwater</t>
  </si>
  <si>
    <t>Sewer Purification</t>
  </si>
  <si>
    <t>Sewer Reticulation</t>
  </si>
  <si>
    <t>Water Purification</t>
  </si>
  <si>
    <t>Water Provision</t>
  </si>
  <si>
    <t>Electrical Workshop</t>
  </si>
  <si>
    <t>Other Engineering services</t>
  </si>
  <si>
    <t xml:space="preserve"> Community Services</t>
  </si>
  <si>
    <t>Swimming Pools</t>
  </si>
  <si>
    <t>Facility commercialization</t>
  </si>
  <si>
    <t>Community centres</t>
  </si>
  <si>
    <t>Art Museum</t>
  </si>
  <si>
    <t>Community Development</t>
  </si>
  <si>
    <t>Other Community Development</t>
  </si>
  <si>
    <t>Information Services</t>
  </si>
  <si>
    <t>Organisational Development</t>
  </si>
  <si>
    <t>Personnel</t>
  </si>
  <si>
    <t>Training and Skills Development</t>
  </si>
  <si>
    <t>Occupational Health and Safety</t>
  </si>
  <si>
    <t>Legal Services</t>
  </si>
  <si>
    <t>Secretariat</t>
  </si>
  <si>
    <t>Corporate  and Shared Services</t>
  </si>
  <si>
    <t>Fleet Management</t>
  </si>
  <si>
    <t>Other Corporate and Shared services</t>
  </si>
  <si>
    <t>Landuse Management</t>
  </si>
  <si>
    <t>Spatial Planning</t>
  </si>
  <si>
    <t>Property Management</t>
  </si>
  <si>
    <t>Transport Operations</t>
  </si>
  <si>
    <t>Building Inspectorate</t>
  </si>
  <si>
    <t>Planning and Economic Development</t>
  </si>
  <si>
    <t>Investment Promotion and Tourism</t>
  </si>
  <si>
    <t>Economic Planning and Development</t>
  </si>
  <si>
    <t>Other Planning and Economic Development</t>
  </si>
  <si>
    <t>Inter Govenmental Transfers</t>
  </si>
  <si>
    <t>Budget and Treasury</t>
  </si>
  <si>
    <t>Assesment Rates</t>
  </si>
  <si>
    <t>Supply Chain Management</t>
  </si>
  <si>
    <t>Gilbert Matlala</t>
  </si>
  <si>
    <t>gilbertm@polokwane.gov.za</t>
  </si>
  <si>
    <t>Licensing</t>
  </si>
  <si>
    <t>Traffic</t>
  </si>
  <si>
    <t>Security Services</t>
  </si>
  <si>
    <t>Fire and Emergency Services</t>
  </si>
  <si>
    <t>Nature Reserve</t>
  </si>
  <si>
    <t>Parks and Open Areas</t>
  </si>
  <si>
    <t>Other Community Services</t>
  </si>
  <si>
    <t>Museums</t>
  </si>
  <si>
    <t>Mechanical Workshop</t>
  </si>
  <si>
    <t>Enterprise Development</t>
  </si>
  <si>
    <t>2,1 - Office of the Municipal Manager</t>
  </si>
  <si>
    <t>2,2 - Communications and Marketing</t>
  </si>
  <si>
    <t>2,3 - Risk Management</t>
  </si>
  <si>
    <t>2,4 - Internal Audit</t>
  </si>
  <si>
    <t>3.1 - Director Strategic Planning Monitoring and Evaluation</t>
  </si>
  <si>
    <t>3.2 - Risk Management</t>
  </si>
  <si>
    <t>3.3 - Internal Audit</t>
  </si>
  <si>
    <t>3.4 - Project Management</t>
  </si>
  <si>
    <t>3.5 - Perfomance Management</t>
  </si>
  <si>
    <t>3.6 - IDP</t>
  </si>
  <si>
    <t>3.7 - Cluster Offices</t>
  </si>
  <si>
    <t>4.2 - Stormwater</t>
  </si>
  <si>
    <t>4.4 - Sewer Reticulation</t>
  </si>
  <si>
    <t>4.1 - Roads and streets</t>
  </si>
  <si>
    <t>4.3 - Sewer Purification</t>
  </si>
  <si>
    <t>4.5 - Water Distribution</t>
  </si>
  <si>
    <t>4.6 - Water Purification</t>
  </si>
  <si>
    <t>4.7 - Water Provision</t>
  </si>
  <si>
    <t>4.8 - Electrical Workshop</t>
  </si>
  <si>
    <t>4.9 - Electricity Distribution</t>
  </si>
  <si>
    <t>5.1 - Sport and Recreation</t>
  </si>
  <si>
    <t>5.2 - Swimming Pools</t>
  </si>
  <si>
    <t>5.3 - Facility commercialization</t>
  </si>
  <si>
    <t>5.4 - Civic Centre</t>
  </si>
  <si>
    <t>5.5 - Public Toilets</t>
  </si>
  <si>
    <t>5.6 - Community centres</t>
  </si>
  <si>
    <t>5.7 - Art Museum</t>
  </si>
  <si>
    <t>5.8 - Libraries</t>
  </si>
  <si>
    <t>5.9 - Museums</t>
  </si>
  <si>
    <t>5.10 - Other Community Development</t>
  </si>
  <si>
    <t>6.1 - Information Services</t>
  </si>
  <si>
    <t>6.2 - Organisational Development</t>
  </si>
  <si>
    <t>6.3 - Personnel</t>
  </si>
  <si>
    <t>6.4 - Training and Skills Development</t>
  </si>
  <si>
    <t>6.5 - Occupational Health and Safety</t>
  </si>
  <si>
    <t>6.6 - Legal Services</t>
  </si>
  <si>
    <t>6.7 - Secretariat</t>
  </si>
  <si>
    <t>6.8 - Mechanical Workshop</t>
  </si>
  <si>
    <t>6.9 - Fleet Management</t>
  </si>
  <si>
    <t>6.10 - Other Corporate and Shared services</t>
  </si>
  <si>
    <t>4.10 - Other Engineering services</t>
  </si>
  <si>
    <t>7.1 - Information Services</t>
  </si>
  <si>
    <t>7.2 - Organisational Development</t>
  </si>
  <si>
    <t>7.3 - Personnel</t>
  </si>
  <si>
    <t>7.4 - Training and Skills Development</t>
  </si>
  <si>
    <t>7.5 - Occupational Health and Safety</t>
  </si>
  <si>
    <t>7.6 - Legal Services</t>
  </si>
  <si>
    <t>7.7 - Secretariat</t>
  </si>
  <si>
    <t>7.8 - Mechanical Workshop</t>
  </si>
  <si>
    <t>7.9 - Fleet Management</t>
  </si>
  <si>
    <t>8.1 - Landuse Management</t>
  </si>
  <si>
    <t>8.2 - Spatial Planning</t>
  </si>
  <si>
    <t>8.3 - Property Management</t>
  </si>
  <si>
    <t>8.4 - Housing</t>
  </si>
  <si>
    <t>8.5 - Building Inspectorate</t>
  </si>
  <si>
    <t>8.6 - Enterprise Development</t>
  </si>
  <si>
    <t>8.7 - Investment Promotion and Tourism</t>
  </si>
  <si>
    <t>8.8 - Economic Planning and Development</t>
  </si>
  <si>
    <t>8.9 - Other Planning and Economic Development</t>
  </si>
  <si>
    <t>9.2 - Inter Govenmental Transfers</t>
  </si>
  <si>
    <t>9.1 - Chief Financial Officer</t>
  </si>
  <si>
    <t>9.3 - Budget and Treasury</t>
  </si>
  <si>
    <t>9.4 - Assesment Rates</t>
  </si>
  <si>
    <t>9.5 - Supply Chain Management</t>
  </si>
  <si>
    <t>10.1 - Transport Operations</t>
  </si>
  <si>
    <t>FEES - BUILDING PLANS</t>
  </si>
  <si>
    <t>REFUND - SETA LEVY</t>
  </si>
  <si>
    <t>FEES - ROYALTIES SILICON</t>
  </si>
  <si>
    <t>INSURANCE CLAIMS</t>
  </si>
  <si>
    <t>RECEIPT OF DONATIONS</t>
  </si>
  <si>
    <t>FEES - REMOVAL COSTS</t>
  </si>
  <si>
    <t>FEES - TENDER DEPOSIT</t>
  </si>
  <si>
    <t>FEES - TOWN PLANNING</t>
  </si>
  <si>
    <t>FEES - BURIAL SERVICE</t>
  </si>
  <si>
    <t>Other Minor Revenue items</t>
  </si>
  <si>
    <t>ASSET VERIFICATION</t>
  </si>
  <si>
    <t>AUDIT FEES - OUTSOURCED</t>
  </si>
  <si>
    <t>COMMISSION FEES</t>
  </si>
  <si>
    <t>CONSULTATION FEES</t>
  </si>
  <si>
    <t>EXTERNAL PRINTING</t>
  </si>
  <si>
    <t>FEES - EASYPAY SYSTEM</t>
  </si>
  <si>
    <t>GUARD SERVICES : RENTAL</t>
  </si>
  <si>
    <t>METER READING SERVICES</t>
  </si>
  <si>
    <t>RESEARCH AND DEVELOPMENT</t>
  </si>
  <si>
    <t>SWIMMING SUPERVISION</t>
  </si>
  <si>
    <t>TERMINATION OF SERVICES</t>
  </si>
  <si>
    <t>VALUATION ROLL</t>
  </si>
  <si>
    <t>RURAL HOUSEHOLD SANITATION</t>
  </si>
  <si>
    <t>FLEET MANAGEMENT</t>
  </si>
  <si>
    <t>RURAL HOUSEHOLD ELECTRIFICATIO</t>
  </si>
  <si>
    <t>CONTRIBUTION: MEDICAL AID - CO</t>
  </si>
  <si>
    <t>PROTECTIVE CLOTHING</t>
  </si>
  <si>
    <t>FREE BASIC SERVICES</t>
  </si>
  <si>
    <t>SPECIAL EVENTS</t>
  </si>
  <si>
    <t>FUEL AND OIL</t>
  </si>
  <si>
    <t>PROMOTIONS</t>
  </si>
  <si>
    <t>REBATE - ASSESSMENT RATES</t>
  </si>
  <si>
    <t>LEGAL EXPENSES</t>
  </si>
  <si>
    <t>WARD COMMITTEE MEETINGS</t>
  </si>
  <si>
    <t>RENTAL - EQUIPMENT</t>
  </si>
  <si>
    <t xml:space="preserve">TRAINING </t>
  </si>
  <si>
    <t>SUBSCRIPTION FEES</t>
  </si>
  <si>
    <t>PRINTING &amp; STATIONARY</t>
  </si>
  <si>
    <t xml:space="preserve">INSURANCE </t>
  </si>
  <si>
    <t>TELEPHONE</t>
  </si>
  <si>
    <t xml:space="preserve">DEPARTMENTAL CHARGES </t>
  </si>
  <si>
    <t>OTHER EXPENDITURE ITEMS</t>
  </si>
  <si>
    <t>GRANT - INFRASTRUCTURE SKILLS</t>
  </si>
  <si>
    <t>OTHER GRANTS</t>
  </si>
  <si>
    <t>Municipal Systems Improvement Grant</t>
  </si>
  <si>
    <t>GRANT - EPWP INSENTIVE CAPEX</t>
  </si>
  <si>
    <t>Polokwane Housing Agency</t>
  </si>
  <si>
    <t>SPCA</t>
  </si>
  <si>
    <t>joelm@polokwane.gov.za</t>
  </si>
  <si>
    <t>25 February 2016</t>
  </si>
  <si>
    <t>Mayoral Vehicle</t>
  </si>
  <si>
    <t>Renovation of Offices</t>
  </si>
  <si>
    <t>Upgrading of Offices Stadium</t>
  </si>
  <si>
    <t>Furniture and Office Equipment</t>
  </si>
  <si>
    <t>Upgrading of Barracks</t>
  </si>
  <si>
    <t>Refurbishment of Civic Centre</t>
  </si>
  <si>
    <t>REHABILITATION OF STREETS IN P</t>
  </si>
  <si>
    <t>Reahabilitation of street in P</t>
  </si>
  <si>
    <t>Upgrading of  internal street</t>
  </si>
  <si>
    <t>Rehabilitation of street in Se</t>
  </si>
  <si>
    <t>Rehabilitation in CBD</t>
  </si>
  <si>
    <t>Upgrading of storm water in mu</t>
  </si>
  <si>
    <t>Re-gravelling of rural roads i</t>
  </si>
  <si>
    <t>Regravelling of rural roads in</t>
  </si>
  <si>
    <t>Installation Road Signage</t>
  </si>
  <si>
    <t>Construction of low level brid</t>
  </si>
  <si>
    <t>Upgrading of arterial road Mam</t>
  </si>
  <si>
    <t>Upgrading of arterial road Mak</t>
  </si>
  <si>
    <t>Upgrading of arterial road Kho</t>
  </si>
  <si>
    <t>Upgrading of arterial road D34</t>
  </si>
  <si>
    <t>Upgrading of Arterial road D97</t>
  </si>
  <si>
    <t>Upgrading of Arterial road D40</t>
  </si>
  <si>
    <t>Upgrading of arterial road Seb</t>
  </si>
  <si>
    <t>Upgrading of access road SDA 1</t>
  </si>
  <si>
    <t>Upgrading of Arterial Road in</t>
  </si>
  <si>
    <t>NDPG Projects</t>
  </si>
  <si>
    <t>Ntsime to Sefateng</t>
  </si>
  <si>
    <t>Semenya to Matekereng</t>
  </si>
  <si>
    <t>Incomplete  road  in Toronto</t>
  </si>
  <si>
    <t>Sebayeng village(ring road)</t>
  </si>
  <si>
    <t>Chebeng to Makweya</t>
  </si>
  <si>
    <t>Internal Street in Seshego Zon</t>
  </si>
  <si>
    <t>Ramongoana bus and Taxi roads</t>
  </si>
  <si>
    <t>Ntshitshane Road</t>
  </si>
  <si>
    <t>Excellsior Street in Mankweng</t>
  </si>
  <si>
    <t>Upgrading of laboratory</t>
  </si>
  <si>
    <t>Mmotong wa perikisi</t>
  </si>
  <si>
    <t>Installation of water meters i</t>
  </si>
  <si>
    <t>Extension 78 bulk reticulation</t>
  </si>
  <si>
    <t>Upgrading of water reticulatio</t>
  </si>
  <si>
    <t>Mothapo RWS</t>
  </si>
  <si>
    <t>Moletje East RWS</t>
  </si>
  <si>
    <t>Moletje North RWS</t>
  </si>
  <si>
    <t>Sebayeng/Dikgale RWS</t>
  </si>
  <si>
    <t>Moletje South RWS</t>
  </si>
  <si>
    <t>Houtrivier RWS</t>
  </si>
  <si>
    <t>Chuene Maja RWS</t>
  </si>
  <si>
    <t>Molepo RWS</t>
  </si>
  <si>
    <t>Laastehoop RWS</t>
  </si>
  <si>
    <t>Mankweng RWS</t>
  </si>
  <si>
    <t>Boyne RWS</t>
  </si>
  <si>
    <t>Segwasi RWS</t>
  </si>
  <si>
    <t>Badimong RWS</t>
  </si>
  <si>
    <t>Street Lights (Illumination of</t>
  </si>
  <si>
    <t xml:space="preserve"> High mast Lights various vill</t>
  </si>
  <si>
    <t>Installation of quality of sup</t>
  </si>
  <si>
    <t>SCADA RTU</t>
  </si>
  <si>
    <t>Upgrade 800A Busbars to 1200A</t>
  </si>
  <si>
    <t>Installation of 66 KV line fro</t>
  </si>
  <si>
    <t>Build 66KV/11KV double circuit</t>
  </si>
  <si>
    <t>Upgrading of city vehicle test</t>
  </si>
  <si>
    <t>Upgrading of city weigh bridge</t>
  </si>
  <si>
    <t>Construction of a filing area</t>
  </si>
  <si>
    <t>Upgrafing of Maja/Chuene cash</t>
  </si>
  <si>
    <t>Acquisition of fire Equipment</t>
  </si>
  <si>
    <t>6 floto pumps</t>
  </si>
  <si>
    <t>10 Largee bore hoses with stot</t>
  </si>
  <si>
    <t>150  x 80 Fire hoses</t>
  </si>
  <si>
    <t>Miscellianious equipment and g</t>
  </si>
  <si>
    <t>3 Heavy hydraulic equipment</t>
  </si>
  <si>
    <t>4 Portable pump</t>
  </si>
  <si>
    <t>CCTV camera maintenance</t>
  </si>
  <si>
    <t>Biometric access control syste</t>
  </si>
  <si>
    <t>Walkthrough metal detector</t>
  </si>
  <si>
    <t>CCTV cameras installation</t>
  </si>
  <si>
    <t>Motorised gate</t>
  </si>
  <si>
    <t>Card readers</t>
  </si>
  <si>
    <t>Service Doors</t>
  </si>
  <si>
    <t>Paraplegic barriers</t>
  </si>
  <si>
    <t>Mantrap Turnstile</t>
  </si>
  <si>
    <t>Grass cutting equipment</t>
  </si>
  <si>
    <t>Botanical garden</t>
  </si>
  <si>
    <t>Develop park at Tom Naude Dam</t>
  </si>
  <si>
    <t>Upgrading of Tom Naude Park</t>
  </si>
  <si>
    <t>upgrading of environmental edu</t>
  </si>
  <si>
    <t>Zone 4 park expansion phase 2</t>
  </si>
  <si>
    <t>30m3 skip containers</t>
  </si>
  <si>
    <t>770 Litre bins</t>
  </si>
  <si>
    <t>Handheld radios</t>
  </si>
  <si>
    <t>Waste 6m3 skip containers</t>
  </si>
  <si>
    <t>240 Litre Bins</t>
  </si>
  <si>
    <t>Iadanna transfer station</t>
  </si>
  <si>
    <t>Notice boards and road signage</t>
  </si>
  <si>
    <t>No Dumping Boards</t>
  </si>
  <si>
    <t>Replace noise meters</t>
  </si>
  <si>
    <t>Upgrading of Seshego Stadium</t>
  </si>
  <si>
    <t>Rehabilitation of Polokwane to</t>
  </si>
  <si>
    <t>Sport Stadium in Ga- Maja</t>
  </si>
  <si>
    <t>Construction of Ga -Molepo Spo</t>
  </si>
  <si>
    <t>Construction Mankweng Sport Co</t>
  </si>
  <si>
    <t>Extension 44/77/Sport and recr</t>
  </si>
  <si>
    <t>Extension 44/77 Sport and recr</t>
  </si>
  <si>
    <t>Sport Stadium in Ga-Maja</t>
  </si>
  <si>
    <t>Books</t>
  </si>
  <si>
    <t>City Library Auditorium</t>
  </si>
  <si>
    <t>ICT Equipments</t>
  </si>
  <si>
    <t>Network Upgrade</t>
  </si>
  <si>
    <t>Development and Implementation</t>
  </si>
  <si>
    <t>Township establishment ext 78</t>
  </si>
  <si>
    <t>Intergrated GIS System</t>
  </si>
  <si>
    <t>IRPTS infrastructure City &amp; Se</t>
  </si>
  <si>
    <t>Transport System and Operation</t>
  </si>
  <si>
    <t>Financial Planning City &amp; Sesh</t>
  </si>
  <si>
    <t>Upgrading Stores</t>
  </si>
  <si>
    <t>RENOVATION OF OFFICES</t>
  </si>
  <si>
    <t>FURNITURE AND OFFICE EQUIPMENT</t>
  </si>
  <si>
    <t>REFURBISHMENT OF CIVIC CENTRE</t>
  </si>
  <si>
    <t>REHABILITAION OF STREET: POLOK</t>
  </si>
  <si>
    <t>REHABILITATION OF STREET:POLOK</t>
  </si>
  <si>
    <t>REHAB OF STREET: MAKWENG &amp; UPG</t>
  </si>
  <si>
    <t>REHABILITATION OF STREET:SESHE</t>
  </si>
  <si>
    <t>REHABILITATION OF MAIN ROAD AR</t>
  </si>
  <si>
    <t>ROUTINE ROAD MANTAINANCE</t>
  </si>
  <si>
    <t>RE-GRAVELLING OF RURAL ROADS</t>
  </si>
  <si>
    <t>SIDE WALKS MAINTENANCE</t>
  </si>
  <si>
    <t>ROAD SIGNANGE</t>
  </si>
  <si>
    <t>INSTALLATION OF TRAFFIC LIGHTS</t>
  </si>
  <si>
    <t>CONSTRUCTION OF LOW LEVEL BRID</t>
  </si>
  <si>
    <t>UPGRADING OF ARTERIAL ROAD: MA</t>
  </si>
  <si>
    <t>UPGRADING ARTERIAL ROAD: MAKOT</t>
  </si>
  <si>
    <t>UPGRADING ARTERIAL ROAD: KHOHL</t>
  </si>
  <si>
    <t>UPGRADING OF ARTERIAL RD D3413</t>
  </si>
  <si>
    <t>UPGRADING OF ARTERIAL ROAD: D9</t>
  </si>
  <si>
    <t>UPGRADING OF ARTERIAL ROAD: D4</t>
  </si>
  <si>
    <t>UPGRADING OF ARTERIAL ROAD: SE</t>
  </si>
  <si>
    <t>UPGRADING OF ACCESS ROAD: SDA</t>
  </si>
  <si>
    <t>ROAD TO RAMPHERI</t>
  </si>
  <si>
    <t>NDPG PROJECTS</t>
  </si>
  <si>
    <t>Installation of traffic lights</t>
  </si>
  <si>
    <t>UPGRADING OF OXIDATION PODS</t>
  </si>
  <si>
    <t>EXT 78 BULK RETICULATION</t>
  </si>
  <si>
    <t>SEWER REGIONAL PLANT</t>
  </si>
  <si>
    <t>Extension 78 sewer reticulatio</t>
  </si>
  <si>
    <t>MMOTONG WA PERIKISI</t>
  </si>
  <si>
    <t>SCANDA SYSTEM BOREHOLES</t>
  </si>
  <si>
    <t>UPGRADING OF WATER RETICULATIO</t>
  </si>
  <si>
    <t>PREPAID WATER METERS</t>
  </si>
  <si>
    <t>ROODEPOORT RESERVOIR</t>
  </si>
  <si>
    <t>REFURBISHMENT OF INFRASTRUCTUR</t>
  </si>
  <si>
    <t>MOTHAPO RWS</t>
  </si>
  <si>
    <t>MOLETJE EAST RWS</t>
  </si>
  <si>
    <t>MOLETJE NORTH RWS</t>
  </si>
  <si>
    <t>SEBAYENG/DIKGALE RWS</t>
  </si>
  <si>
    <t>MOLETJE SOUTH RWS</t>
  </si>
  <si>
    <t>HOUTRIVIER RWS</t>
  </si>
  <si>
    <t>CHUENE MAJA RWS</t>
  </si>
  <si>
    <t>MOLEPO RWS</t>
  </si>
  <si>
    <t>LAASTEHOOP RWS</t>
  </si>
  <si>
    <t>MAKWENG RWS</t>
  </si>
  <si>
    <t>BOYNE RWS</t>
  </si>
  <si>
    <t>SEGWASI RWS</t>
  </si>
  <si>
    <t>BADIMONG RWS</t>
  </si>
  <si>
    <t>Upgrading pipe size from Dap N</t>
  </si>
  <si>
    <t>Roodepoort reservoir</t>
  </si>
  <si>
    <t>Installation of CCTV for boreh</t>
  </si>
  <si>
    <t>UPGRADE 800A BUSBARS</t>
  </si>
  <si>
    <t>BUILD BAKONE 66KV SUBSTATION</t>
  </si>
  <si>
    <t>BUILD 66KV/11KV SUBSTATION</t>
  </si>
  <si>
    <t>PLANT AND EQUIPMENT</t>
  </si>
  <si>
    <t>HIGH MAST &amp; STREET LIGHTS</t>
  </si>
  <si>
    <t>Electrification of urban house</t>
  </si>
  <si>
    <t>Replacement of oil (RMU)</t>
  </si>
  <si>
    <t>Replacement overheard lines</t>
  </si>
  <si>
    <t>Replacement fibre classs and c</t>
  </si>
  <si>
    <t>Increase license area assets</t>
  </si>
  <si>
    <t>Install fourth 185mm11KV cable</t>
  </si>
  <si>
    <t>Instal power factor correction</t>
  </si>
  <si>
    <t>Instal 3 x 185mm cables from S</t>
  </si>
  <si>
    <t>Insta 1 x 185mm cable from Del</t>
  </si>
  <si>
    <t>Increase NMD from Eskom at Alp</t>
  </si>
  <si>
    <t>Constuct permanent distributio</t>
  </si>
  <si>
    <t>Plant and Equipment</t>
  </si>
  <si>
    <t>Construction of waiting area a</t>
  </si>
  <si>
    <t>Parking shelter Maja/Chuene</t>
  </si>
  <si>
    <t>DEVELOPMENT OF TOM NAUDE DAM</t>
  </si>
  <si>
    <t>DEVELOPMENT OF EXT 44/71</t>
  </si>
  <si>
    <t>upgrading of security at Game</t>
  </si>
  <si>
    <t>WASTE 6M3 SKIP CONTAINERS</t>
  </si>
  <si>
    <t>240 LITRE BINS</t>
  </si>
  <si>
    <t>Landfill expansion all wards</t>
  </si>
  <si>
    <t>Rural transfer station(MIG)</t>
  </si>
  <si>
    <t>Extension of waste management</t>
  </si>
  <si>
    <t>Expansion of landfill site war</t>
  </si>
  <si>
    <t>PURCHASE OF GRASS CUTTING EQUI</t>
  </si>
  <si>
    <t>UPGRADING SESHEGO STADIUM</t>
  </si>
  <si>
    <t>CONSTRUCTION OF GA-MOLEPO /MAJ</t>
  </si>
  <si>
    <t>CONSTRUCTION OF MANKWENG SPORT</t>
  </si>
  <si>
    <t>OUTDOOR SPORT FACILITIES IN AL</t>
  </si>
  <si>
    <t>Purchase of grass equipment</t>
  </si>
  <si>
    <t>BOOKS</t>
  </si>
  <si>
    <t>Upgrading Seshego Library</t>
  </si>
  <si>
    <t>Furniture and equipments at Mo</t>
  </si>
  <si>
    <t>Modular library at Dikgale</t>
  </si>
  <si>
    <t>Refurbishment of Bakone Malapa</t>
  </si>
  <si>
    <t>ICT EQUIPMENT</t>
  </si>
  <si>
    <t>NETWORK UPGRADE</t>
  </si>
  <si>
    <t>DEVELOPMENT &amp; IMPLEMENTATION O</t>
  </si>
  <si>
    <t>Construction of Archive buildi</t>
  </si>
  <si>
    <t>IRPTS  PROJECT SUPPORT AND PLA</t>
  </si>
  <si>
    <t>IRPTS INFRASTRUCTURE IMPLEMENT</t>
  </si>
  <si>
    <t>Prepaid water meters</t>
  </si>
  <si>
    <t>DEVELOPMENT OF STERPARK BOTANI</t>
  </si>
  <si>
    <t>RURAL TRANSFER STATION</t>
  </si>
  <si>
    <t xml:space="preserve">Sebayeng Outdoor Sport facilities </t>
  </si>
  <si>
    <t>RENOVATION OF OFFICES STADIUM</t>
  </si>
  <si>
    <t>UPGRADING OF LABORATORY</t>
  </si>
  <si>
    <t>INSTALLATION OF ADDITIONAL CAB</t>
  </si>
  <si>
    <t>REHABILITATION OF POLOKWANE TO</t>
  </si>
  <si>
    <t>UPGRADING OF GA-MANAMELA SPORT</t>
  </si>
  <si>
    <t>REHABILITATION OF SESHEGO STAD</t>
  </si>
  <si>
    <t>HEATING OF POLOKWANE OLYMPIC P</t>
  </si>
  <si>
    <t>SPORT STADIUM IN GA-MAJA</t>
  </si>
  <si>
    <t>RECORDS FILLING CABINETS</t>
  </si>
  <si>
    <t>INTEGRATED GIS SYSTEM</t>
  </si>
  <si>
    <t>INEP FRONTLOADING</t>
  </si>
  <si>
    <t>CONTRIBUTIONS FROM HOUSIN DEVELOPMENT</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</si>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</sst>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 #,##0.00_ ;_ * \-#,##0.00_ ;_ * &quot;-&quot;??_ ;_ @_ "/>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66"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
      <sz val="10"/>
      <name val="Arial"/>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hair">
        <color indexed="64"/>
      </bottom>
      <diagonal/>
    </border>
  </borders>
  <cellStyleXfs count="57">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43" fontId="1" fillId="0" borderId="0" applyFont="0" applyFill="0" applyBorder="0" applyAlignment="0" applyProtection="0"/>
    <xf numFmtId="164"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xf numFmtId="164" fontId="65"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374">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3" applyFont="1" applyFill="1" applyBorder="1" applyAlignment="1">
      <alignment horizontal="center" vertical="center" wrapText="1"/>
    </xf>
    <xf numFmtId="9" fontId="9" fillId="0" borderId="17" xfId="43" applyFont="1" applyFill="1" applyBorder="1" applyAlignment="1">
      <alignment horizontal="center" vertical="center" wrapText="1"/>
    </xf>
    <xf numFmtId="9" fontId="9" fillId="0" borderId="18" xfId="43"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3" applyFont="1" applyFill="1" applyBorder="1" applyAlignment="1">
      <alignment horizontal="center" vertical="center"/>
    </xf>
    <xf numFmtId="9" fontId="8" fillId="0" borderId="26" xfId="43" applyFont="1" applyFill="1" applyBorder="1" applyAlignment="1">
      <alignment horizontal="center" vertical="center"/>
    </xf>
    <xf numFmtId="9" fontId="8" fillId="0" borderId="27" xfId="43" applyFont="1" applyFill="1" applyBorder="1" applyAlignment="1">
      <alignment horizontal="center" vertical="center"/>
    </xf>
    <xf numFmtId="0" fontId="10" fillId="0" borderId="28" xfId="0" applyFont="1" applyFill="1" applyBorder="1"/>
    <xf numFmtId="170" fontId="8" fillId="0" borderId="29" xfId="0" applyNumberFormat="1" applyFont="1" applyFill="1" applyBorder="1"/>
    <xf numFmtId="170" fontId="8" fillId="0" borderId="30" xfId="0" applyNumberFormat="1" applyFont="1" applyBorder="1"/>
    <xf numFmtId="170" fontId="8" fillId="0" borderId="31" xfId="0" applyNumberFormat="1" applyFont="1" applyBorder="1"/>
    <xf numFmtId="170" fontId="8" fillId="0" borderId="32" xfId="0" applyNumberFormat="1" applyFont="1" applyBorder="1"/>
    <xf numFmtId="0" fontId="8" fillId="0" borderId="10" xfId="0" applyFont="1" applyFill="1" applyBorder="1" applyAlignment="1">
      <alignment horizontal="left" indent="1"/>
    </xf>
    <xf numFmtId="170" fontId="8" fillId="0" borderId="19" xfId="0" applyNumberFormat="1" applyFont="1" applyBorder="1"/>
    <xf numFmtId="170" fontId="8" fillId="0" borderId="20" xfId="0" applyNumberFormat="1" applyFont="1" applyBorder="1"/>
    <xf numFmtId="170" fontId="8" fillId="0" borderId="21" xfId="0" applyNumberFormat="1" applyFont="1" applyBorder="1"/>
    <xf numFmtId="170" fontId="8" fillId="0" borderId="22" xfId="0" applyNumberFormat="1" applyFont="1" applyBorder="1"/>
    <xf numFmtId="170"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0" fontId="8" fillId="0" borderId="24" xfId="0" applyNumberFormat="1" applyFont="1" applyBorder="1"/>
    <xf numFmtId="170" fontId="8" fillId="0" borderId="25" xfId="0" applyNumberFormat="1" applyFont="1" applyBorder="1"/>
    <xf numFmtId="170" fontId="8" fillId="0" borderId="26" xfId="0" applyNumberFormat="1" applyFont="1" applyBorder="1"/>
    <xf numFmtId="170" fontId="8" fillId="0" borderId="27" xfId="0" applyNumberFormat="1" applyFont="1" applyBorder="1"/>
    <xf numFmtId="170"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8"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0"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3" applyFont="1" applyFill="1" applyBorder="1" applyAlignment="1">
      <alignment horizontal="center" vertical="center"/>
    </xf>
    <xf numFmtId="9" fontId="8" fillId="0" borderId="40" xfId="43"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1" fontId="8" fillId="0" borderId="36" xfId="0" applyNumberFormat="1" applyFont="1" applyBorder="1"/>
    <xf numFmtId="171" fontId="8" fillId="0" borderId="20" xfId="0" applyNumberFormat="1" applyFont="1" applyBorder="1"/>
    <xf numFmtId="171"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1" fontId="9" fillId="0" borderId="42" xfId="0" applyNumberFormat="1" applyFont="1" applyBorder="1"/>
    <xf numFmtId="171" fontId="9" fillId="0" borderId="43" xfId="0" applyNumberFormat="1" applyFont="1" applyBorder="1"/>
    <xf numFmtId="171" fontId="9" fillId="0" borderId="44" xfId="0" applyNumberFormat="1" applyFont="1" applyBorder="1"/>
    <xf numFmtId="0" fontId="8" fillId="0" borderId="14" xfId="0" applyFont="1" applyBorder="1"/>
    <xf numFmtId="168" fontId="8" fillId="0" borderId="0" xfId="0" applyNumberFormat="1" applyFont="1" applyBorder="1"/>
    <xf numFmtId="0" fontId="8" fillId="0" borderId="14" xfId="0" applyFont="1" applyBorder="1" applyAlignment="1">
      <alignment horizontal="left" indent="1"/>
    </xf>
    <xf numFmtId="168"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1" fontId="9" fillId="0" borderId="24" xfId="0" applyNumberFormat="1" applyFont="1" applyBorder="1"/>
    <xf numFmtId="171" fontId="9" fillId="0" borderId="25" xfId="0" applyNumberFormat="1" applyFont="1" applyBorder="1"/>
    <xf numFmtId="171" fontId="9" fillId="0" borderId="27" xfId="0" applyNumberFormat="1" applyFont="1" applyBorder="1"/>
    <xf numFmtId="0" fontId="13" fillId="0" borderId="46" xfId="0" applyFont="1" applyBorder="1"/>
    <xf numFmtId="0" fontId="12" fillId="0" borderId="0" xfId="0" applyFont="1" applyBorder="1" applyAlignment="1">
      <alignment horizontal="center"/>
    </xf>
    <xf numFmtId="168" fontId="11" fillId="0" borderId="0" xfId="0" applyNumberFormat="1" applyFont="1" applyFill="1" applyBorder="1"/>
    <xf numFmtId="0" fontId="12" fillId="0" borderId="0" xfId="0" quotePrefix="1" applyFont="1" applyBorder="1"/>
    <xf numFmtId="168"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5" fontId="8" fillId="0" borderId="0" xfId="29"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1"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1" fontId="8" fillId="24" borderId="20" xfId="0" applyNumberFormat="1" applyFont="1" applyFill="1" applyBorder="1" applyProtection="1">
      <protection locked="0"/>
    </xf>
    <xf numFmtId="171" fontId="8" fillId="24" borderId="22" xfId="0" applyNumberFormat="1" applyFont="1" applyFill="1" applyBorder="1" applyProtection="1">
      <protection locked="0"/>
    </xf>
    <xf numFmtId="171" fontId="8" fillId="24" borderId="20" xfId="29" applyNumberFormat="1" applyFont="1" applyFill="1" applyBorder="1" applyProtection="1">
      <protection locked="0"/>
    </xf>
    <xf numFmtId="171" fontId="8" fillId="24" borderId="22" xfId="29" applyNumberFormat="1" applyFont="1" applyFill="1" applyBorder="1" applyProtection="1">
      <protection locked="0"/>
    </xf>
    <xf numFmtId="171" fontId="8" fillId="24" borderId="40" xfId="0" applyNumberFormat="1" applyFont="1" applyFill="1" applyBorder="1" applyProtection="1">
      <protection locked="0"/>
    </xf>
    <xf numFmtId="171" fontId="9" fillId="25" borderId="42" xfId="0" applyNumberFormat="1" applyFont="1" applyFill="1" applyBorder="1"/>
    <xf numFmtId="0" fontId="14" fillId="0" borderId="14" xfId="0" applyFont="1" applyBorder="1" applyAlignment="1">
      <alignment horizontal="center"/>
    </xf>
    <xf numFmtId="171" fontId="9" fillId="0" borderId="50" xfId="0" applyNumberFormat="1" applyFont="1" applyBorder="1"/>
    <xf numFmtId="171" fontId="9" fillId="0" borderId="51" xfId="0" applyNumberFormat="1" applyFont="1" applyBorder="1"/>
    <xf numFmtId="171"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5" fontId="12" fillId="0" borderId="0" xfId="29"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1"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1" fontId="8" fillId="24" borderId="36" xfId="0" applyNumberFormat="1" applyFont="1" applyFill="1" applyBorder="1" applyProtection="1">
      <protection locked="0"/>
    </xf>
    <xf numFmtId="171" fontId="8" fillId="0" borderId="36" xfId="0" applyNumberFormat="1" applyFont="1" applyFill="1" applyBorder="1" applyProtection="1"/>
    <xf numFmtId="171" fontId="8" fillId="0" borderId="20" xfId="0" applyNumberFormat="1" applyFont="1" applyFill="1" applyBorder="1" applyProtection="1"/>
    <xf numFmtId="171" fontId="8" fillId="0" borderId="22" xfId="0" applyNumberFormat="1" applyFont="1" applyFill="1" applyBorder="1" applyProtection="1"/>
    <xf numFmtId="168"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1" fontId="8" fillId="0" borderId="20" xfId="0" applyNumberFormat="1" applyFont="1" applyBorder="1" applyProtection="1"/>
    <xf numFmtId="0" fontId="9" fillId="0" borderId="10" xfId="0" applyFont="1" applyBorder="1"/>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171" fontId="8" fillId="24" borderId="38" xfId="0" applyNumberFormat="1" applyFont="1" applyFill="1" applyBorder="1" applyProtection="1">
      <protection locked="0"/>
    </xf>
    <xf numFmtId="171" fontId="8" fillId="24" borderId="39" xfId="0" applyNumberFormat="1" applyFont="1" applyFill="1" applyBorder="1" applyProtection="1">
      <protection locked="0"/>
    </xf>
    <xf numFmtId="171" fontId="8" fillId="0" borderId="39" xfId="0" applyNumberFormat="1" applyFont="1" applyBorder="1"/>
    <xf numFmtId="171" fontId="9" fillId="0" borderId="36" xfId="0" applyNumberFormat="1" applyFont="1" applyBorder="1" applyAlignment="1">
      <alignment vertical="top"/>
    </xf>
    <xf numFmtId="171" fontId="9" fillId="0" borderId="20" xfId="0" applyNumberFormat="1" applyFont="1" applyBorder="1" applyAlignment="1">
      <alignment vertical="top"/>
    </xf>
    <xf numFmtId="171" fontId="9" fillId="0" borderId="22" xfId="0" applyNumberFormat="1" applyFont="1" applyBorder="1" applyAlignment="1">
      <alignment vertical="top"/>
    </xf>
    <xf numFmtId="0" fontId="9" fillId="0" borderId="14" xfId="0" applyFont="1" applyBorder="1" applyAlignment="1">
      <alignment horizontal="center"/>
    </xf>
    <xf numFmtId="171" fontId="9" fillId="0" borderId="35" xfId="0" applyNumberFormat="1" applyFont="1" applyBorder="1"/>
    <xf numFmtId="171" fontId="9" fillId="0" borderId="16" xfId="0" applyNumberFormat="1" applyFont="1" applyBorder="1"/>
    <xf numFmtId="171"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1"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8" fillId="0" borderId="0" xfId="0" applyFont="1" applyBorder="1" applyAlignment="1">
      <alignment horizontal="left" vertical="top" wrapText="1"/>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164" fontId="8" fillId="0" borderId="0" xfId="29" applyFont="1"/>
    <xf numFmtId="168"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1" fontId="8" fillId="0" borderId="20" xfId="0" applyNumberFormat="1" applyFont="1" applyFill="1" applyBorder="1"/>
    <xf numFmtId="171" fontId="8" fillId="0" borderId="36" xfId="0" applyNumberFormat="1" applyFont="1" applyFill="1" applyBorder="1" applyProtection="1">
      <protection locked="0"/>
    </xf>
    <xf numFmtId="171" fontId="8" fillId="0" borderId="20" xfId="0" applyNumberFormat="1" applyFont="1" applyFill="1" applyBorder="1" applyProtection="1">
      <protection locked="0"/>
    </xf>
    <xf numFmtId="171" fontId="8" fillId="0" borderId="22" xfId="0" applyNumberFormat="1" applyFont="1" applyFill="1" applyBorder="1" applyProtection="1">
      <protection locked="0"/>
    </xf>
    <xf numFmtId="0" fontId="8" fillId="0" borderId="23" xfId="0" applyFont="1" applyBorder="1" applyAlignment="1">
      <alignment horizontal="left" indent="1"/>
    </xf>
    <xf numFmtId="171" fontId="8" fillId="0" borderId="53" xfId="0" applyNumberFormat="1" applyFont="1" applyBorder="1"/>
    <xf numFmtId="171" fontId="8" fillId="0" borderId="25" xfId="0" applyNumberFormat="1" applyFont="1" applyBorder="1"/>
    <xf numFmtId="171" fontId="8" fillId="0" borderId="27" xfId="0" applyNumberFormat="1" applyFont="1" applyBorder="1"/>
    <xf numFmtId="171" fontId="12" fillId="0" borderId="0" xfId="0" applyNumberFormat="1" applyFont="1" applyBorder="1"/>
    <xf numFmtId="164" fontId="12" fillId="0" borderId="0" xfId="29" applyFont="1" applyBorder="1" applyAlignment="1">
      <alignment horizontal="right"/>
    </xf>
    <xf numFmtId="164" fontId="8" fillId="0" borderId="0" xfId="29"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3" applyFont="1" applyFill="1" applyBorder="1" applyAlignment="1" applyProtection="1">
      <alignment horizontal="center" vertical="center" wrapText="1"/>
    </xf>
    <xf numFmtId="9" fontId="9" fillId="0" borderId="18" xfId="43"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3" applyFont="1" applyFill="1" applyBorder="1" applyAlignment="1" applyProtection="1">
      <alignment horizontal="center" vertical="center"/>
    </xf>
    <xf numFmtId="9" fontId="8" fillId="0" borderId="40" xfId="43"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1" fontId="8" fillId="0" borderId="36" xfId="0" applyNumberFormat="1" applyFont="1" applyBorder="1" applyProtection="1"/>
    <xf numFmtId="171"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1" fontId="9" fillId="0" borderId="42" xfId="0" applyNumberFormat="1" applyFont="1" applyBorder="1" applyProtection="1"/>
    <xf numFmtId="171" fontId="9" fillId="0" borderId="43" xfId="0" applyNumberFormat="1" applyFont="1" applyBorder="1" applyProtection="1"/>
    <xf numFmtId="171"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1" fontId="9" fillId="0" borderId="56" xfId="0" applyNumberFormat="1" applyFont="1" applyBorder="1" applyProtection="1"/>
    <xf numFmtId="171" fontId="9" fillId="0" borderId="51" xfId="0" applyNumberFormat="1" applyFont="1" applyBorder="1" applyProtection="1"/>
    <xf numFmtId="171" fontId="9" fillId="0" borderId="52" xfId="0" applyNumberFormat="1" applyFont="1" applyBorder="1" applyProtection="1"/>
    <xf numFmtId="0" fontId="13" fillId="0" borderId="0" xfId="0" applyFont="1" applyBorder="1" applyProtection="1"/>
    <xf numFmtId="168"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8" fontId="8" fillId="0" borderId="0" xfId="0" applyNumberFormat="1" applyFont="1" applyFill="1" applyBorder="1" applyProtection="1"/>
    <xf numFmtId="0" fontId="8" fillId="0" borderId="0" xfId="0" applyFont="1" applyFill="1" applyBorder="1" applyProtection="1"/>
    <xf numFmtId="9" fontId="8" fillId="0" borderId="0" xfId="43"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8"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1" fontId="8" fillId="0" borderId="22" xfId="0" applyNumberFormat="1" applyFont="1" applyFill="1" applyBorder="1"/>
    <xf numFmtId="171" fontId="9" fillId="0" borderId="58" xfId="0" applyNumberFormat="1" applyFont="1" applyBorder="1"/>
    <xf numFmtId="171" fontId="9" fillId="0" borderId="39" xfId="0" applyNumberFormat="1" applyFont="1" applyBorder="1"/>
    <xf numFmtId="171" fontId="9" fillId="0" borderId="40" xfId="0" applyNumberFormat="1" applyFont="1" applyBorder="1"/>
    <xf numFmtId="171" fontId="9" fillId="0" borderId="59" xfId="0" applyNumberFormat="1" applyFont="1" applyBorder="1"/>
    <xf numFmtId="171" fontId="8" fillId="0" borderId="19" xfId="0" applyNumberFormat="1" applyFont="1" applyBorder="1"/>
    <xf numFmtId="0" fontId="11" fillId="0" borderId="10" xfId="0" applyNumberFormat="1" applyFont="1" applyBorder="1"/>
    <xf numFmtId="167" fontId="12" fillId="0" borderId="19" xfId="43" applyNumberFormat="1" applyFont="1" applyFill="1" applyBorder="1" applyAlignment="1">
      <alignment horizontal="center" vertical="top" wrapText="1"/>
    </xf>
    <xf numFmtId="167" fontId="12" fillId="0" borderId="20" xfId="43" applyNumberFormat="1" applyFont="1" applyFill="1" applyBorder="1" applyAlignment="1">
      <alignment horizontal="center" vertical="top" wrapText="1"/>
    </xf>
    <xf numFmtId="167" fontId="12" fillId="26" borderId="20" xfId="43" applyNumberFormat="1" applyFont="1" applyFill="1" applyBorder="1" applyAlignment="1">
      <alignment horizontal="center" vertical="top" wrapText="1"/>
    </xf>
    <xf numFmtId="167" fontId="12" fillId="0" borderId="22" xfId="43" applyNumberFormat="1" applyFont="1" applyFill="1" applyBorder="1" applyAlignment="1">
      <alignment horizontal="center" vertical="top" wrapText="1"/>
    </xf>
    <xf numFmtId="0" fontId="11" fillId="0" borderId="11" xfId="0" applyNumberFormat="1" applyFont="1" applyBorder="1"/>
    <xf numFmtId="167" fontId="12" fillId="0" borderId="24" xfId="43" applyNumberFormat="1" applyFont="1" applyFill="1" applyBorder="1" applyAlignment="1">
      <alignment horizontal="center" vertical="top" wrapText="1"/>
    </xf>
    <xf numFmtId="167" fontId="12" fillId="0" borderId="25" xfId="43" applyNumberFormat="1" applyFont="1" applyFill="1" applyBorder="1" applyAlignment="1">
      <alignment horizontal="center" vertical="top" wrapText="1"/>
    </xf>
    <xf numFmtId="167" fontId="12" fillId="26" borderId="25" xfId="43" applyNumberFormat="1" applyFont="1" applyFill="1" applyBorder="1" applyAlignment="1">
      <alignment horizontal="center" vertical="top" wrapText="1"/>
    </xf>
    <xf numFmtId="167" fontId="12" fillId="0" borderId="27" xfId="43" applyNumberFormat="1" applyFont="1" applyFill="1" applyBorder="1" applyAlignment="1">
      <alignment horizontal="center" vertical="top" wrapText="1"/>
    </xf>
    <xf numFmtId="0" fontId="8" fillId="0" borderId="0" xfId="0" applyFont="1" applyAlignment="1">
      <alignment horizontal="right"/>
    </xf>
    <xf numFmtId="171"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1"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1" fontId="8" fillId="0" borderId="16" xfId="0" applyNumberFormat="1" applyFont="1" applyFill="1" applyBorder="1" applyProtection="1"/>
    <xf numFmtId="171" fontId="8" fillId="0" borderId="18" xfId="0" applyNumberFormat="1" applyFont="1" applyFill="1" applyBorder="1" applyProtection="1"/>
    <xf numFmtId="171" fontId="8" fillId="0" borderId="43" xfId="0" applyNumberFormat="1" applyFont="1" applyFill="1" applyBorder="1" applyProtection="1"/>
    <xf numFmtId="171" fontId="8" fillId="0" borderId="44" xfId="0" applyNumberFormat="1" applyFont="1" applyFill="1" applyBorder="1" applyProtection="1"/>
    <xf numFmtId="0" fontId="9" fillId="0" borderId="10" xfId="0" applyNumberFormat="1" applyFont="1" applyBorder="1" applyAlignment="1" applyProtection="1">
      <alignment horizontal="left"/>
    </xf>
    <xf numFmtId="171" fontId="9" fillId="0" borderId="16" xfId="0" applyNumberFormat="1" applyFont="1" applyFill="1" applyBorder="1" applyProtection="1"/>
    <xf numFmtId="171" fontId="9" fillId="0" borderId="18" xfId="0" applyNumberFormat="1" applyFont="1" applyFill="1" applyBorder="1" applyProtection="1"/>
    <xf numFmtId="171"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1"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9" fillId="0" borderId="23" xfId="0" applyNumberFormat="1" applyFont="1" applyBorder="1" applyProtection="1"/>
    <xf numFmtId="0" fontId="8" fillId="0" borderId="25" xfId="0" applyNumberFormat="1" applyFont="1" applyFill="1" applyBorder="1" applyAlignment="1" applyProtection="1">
      <alignment horizontal="center"/>
    </xf>
    <xf numFmtId="171"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2" fillId="24" borderId="10" xfId="0" applyFont="1" applyFill="1" applyBorder="1" applyProtection="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3" applyFont="1" applyFill="1" applyBorder="1" applyAlignment="1">
      <alignment horizontal="center" vertical="center"/>
    </xf>
    <xf numFmtId="9" fontId="8" fillId="0" borderId="22" xfId="43" applyFont="1" applyFill="1" applyBorder="1" applyAlignment="1">
      <alignment horizontal="center" vertical="center"/>
    </xf>
    <xf numFmtId="171"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1" fontId="8" fillId="0" borderId="46" xfId="0" applyNumberFormat="1" applyFont="1" applyBorder="1"/>
    <xf numFmtId="171" fontId="8" fillId="0" borderId="11" xfId="0" applyNumberFormat="1" applyFont="1" applyBorder="1"/>
    <xf numFmtId="0" fontId="8" fillId="0" borderId="60" xfId="0" applyFont="1" applyBorder="1" applyAlignment="1">
      <alignment horizontal="center"/>
    </xf>
    <xf numFmtId="171" fontId="8" fillId="24" borderId="61" xfId="0" applyNumberFormat="1" applyFont="1" applyFill="1" applyBorder="1" applyProtection="1">
      <protection locked="0"/>
    </xf>
    <xf numFmtId="171" fontId="8" fillId="24" borderId="30" xfId="0" applyNumberFormat="1" applyFont="1" applyFill="1" applyBorder="1" applyProtection="1">
      <protection locked="0"/>
    </xf>
    <xf numFmtId="171" fontId="8" fillId="0" borderId="30" xfId="0" applyNumberFormat="1" applyFont="1" applyBorder="1"/>
    <xf numFmtId="171" fontId="8" fillId="24" borderId="32" xfId="0" applyNumberFormat="1" applyFont="1" applyFill="1" applyBorder="1" applyProtection="1">
      <protection locked="0"/>
    </xf>
    <xf numFmtId="171" fontId="8" fillId="24" borderId="24" xfId="0" applyNumberFormat="1" applyFont="1" applyFill="1" applyBorder="1" applyProtection="1">
      <protection locked="0"/>
    </xf>
    <xf numFmtId="171" fontId="8" fillId="24" borderId="25" xfId="0" applyNumberFormat="1" applyFont="1" applyFill="1" applyBorder="1" applyProtection="1">
      <protection locked="0"/>
    </xf>
    <xf numFmtId="171" fontId="8" fillId="24" borderId="27" xfId="0" applyNumberFormat="1" applyFont="1" applyFill="1" applyBorder="1" applyProtection="1">
      <protection locked="0"/>
    </xf>
    <xf numFmtId="0" fontId="12" fillId="0" borderId="0" xfId="0" applyFont="1" applyAlignment="1">
      <alignment horizontal="right"/>
    </xf>
    <xf numFmtId="164" fontId="8" fillId="0" borderId="0" xfId="29"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1" fontId="8" fillId="24" borderId="53" xfId="0" applyNumberFormat="1" applyFont="1" applyFill="1" applyBorder="1" applyProtection="1">
      <protection locked="0"/>
    </xf>
    <xf numFmtId="166" fontId="12" fillId="0" borderId="0" xfId="29"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7" fontId="12" fillId="0" borderId="21" xfId="43"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7" fontId="8" fillId="24" borderId="20" xfId="43" applyNumberFormat="1" applyFont="1" applyFill="1" applyBorder="1" applyAlignment="1" applyProtection="1">
      <alignment horizontal="center" vertical="top" wrapText="1"/>
      <protection locked="0"/>
    </xf>
    <xf numFmtId="167" fontId="8" fillId="0" borderId="20" xfId="43" applyNumberFormat="1" applyFont="1" applyFill="1" applyBorder="1" applyAlignment="1">
      <alignment horizontal="center" vertical="top" wrapText="1"/>
    </xf>
    <xf numFmtId="167" fontId="8" fillId="0" borderId="21" xfId="43" applyNumberFormat="1" applyFont="1" applyFill="1" applyBorder="1" applyAlignment="1">
      <alignment horizontal="center" vertical="top" wrapText="1"/>
    </xf>
    <xf numFmtId="167" fontId="8" fillId="0" borderId="22" xfId="43" applyNumberFormat="1" applyFont="1" applyFill="1" applyBorder="1" applyAlignment="1">
      <alignment horizontal="center" vertical="top" wrapText="1"/>
    </xf>
    <xf numFmtId="167" fontId="8" fillId="24" borderId="19" xfId="43" applyNumberFormat="1" applyFont="1" applyFill="1" applyBorder="1" applyAlignment="1" applyProtection="1">
      <alignment horizontal="center" vertical="top" wrapText="1"/>
      <protection locked="0"/>
    </xf>
    <xf numFmtId="167" fontId="8" fillId="26" borderId="21" xfId="43" applyNumberFormat="1" applyFont="1" applyFill="1" applyBorder="1" applyAlignment="1">
      <alignment horizontal="center" vertical="top" wrapText="1"/>
    </xf>
    <xf numFmtId="167" fontId="8" fillId="26" borderId="22" xfId="43" applyNumberFormat="1" applyFont="1" applyFill="1" applyBorder="1" applyAlignment="1">
      <alignment horizontal="center" vertical="top" wrapText="1"/>
    </xf>
    <xf numFmtId="167" fontId="8" fillId="24" borderId="21" xfId="43" applyNumberFormat="1" applyFont="1" applyFill="1" applyBorder="1" applyAlignment="1" applyProtection="1">
      <alignment horizontal="center" vertical="top" wrapText="1"/>
      <protection locked="0"/>
    </xf>
    <xf numFmtId="167" fontId="8" fillId="24" borderId="22" xfId="43" applyNumberFormat="1" applyFont="1" applyFill="1" applyBorder="1" applyAlignment="1" applyProtection="1">
      <alignment horizontal="center" vertical="top" wrapText="1"/>
      <protection locked="0"/>
    </xf>
    <xf numFmtId="167" fontId="8" fillId="24" borderId="36" xfId="43"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7" fontId="8" fillId="0" borderId="0" xfId="0" applyNumberFormat="1" applyFont="1" applyFill="1" applyAlignment="1">
      <alignment horizontal="center"/>
    </xf>
    <xf numFmtId="171" fontId="8" fillId="0" borderId="0" xfId="0" applyNumberFormat="1" applyFont="1" applyFill="1" applyBorder="1"/>
    <xf numFmtId="167" fontId="8" fillId="0" borderId="0" xfId="43" applyNumberFormat="1" applyFont="1" applyFill="1" applyBorder="1" applyAlignment="1">
      <alignment horizontal="center" vertical="top" wrapText="1"/>
    </xf>
    <xf numFmtId="168" fontId="8" fillId="0" borderId="0" xfId="29" applyNumberFormat="1" applyFont="1" applyFill="1" applyBorder="1"/>
    <xf numFmtId="168" fontId="8" fillId="0" borderId="0" xfId="29"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5" fontId="8" fillId="0" borderId="19" xfId="29" applyNumberFormat="1" applyFont="1" applyFill="1" applyBorder="1" applyAlignment="1" applyProtection="1">
      <alignment horizontal="left" vertical="top" wrapText="1"/>
    </xf>
    <xf numFmtId="165" fontId="8" fillId="0" borderId="20" xfId="29"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2" fontId="8" fillId="24" borderId="19" xfId="29" applyNumberFormat="1" applyFont="1" applyFill="1" applyBorder="1" applyAlignment="1" applyProtection="1">
      <alignment horizontal="left" vertical="top" wrapText="1"/>
      <protection locked="0"/>
    </xf>
    <xf numFmtId="172" fontId="8" fillId="24" borderId="20" xfId="29" applyNumberFormat="1" applyFont="1" applyFill="1" applyBorder="1" applyAlignment="1" applyProtection="1">
      <alignment horizontal="left" vertical="top" wrapText="1"/>
      <protection locked="0"/>
    </xf>
    <xf numFmtId="172" fontId="8" fillId="24" borderId="20" xfId="43" applyNumberFormat="1" applyFont="1" applyFill="1" applyBorder="1" applyAlignment="1" applyProtection="1">
      <alignment horizontal="center" vertical="top" wrapText="1"/>
      <protection locked="0"/>
    </xf>
    <xf numFmtId="172" fontId="8" fillId="24" borderId="21" xfId="43" applyNumberFormat="1" applyFont="1" applyFill="1" applyBorder="1" applyAlignment="1" applyProtection="1">
      <alignment horizontal="center" vertical="top" wrapText="1"/>
      <protection locked="0"/>
    </xf>
    <xf numFmtId="172" fontId="8" fillId="24" borderId="19" xfId="43" applyNumberFormat="1" applyFont="1" applyFill="1" applyBorder="1" applyAlignment="1" applyProtection="1">
      <alignment horizontal="center" vertical="top" wrapText="1"/>
      <protection locked="0"/>
    </xf>
    <xf numFmtId="172" fontId="8" fillId="24" borderId="22" xfId="43" applyNumberFormat="1" applyFont="1" applyFill="1" applyBorder="1" applyAlignment="1" applyProtection="1">
      <alignment horizontal="center" vertical="top" wrapText="1"/>
      <protection locked="0"/>
    </xf>
    <xf numFmtId="172" fontId="8" fillId="0" borderId="19" xfId="29" applyNumberFormat="1" applyFont="1" applyFill="1" applyBorder="1" applyAlignment="1" applyProtection="1">
      <alignment horizontal="left" vertical="top" wrapText="1"/>
    </xf>
    <xf numFmtId="172" fontId="8" fillId="0" borderId="20" xfId="29" applyNumberFormat="1" applyFont="1" applyFill="1" applyBorder="1" applyAlignment="1" applyProtection="1">
      <alignment horizontal="left" vertical="top" wrapText="1"/>
    </xf>
    <xf numFmtId="172" fontId="8" fillId="0" borderId="20" xfId="0" applyNumberFormat="1" applyFont="1" applyFill="1" applyBorder="1" applyAlignment="1" applyProtection="1">
      <alignment horizontal="center" vertical="top" wrapText="1"/>
    </xf>
    <xf numFmtId="172" fontId="8" fillId="0" borderId="21" xfId="0" applyNumberFormat="1" applyFont="1" applyFill="1" applyBorder="1" applyAlignment="1" applyProtection="1">
      <alignment horizontal="center" vertical="top" wrapText="1"/>
    </xf>
    <xf numFmtId="172" fontId="8" fillId="0" borderId="19" xfId="0" applyNumberFormat="1" applyFont="1" applyFill="1" applyBorder="1" applyAlignment="1" applyProtection="1">
      <alignment horizontal="center" vertical="top" wrapText="1"/>
    </xf>
    <xf numFmtId="172" fontId="8" fillId="0" borderId="22" xfId="0" applyNumberFormat="1" applyFont="1" applyFill="1" applyBorder="1" applyAlignment="1" applyProtection="1">
      <alignment horizontal="center" vertical="top" wrapText="1"/>
    </xf>
    <xf numFmtId="165" fontId="8" fillId="24" borderId="19" xfId="29" applyNumberFormat="1" applyFont="1" applyFill="1" applyBorder="1" applyAlignment="1" applyProtection="1">
      <alignment horizontal="left" vertical="top" wrapText="1"/>
      <protection locked="0"/>
    </xf>
    <xf numFmtId="165" fontId="8" fillId="24" borderId="20" xfId="29" applyNumberFormat="1" applyFont="1" applyFill="1" applyBorder="1" applyAlignment="1" applyProtection="1">
      <alignment horizontal="left" vertical="top" wrapText="1"/>
      <protection locked="0"/>
    </xf>
    <xf numFmtId="2" fontId="8" fillId="24" borderId="20" xfId="29" applyNumberFormat="1" applyFont="1" applyFill="1" applyBorder="1" applyAlignment="1" applyProtection="1">
      <alignment horizontal="center" vertical="top" wrapText="1"/>
      <protection locked="0"/>
    </xf>
    <xf numFmtId="2" fontId="8" fillId="24" borderId="22" xfId="29" applyNumberFormat="1" applyFont="1" applyFill="1" applyBorder="1" applyAlignment="1" applyProtection="1">
      <alignment horizontal="center" vertical="top" wrapText="1"/>
      <protection locked="0"/>
    </xf>
    <xf numFmtId="165" fontId="8" fillId="0" borderId="58" xfId="29" applyNumberFormat="1" applyFont="1" applyFill="1" applyBorder="1" applyAlignment="1" applyProtection="1">
      <alignment horizontal="left" vertical="top" wrapText="1"/>
    </xf>
    <xf numFmtId="165" fontId="8" fillId="0" borderId="39" xfId="29" applyNumberFormat="1" applyFont="1" applyFill="1" applyBorder="1" applyAlignment="1" applyProtection="1">
      <alignment horizontal="left" vertical="top" wrapText="1"/>
    </xf>
    <xf numFmtId="2" fontId="8" fillId="0" borderId="39" xfId="29" applyNumberFormat="1" applyFont="1" applyFill="1" applyBorder="1" applyAlignment="1" applyProtection="1">
      <alignment horizontal="center" vertical="top" wrapText="1"/>
    </xf>
    <xf numFmtId="2" fontId="8" fillId="0" borderId="63" xfId="29" applyNumberFormat="1" applyFont="1" applyFill="1" applyBorder="1" applyAlignment="1" applyProtection="1">
      <alignment horizontal="center" vertical="top" wrapText="1"/>
    </xf>
    <xf numFmtId="2" fontId="8" fillId="0" borderId="58" xfId="29" applyNumberFormat="1" applyFont="1" applyFill="1" applyBorder="1" applyAlignment="1" applyProtection="1">
      <alignment horizontal="center" vertical="top" wrapText="1"/>
    </xf>
    <xf numFmtId="2" fontId="8" fillId="0" borderId="40" xfId="29" applyNumberFormat="1" applyFont="1" applyFill="1" applyBorder="1" applyAlignment="1" applyProtection="1">
      <alignment horizontal="center" vertical="top" wrapText="1"/>
    </xf>
    <xf numFmtId="171" fontId="8" fillId="24" borderId="21" xfId="0" applyNumberFormat="1" applyFont="1" applyFill="1" applyBorder="1" applyProtection="1">
      <protection locked="0"/>
    </xf>
    <xf numFmtId="171" fontId="8" fillId="24" borderId="19" xfId="0" applyNumberFormat="1" applyFont="1" applyFill="1" applyBorder="1" applyProtection="1">
      <protection locked="0"/>
    </xf>
    <xf numFmtId="165" fontId="8" fillId="24" borderId="58" xfId="29" applyNumberFormat="1" applyFont="1" applyFill="1" applyBorder="1" applyAlignment="1" applyProtection="1">
      <alignment horizontal="left" vertical="top" wrapText="1"/>
      <protection locked="0"/>
    </xf>
    <xf numFmtId="165" fontId="8" fillId="24" borderId="39" xfId="29" applyNumberFormat="1" applyFont="1" applyFill="1" applyBorder="1" applyAlignment="1" applyProtection="1">
      <alignment horizontal="left" vertical="top" wrapText="1"/>
      <protection locked="0"/>
    </xf>
    <xf numFmtId="165" fontId="8" fillId="24" borderId="39" xfId="29" applyNumberFormat="1" applyFont="1" applyFill="1" applyBorder="1" applyProtection="1">
      <protection locked="0"/>
    </xf>
    <xf numFmtId="165" fontId="8" fillId="24" borderId="63" xfId="29" applyNumberFormat="1" applyFont="1" applyFill="1" applyBorder="1" applyProtection="1">
      <protection locked="0"/>
    </xf>
    <xf numFmtId="165" fontId="8" fillId="24" borderId="58" xfId="29" applyNumberFormat="1" applyFont="1" applyFill="1" applyBorder="1" applyProtection="1">
      <protection locked="0"/>
    </xf>
    <xf numFmtId="165" fontId="8" fillId="24" borderId="40" xfId="29" applyNumberFormat="1" applyFont="1" applyFill="1" applyBorder="1" applyProtection="1">
      <protection locked="0"/>
    </xf>
    <xf numFmtId="165" fontId="8" fillId="24" borderId="20" xfId="29" applyNumberFormat="1" applyFont="1" applyFill="1" applyBorder="1" applyAlignment="1" applyProtection="1">
      <alignment horizontal="center" vertical="top" wrapText="1"/>
      <protection locked="0"/>
    </xf>
    <xf numFmtId="165" fontId="8" fillId="24" borderId="21" xfId="29" applyNumberFormat="1" applyFont="1" applyFill="1" applyBorder="1" applyAlignment="1" applyProtection="1">
      <alignment horizontal="center" vertical="top" wrapText="1"/>
      <protection locked="0"/>
    </xf>
    <xf numFmtId="165" fontId="8" fillId="24" borderId="19"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center" vertical="top" wrapText="1"/>
      <protection locked="0"/>
    </xf>
    <xf numFmtId="165" fontId="8" fillId="24" borderId="39" xfId="29" applyNumberFormat="1" applyFont="1" applyFill="1" applyBorder="1" applyAlignment="1" applyProtection="1">
      <alignment horizontal="center" vertical="top" wrapText="1"/>
      <protection locked="0"/>
    </xf>
    <xf numFmtId="165" fontId="8" fillId="24" borderId="63" xfId="29" applyNumberFormat="1" applyFont="1" applyFill="1" applyBorder="1" applyAlignment="1" applyProtection="1">
      <alignment horizontal="center" vertical="top" wrapText="1"/>
      <protection locked="0"/>
    </xf>
    <xf numFmtId="165" fontId="8" fillId="24" borderId="58" xfId="29" applyNumberFormat="1" applyFont="1" applyFill="1" applyBorder="1" applyAlignment="1" applyProtection="1">
      <alignment horizontal="center" vertical="top" wrapText="1"/>
      <protection locked="0"/>
    </xf>
    <xf numFmtId="165" fontId="8" fillId="24" borderId="40" xfId="29"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5" fontId="8" fillId="0" borderId="20" xfId="29" applyNumberFormat="1" applyFont="1" applyFill="1" applyBorder="1" applyAlignment="1" applyProtection="1">
      <alignment horizontal="center" vertical="top" wrapText="1"/>
    </xf>
    <xf numFmtId="165" fontId="8" fillId="0" borderId="21" xfId="29" applyNumberFormat="1" applyFont="1" applyFill="1" applyBorder="1" applyAlignment="1" applyProtection="1">
      <alignment horizontal="center" vertical="top" wrapText="1"/>
    </xf>
    <xf numFmtId="165" fontId="8" fillId="0" borderId="19" xfId="29" applyNumberFormat="1" applyFont="1" applyFill="1" applyBorder="1" applyAlignment="1" applyProtection="1">
      <alignment horizontal="center" vertical="top" wrapText="1"/>
    </xf>
    <xf numFmtId="165" fontId="8" fillId="0" borderId="22" xfId="29"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5" fontId="8" fillId="0" borderId="64"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center" vertical="top" wrapText="1"/>
    </xf>
    <xf numFmtId="165" fontId="8" fillId="0" borderId="62" xfId="29" applyNumberFormat="1" applyFont="1" applyFill="1" applyBorder="1" applyAlignment="1" applyProtection="1">
      <alignment horizontal="center" vertical="top" wrapText="1"/>
    </xf>
    <xf numFmtId="165" fontId="8" fillId="0" borderId="64" xfId="29" applyNumberFormat="1" applyFont="1" applyFill="1" applyBorder="1" applyAlignment="1" applyProtection="1">
      <alignment horizontal="center" vertical="top" wrapText="1"/>
    </xf>
    <xf numFmtId="165" fontId="8" fillId="0" borderId="44" xfId="29"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29" applyNumberFormat="1" applyFont="1" applyBorder="1" applyAlignment="1" applyProtection="1">
      <alignment horizontal="center" vertical="top" wrapText="1"/>
    </xf>
    <xf numFmtId="2" fontId="8" fillId="0" borderId="21" xfId="29" applyNumberFormat="1" applyFont="1" applyBorder="1" applyAlignment="1" applyProtection="1">
      <alignment horizontal="center" vertical="top" wrapText="1"/>
    </xf>
    <xf numFmtId="2" fontId="8" fillId="0" borderId="19" xfId="29" applyNumberFormat="1" applyFont="1" applyBorder="1" applyAlignment="1" applyProtection="1">
      <alignment horizontal="center" vertical="top" wrapText="1"/>
    </xf>
    <xf numFmtId="2" fontId="8" fillId="0" borderId="22" xfId="29"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5" fontId="8" fillId="0" borderId="19" xfId="29" applyNumberFormat="1" applyFont="1" applyBorder="1" applyAlignment="1" applyProtection="1">
      <alignment horizontal="left" vertical="top" wrapText="1"/>
    </xf>
    <xf numFmtId="165" fontId="8" fillId="0" borderId="20" xfId="29" applyNumberFormat="1" applyFont="1" applyBorder="1" applyAlignment="1" applyProtection="1">
      <alignment horizontal="left" vertical="top" wrapText="1"/>
    </xf>
    <xf numFmtId="167" fontId="8" fillId="0" borderId="20" xfId="0" applyNumberFormat="1" applyFont="1" applyFill="1" applyBorder="1" applyAlignment="1" applyProtection="1">
      <alignment horizontal="center" vertical="top" wrapText="1"/>
    </xf>
    <xf numFmtId="167"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5" fontId="8" fillId="26" borderId="19" xfId="29" applyNumberFormat="1" applyFont="1" applyFill="1" applyBorder="1" applyAlignment="1" applyProtection="1">
      <alignment horizontal="left" vertical="top" wrapText="1"/>
    </xf>
    <xf numFmtId="165" fontId="8" fillId="26" borderId="20" xfId="29" applyNumberFormat="1" applyFont="1" applyFill="1" applyBorder="1" applyAlignment="1" applyProtection="1">
      <alignment horizontal="left" vertical="top" wrapText="1"/>
    </xf>
    <xf numFmtId="167" fontId="8" fillId="24" borderId="20" xfId="0" applyNumberFormat="1" applyFont="1" applyFill="1" applyBorder="1" applyAlignment="1" applyProtection="1">
      <alignment horizontal="center" vertical="top" wrapText="1"/>
      <protection locked="0"/>
    </xf>
    <xf numFmtId="167" fontId="8" fillId="24" borderId="21" xfId="0" applyNumberFormat="1" applyFont="1" applyFill="1" applyBorder="1" applyAlignment="1" applyProtection="1">
      <alignment horizontal="center" vertical="top" wrapText="1"/>
      <protection locked="0"/>
    </xf>
    <xf numFmtId="167" fontId="8" fillId="24" borderId="19" xfId="0" applyNumberFormat="1" applyFont="1" applyFill="1" applyBorder="1" applyAlignment="1" applyProtection="1">
      <alignment horizontal="center" vertical="top" wrapText="1"/>
      <protection locked="0"/>
    </xf>
    <xf numFmtId="167" fontId="8" fillId="24" borderId="22" xfId="0" applyNumberFormat="1" applyFont="1" applyFill="1" applyBorder="1" applyAlignment="1" applyProtection="1">
      <alignment horizontal="center" vertical="top" wrapText="1"/>
      <protection locked="0"/>
    </xf>
    <xf numFmtId="165" fontId="10" fillId="26" borderId="19" xfId="29" applyNumberFormat="1" applyFont="1" applyFill="1" applyBorder="1" applyAlignment="1" applyProtection="1">
      <alignment horizontal="left" vertical="top" wrapText="1"/>
    </xf>
    <xf numFmtId="165" fontId="10" fillId="26" borderId="20" xfId="29" applyNumberFormat="1" applyFont="1" applyFill="1" applyBorder="1" applyAlignment="1" applyProtection="1">
      <alignment horizontal="left" vertical="top" wrapText="1"/>
    </xf>
    <xf numFmtId="167" fontId="8" fillId="24" borderId="20" xfId="29" applyNumberFormat="1" applyFont="1" applyFill="1" applyBorder="1" applyAlignment="1" applyProtection="1">
      <alignment horizontal="center" vertical="top" wrapText="1"/>
      <protection locked="0"/>
    </xf>
    <xf numFmtId="167" fontId="8" fillId="24" borderId="21" xfId="29" applyNumberFormat="1" applyFont="1" applyFill="1" applyBorder="1" applyAlignment="1" applyProtection="1">
      <alignment horizontal="center" vertical="top" wrapText="1"/>
      <protection locked="0"/>
    </xf>
    <xf numFmtId="167" fontId="8" fillId="24" borderId="19" xfId="29" applyNumberFormat="1" applyFont="1" applyFill="1" applyBorder="1" applyAlignment="1" applyProtection="1">
      <alignment horizontal="center" vertical="top" wrapText="1"/>
      <protection locked="0"/>
    </xf>
    <xf numFmtId="167" fontId="8" fillId="24" borderId="22" xfId="29"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7" fontId="8" fillId="0" borderId="21" xfId="0" applyNumberFormat="1" applyFont="1" applyFill="1" applyBorder="1" applyAlignment="1" applyProtection="1">
      <alignment horizontal="center" vertical="top" wrapText="1"/>
    </xf>
    <xf numFmtId="167" fontId="8" fillId="0" borderId="19" xfId="0" applyNumberFormat="1" applyFont="1" applyFill="1" applyBorder="1" applyAlignment="1" applyProtection="1">
      <alignment horizontal="center" vertical="top" wrapText="1"/>
    </xf>
    <xf numFmtId="167"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5" fontId="8" fillId="0" borderId="24" xfId="29" applyNumberFormat="1" applyFont="1" applyBorder="1" applyAlignment="1" applyProtection="1">
      <alignment horizontal="left" vertical="top" wrapText="1"/>
    </xf>
    <xf numFmtId="165" fontId="8" fillId="0" borderId="25" xfId="29" applyNumberFormat="1" applyFont="1" applyBorder="1" applyAlignment="1" applyProtection="1">
      <alignment horizontal="left" vertical="top" wrapText="1"/>
    </xf>
    <xf numFmtId="166" fontId="8" fillId="0" borderId="25" xfId="29" applyNumberFormat="1" applyFont="1" applyBorder="1" applyAlignment="1" applyProtection="1">
      <alignment vertical="top" wrapText="1"/>
    </xf>
    <xf numFmtId="166" fontId="8" fillId="0" borderId="26" xfId="29" applyNumberFormat="1" applyFont="1" applyBorder="1" applyAlignment="1" applyProtection="1">
      <alignment vertical="top" wrapText="1"/>
    </xf>
    <xf numFmtId="166" fontId="8" fillId="0" borderId="24" xfId="29" applyNumberFormat="1" applyFont="1" applyFill="1" applyBorder="1" applyAlignment="1" applyProtection="1">
      <alignment vertical="top" wrapText="1"/>
    </xf>
    <xf numFmtId="166" fontId="8" fillId="0" borderId="25" xfId="29" applyNumberFormat="1" applyFont="1" applyFill="1" applyBorder="1" applyAlignment="1" applyProtection="1">
      <alignment vertical="top" wrapText="1"/>
    </xf>
    <xf numFmtId="166" fontId="8" fillId="0" borderId="27" xfId="29" applyNumberFormat="1" applyFont="1" applyFill="1" applyBorder="1" applyAlignment="1" applyProtection="1">
      <alignment vertical="top" wrapText="1"/>
    </xf>
    <xf numFmtId="168" fontId="8" fillId="0" borderId="0" xfId="0" applyNumberFormat="1" applyFont="1" applyBorder="1" applyProtection="1"/>
    <xf numFmtId="168" fontId="8" fillId="0" borderId="0" xfId="29" applyNumberFormat="1" applyFont="1" applyProtection="1"/>
    <xf numFmtId="168"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1" fontId="8" fillId="0" borderId="21" xfId="0" applyNumberFormat="1" applyFont="1" applyFill="1" applyBorder="1"/>
    <xf numFmtId="0" fontId="8" fillId="24" borderId="19" xfId="0" applyFont="1" applyFill="1" applyBorder="1" applyAlignment="1" applyProtection="1">
      <alignment horizontal="center"/>
      <protection locked="0"/>
    </xf>
    <xf numFmtId="167" fontId="8" fillId="0" borderId="20" xfId="43" applyNumberFormat="1" applyFont="1" applyFill="1" applyBorder="1" applyAlignment="1" applyProtection="1">
      <alignment horizontal="center" vertical="top" wrapText="1"/>
    </xf>
    <xf numFmtId="9" fontId="8" fillId="0" borderId="14" xfId="43" applyFont="1" applyBorder="1" applyAlignment="1">
      <alignment horizontal="center"/>
    </xf>
    <xf numFmtId="9" fontId="8" fillId="0" borderId="45" xfId="43" applyFont="1" applyBorder="1" applyAlignment="1">
      <alignment horizontal="center"/>
    </xf>
    <xf numFmtId="167" fontId="8" fillId="24" borderId="24" xfId="43" applyNumberFormat="1" applyFont="1" applyFill="1" applyBorder="1" applyAlignment="1" applyProtection="1">
      <alignment horizontal="center" vertical="top" wrapText="1"/>
      <protection locked="0"/>
    </xf>
    <xf numFmtId="167" fontId="8" fillId="24" borderId="25" xfId="43" applyNumberFormat="1" applyFont="1" applyFill="1" applyBorder="1" applyAlignment="1" applyProtection="1">
      <alignment horizontal="center" vertical="top" wrapText="1"/>
      <protection locked="0"/>
    </xf>
    <xf numFmtId="167" fontId="8" fillId="0" borderId="25" xfId="43" applyNumberFormat="1" applyFont="1" applyFill="1" applyBorder="1" applyAlignment="1">
      <alignment horizontal="center" vertical="top" wrapText="1"/>
    </xf>
    <xf numFmtId="167" fontId="8" fillId="0" borderId="26" xfId="43" applyNumberFormat="1" applyFont="1" applyFill="1" applyBorder="1" applyAlignment="1">
      <alignment horizontal="center" vertical="top" wrapText="1"/>
    </xf>
    <xf numFmtId="167" fontId="8" fillId="0" borderId="27" xfId="43" applyNumberFormat="1" applyFont="1" applyFill="1" applyBorder="1" applyAlignment="1">
      <alignment horizontal="center" vertical="top" wrapText="1"/>
    </xf>
    <xf numFmtId="9" fontId="8" fillId="0" borderId="0" xfId="43"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1"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1" fontId="9" fillId="0" borderId="19" xfId="0" applyNumberFormat="1" applyFont="1" applyBorder="1"/>
    <xf numFmtId="0" fontId="8" fillId="24" borderId="10" xfId="0" applyFont="1" applyFill="1" applyBorder="1" applyAlignment="1" applyProtection="1">
      <alignment horizontal="left" indent="1"/>
      <protection locked="0"/>
    </xf>
    <xf numFmtId="171" fontId="8" fillId="24" borderId="15" xfId="0" applyNumberFormat="1" applyFont="1" applyFill="1" applyBorder="1" applyProtection="1">
      <protection locked="0"/>
    </xf>
    <xf numFmtId="171" fontId="8" fillId="24" borderId="16" xfId="0" applyNumberFormat="1" applyFont="1" applyFill="1" applyBorder="1" applyProtection="1">
      <protection locked="0"/>
    </xf>
    <xf numFmtId="171" fontId="8" fillId="0" borderId="16" xfId="0" applyNumberFormat="1" applyFont="1" applyBorder="1"/>
    <xf numFmtId="171" fontId="8" fillId="24" borderId="18" xfId="0" applyNumberFormat="1" applyFont="1" applyFill="1" applyBorder="1" applyProtection="1">
      <protection locked="0"/>
    </xf>
    <xf numFmtId="171" fontId="8" fillId="24" borderId="58" xfId="0" applyNumberFormat="1" applyFont="1" applyFill="1" applyBorder="1" applyProtection="1">
      <protection locked="0"/>
    </xf>
    <xf numFmtId="171" fontId="8" fillId="24" borderId="35" xfId="0" applyNumberFormat="1" applyFont="1" applyFill="1" applyBorder="1" applyProtection="1">
      <protection locked="0"/>
    </xf>
    <xf numFmtId="0" fontId="9" fillId="0" borderId="57" xfId="0" applyNumberFormat="1" applyFont="1" applyBorder="1" applyAlignment="1">
      <alignment vertical="center"/>
    </xf>
    <xf numFmtId="171"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164" fontId="12" fillId="0" borderId="0" xfId="29" applyFont="1" applyBorder="1"/>
    <xf numFmtId="168"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1"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3"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1" fontId="8" fillId="0" borderId="21" xfId="0" applyNumberFormat="1" applyFont="1" applyBorder="1"/>
    <xf numFmtId="171" fontId="8" fillId="26" borderId="20" xfId="0" applyNumberFormat="1" applyFont="1" applyFill="1" applyBorder="1"/>
    <xf numFmtId="167" fontId="8" fillId="0" borderId="14" xfId="43" applyNumberFormat="1" applyFont="1" applyBorder="1" applyAlignment="1">
      <alignment horizontal="center"/>
    </xf>
    <xf numFmtId="171" fontId="9" fillId="26" borderId="16" xfId="0" applyNumberFormat="1" applyFont="1" applyFill="1" applyBorder="1"/>
    <xf numFmtId="167" fontId="9" fillId="0" borderId="14" xfId="43" applyNumberFormat="1" applyFont="1" applyBorder="1" applyAlignment="1">
      <alignment horizontal="center"/>
    </xf>
    <xf numFmtId="171" fontId="9" fillId="26" borderId="36" xfId="0" applyNumberFormat="1" applyFont="1" applyFill="1" applyBorder="1"/>
    <xf numFmtId="171" fontId="9" fillId="26" borderId="20" xfId="0" applyNumberFormat="1" applyFont="1" applyFill="1" applyBorder="1"/>
    <xf numFmtId="171" fontId="9" fillId="26" borderId="21" xfId="0" applyNumberFormat="1" applyFont="1" applyFill="1" applyBorder="1"/>
    <xf numFmtId="171" fontId="9" fillId="0" borderId="21" xfId="0" applyNumberFormat="1" applyFont="1" applyBorder="1"/>
    <xf numFmtId="171" fontId="9" fillId="0" borderId="38" xfId="0" applyNumberFormat="1" applyFont="1" applyBorder="1"/>
    <xf numFmtId="171" fontId="9" fillId="0" borderId="63" xfId="0" applyNumberFormat="1" applyFont="1" applyBorder="1"/>
    <xf numFmtId="171" fontId="9" fillId="0" borderId="62" xfId="0" applyNumberFormat="1" applyFont="1" applyBorder="1"/>
    <xf numFmtId="171" fontId="8" fillId="0" borderId="18" xfId="0" applyNumberFormat="1" applyFont="1" applyBorder="1"/>
    <xf numFmtId="171" fontId="9" fillId="0" borderId="17" xfId="0" applyNumberFormat="1" applyFont="1" applyBorder="1"/>
    <xf numFmtId="171" fontId="9" fillId="0" borderId="67" xfId="0" applyNumberFormat="1" applyFont="1" applyBorder="1"/>
    <xf numFmtId="167" fontId="9" fillId="0" borderId="45" xfId="43" applyNumberFormat="1" applyFont="1" applyBorder="1" applyAlignment="1">
      <alignment horizontal="center"/>
    </xf>
    <xf numFmtId="168" fontId="12" fillId="0" borderId="0" xfId="0" applyNumberFormat="1" applyFont="1" applyBorder="1" applyAlignment="1">
      <alignment horizontal="center"/>
    </xf>
    <xf numFmtId="0" fontId="12" fillId="0" borderId="0" xfId="0" applyFont="1" applyBorder="1" applyAlignment="1">
      <alignment horizontal="center" vertical="top" wrapText="1"/>
    </xf>
    <xf numFmtId="168"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3" applyFont="1" applyFill="1" applyBorder="1" applyAlignment="1">
      <alignment horizontal="center" vertical="center" wrapText="1"/>
    </xf>
    <xf numFmtId="9" fontId="9" fillId="0" borderId="62" xfId="43" applyFont="1" applyFill="1" applyBorder="1" applyAlignment="1">
      <alignment horizontal="center" vertical="center" wrapText="1"/>
    </xf>
    <xf numFmtId="9" fontId="9" fillId="0" borderId="43" xfId="43"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1" fontId="8" fillId="0" borderId="14" xfId="0" applyNumberFormat="1" applyFont="1" applyBorder="1"/>
    <xf numFmtId="0" fontId="9" fillId="0" borderId="14" xfId="0" applyFont="1" applyBorder="1"/>
    <xf numFmtId="171" fontId="9" fillId="0" borderId="49" xfId="0" applyNumberFormat="1" applyFont="1" applyBorder="1"/>
    <xf numFmtId="171" fontId="9" fillId="0" borderId="55" xfId="0" applyNumberFormat="1" applyFont="1" applyBorder="1"/>
    <xf numFmtId="0" fontId="13" fillId="0" borderId="0" xfId="0" applyFont="1" applyBorder="1" applyAlignment="1">
      <alignment vertical="center" wrapText="1"/>
    </xf>
    <xf numFmtId="168" fontId="9" fillId="0" borderId="0" xfId="0" applyNumberFormat="1" applyFont="1" applyFill="1" applyBorder="1"/>
    <xf numFmtId="165" fontId="12" fillId="0" borderId="0" xfId="29"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1" fontId="8" fillId="0" borderId="17" xfId="0" applyNumberFormat="1" applyFont="1" applyBorder="1"/>
    <xf numFmtId="171" fontId="8" fillId="0" borderId="49" xfId="0" applyNumberFormat="1" applyFont="1" applyBorder="1"/>
    <xf numFmtId="171" fontId="9" fillId="0" borderId="14" xfId="0" applyNumberFormat="1" applyFont="1" applyBorder="1"/>
    <xf numFmtId="171" fontId="8" fillId="24" borderId="21" xfId="29" applyNumberFormat="1" applyFont="1" applyFill="1" applyBorder="1" applyProtection="1">
      <protection locked="0"/>
    </xf>
    <xf numFmtId="171" fontId="8" fillId="24" borderId="19" xfId="29"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1"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1" fontId="9" fillId="0" borderId="48" xfId="0" applyNumberFormat="1" applyFont="1" applyBorder="1"/>
    <xf numFmtId="0" fontId="8" fillId="0" borderId="23" xfId="0" applyFont="1" applyFill="1" applyBorder="1" applyAlignment="1">
      <alignment horizontal="left" indent="1"/>
    </xf>
    <xf numFmtId="171" fontId="8" fillId="0" borderId="24" xfId="0" applyNumberFormat="1" applyFont="1" applyBorder="1"/>
    <xf numFmtId="171" fontId="8" fillId="0" borderId="26" xfId="0" applyNumberFormat="1" applyFont="1" applyBorder="1"/>
    <xf numFmtId="171" fontId="8" fillId="0" borderId="45" xfId="0" applyNumberFormat="1" applyFont="1" applyBorder="1"/>
    <xf numFmtId="0" fontId="9" fillId="0" borderId="61" xfId="0" applyFont="1" applyFill="1" applyBorder="1" applyAlignment="1">
      <alignment horizontal="centerContinuous" vertical="center" wrapText="1"/>
    </xf>
    <xf numFmtId="171" fontId="9" fillId="0" borderId="35" xfId="0" applyNumberFormat="1" applyFont="1" applyFill="1" applyBorder="1"/>
    <xf numFmtId="171" fontId="9" fillId="0" borderId="16" xfId="0" applyNumberFormat="1" applyFont="1" applyFill="1" applyBorder="1"/>
    <xf numFmtId="171" fontId="9" fillId="0" borderId="17" xfId="0" applyNumberFormat="1" applyFont="1" applyFill="1" applyBorder="1"/>
    <xf numFmtId="171" fontId="9" fillId="0" borderId="15" xfId="0" applyNumberFormat="1" applyFont="1" applyFill="1" applyBorder="1"/>
    <xf numFmtId="171" fontId="8" fillId="0" borderId="18" xfId="0" applyNumberFormat="1" applyFont="1" applyFill="1" applyBorder="1"/>
    <xf numFmtId="171" fontId="8" fillId="0" borderId="49" xfId="0" applyNumberFormat="1" applyFont="1" applyFill="1" applyBorder="1"/>
    <xf numFmtId="171" fontId="8" fillId="0" borderId="15" xfId="0" applyNumberFormat="1" applyFont="1" applyFill="1" applyBorder="1"/>
    <xf numFmtId="171" fontId="8" fillId="0" borderId="16" xfId="0" applyNumberFormat="1" applyFont="1" applyFill="1" applyBorder="1"/>
    <xf numFmtId="171" fontId="8" fillId="0" borderId="19" xfId="0" applyNumberFormat="1" applyFont="1" applyFill="1" applyBorder="1" applyProtection="1">
      <protection locked="0"/>
    </xf>
    <xf numFmtId="171"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2" fillId="0" borderId="10" xfId="0" applyFont="1" applyBorder="1" applyAlignment="1">
      <alignment horizontal="left" indent="2"/>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2" fontId="9" fillId="0" borderId="30" xfId="29" applyNumberFormat="1" applyFont="1" applyFill="1" applyBorder="1" applyAlignment="1">
      <alignment horizontal="center"/>
    </xf>
    <xf numFmtId="0" fontId="12" fillId="0" borderId="30" xfId="0" applyNumberFormat="1" applyFont="1" applyFill="1" applyBorder="1" applyAlignment="1">
      <alignment horizontal="center"/>
    </xf>
    <xf numFmtId="171" fontId="9" fillId="0" borderId="29" xfId="0" applyNumberFormat="1" applyFont="1" applyFill="1" applyBorder="1" applyAlignment="1">
      <alignment horizontal="center"/>
    </xf>
    <xf numFmtId="171" fontId="9" fillId="0" borderId="31" xfId="0" applyNumberFormat="1" applyFont="1" applyFill="1" applyBorder="1" applyAlignment="1">
      <alignment horizontal="center"/>
    </xf>
    <xf numFmtId="171" fontId="9" fillId="0" borderId="32" xfId="0" applyNumberFormat="1" applyFont="1" applyFill="1" applyBorder="1" applyAlignment="1">
      <alignment horizontal="center"/>
    </xf>
    <xf numFmtId="171" fontId="9" fillId="0" borderId="61"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2" fontId="9" fillId="24" borderId="20" xfId="29" applyNumberFormat="1" applyFont="1" applyFill="1" applyBorder="1" applyAlignment="1" applyProtection="1">
      <alignment horizontal="center"/>
      <protection locked="0"/>
    </xf>
    <xf numFmtId="171" fontId="9" fillId="24" borderId="19" xfId="0" applyNumberFormat="1" applyFont="1" applyFill="1" applyBorder="1" applyAlignment="1" applyProtection="1">
      <alignment horizontal="center"/>
      <protection locked="0"/>
    </xf>
    <xf numFmtId="171" fontId="9" fillId="24" borderId="21" xfId="0" applyNumberFormat="1" applyFont="1" applyFill="1" applyBorder="1" applyAlignment="1" applyProtection="1">
      <alignment horizontal="center"/>
      <protection locked="0"/>
    </xf>
    <xf numFmtId="171" fontId="9" fillId="24" borderId="22" xfId="0" applyNumberFormat="1" applyFont="1" applyFill="1" applyBorder="1" applyAlignment="1" applyProtection="1">
      <alignment horizontal="center"/>
      <protection locked="0"/>
    </xf>
    <xf numFmtId="171" fontId="9" fillId="24" borderId="36" xfId="0" applyNumberFormat="1" applyFont="1" applyFill="1" applyBorder="1" applyAlignment="1" applyProtection="1">
      <alignment horizontal="center"/>
      <protection locked="0"/>
    </xf>
    <xf numFmtId="0" fontId="9" fillId="24" borderId="10" xfId="0" applyNumberFormat="1" applyFont="1" applyFill="1" applyBorder="1" applyProtection="1">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2" fontId="8" fillId="24" borderId="20" xfId="29"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2" fontId="8" fillId="24" borderId="39" xfId="29" applyNumberFormat="1" applyFont="1" applyFill="1" applyBorder="1" applyAlignment="1" applyProtection="1">
      <alignment horizontal="center"/>
      <protection locked="0"/>
    </xf>
    <xf numFmtId="171" fontId="8" fillId="24" borderId="63"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2" fontId="8" fillId="0" borderId="20" xfId="29" applyNumberFormat="1" applyFont="1" applyFill="1" applyBorder="1" applyAlignment="1">
      <alignment horizontal="center"/>
    </xf>
    <xf numFmtId="171"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2" fontId="8" fillId="24" borderId="25" xfId="29" applyNumberFormat="1" applyFont="1" applyFill="1" applyBorder="1" applyAlignment="1" applyProtection="1">
      <alignment horizontal="center"/>
      <protection locked="0"/>
    </xf>
    <xf numFmtId="171"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3" applyFont="1" applyFill="1" applyBorder="1" applyAlignment="1">
      <alignment horizontal="center" vertical="center" wrapText="1"/>
    </xf>
    <xf numFmtId="9" fontId="9" fillId="0" borderId="22" xfId="43"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1" fontId="9" fillId="0" borderId="42" xfId="0" applyNumberFormat="1" applyFont="1" applyBorder="1" applyAlignment="1">
      <alignment vertical="top"/>
    </xf>
    <xf numFmtId="171" fontId="9" fillId="0" borderId="43" xfId="0" applyNumberFormat="1" applyFont="1" applyBorder="1" applyAlignment="1">
      <alignment vertical="top"/>
    </xf>
    <xf numFmtId="171"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2" fontId="8" fillId="0" borderId="20" xfId="29"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171" fontId="9" fillId="0" borderId="64" xfId="0" applyNumberFormat="1" applyFont="1" applyBorder="1" applyAlignment="1">
      <alignment vertical="top"/>
    </xf>
    <xf numFmtId="171" fontId="9" fillId="0" borderId="64" xfId="0" applyNumberFormat="1" applyFont="1" applyFill="1" applyBorder="1"/>
    <xf numFmtId="171" fontId="9" fillId="0" borderId="43" xfId="0" applyNumberFormat="1" applyFont="1" applyFill="1" applyBorder="1"/>
    <xf numFmtId="171" fontId="9" fillId="0" borderId="44" xfId="0" applyNumberFormat="1" applyFont="1" applyFill="1" applyBorder="1"/>
    <xf numFmtId="171" fontId="9" fillId="0" borderId="42" xfId="0" applyNumberFormat="1" applyFont="1" applyFill="1" applyBorder="1"/>
    <xf numFmtId="0" fontId="15" fillId="0" borderId="0" xfId="0" applyFont="1" applyFill="1" applyBorder="1" applyAlignment="1">
      <alignment horizontal="left"/>
    </xf>
    <xf numFmtId="171" fontId="9" fillId="0" borderId="52" xfId="0" applyNumberFormat="1" applyFont="1" applyFill="1" applyBorder="1" applyProtection="1"/>
    <xf numFmtId="0" fontId="8" fillId="0" borderId="21" xfId="0" applyFont="1" applyFill="1" applyBorder="1" applyAlignment="1">
      <alignment horizontal="left" vertical="top" wrapText="1"/>
    </xf>
    <xf numFmtId="171" fontId="9" fillId="0" borderId="73" xfId="0" applyNumberFormat="1" applyFont="1" applyFill="1" applyBorder="1"/>
    <xf numFmtId="171" fontId="9" fillId="0" borderId="62" xfId="0" applyNumberFormat="1" applyFont="1" applyFill="1" applyBorder="1"/>
    <xf numFmtId="171" fontId="9" fillId="0" borderId="41" xfId="0" applyNumberFormat="1" applyFont="1" applyFill="1" applyBorder="1"/>
    <xf numFmtId="171" fontId="9" fillId="0" borderId="56" xfId="0" applyNumberFormat="1" applyFont="1" applyFill="1" applyBorder="1"/>
    <xf numFmtId="171" fontId="9" fillId="0" borderId="74" xfId="0" applyNumberFormat="1" applyFont="1" applyFill="1" applyBorder="1"/>
    <xf numFmtId="171" fontId="9" fillId="0" borderId="50" xfId="0" applyNumberFormat="1" applyFont="1" applyFill="1" applyBorder="1"/>
    <xf numFmtId="171" fontId="9" fillId="0" borderId="67" xfId="0" applyNumberFormat="1" applyFont="1" applyFill="1" applyBorder="1"/>
    <xf numFmtId="171" fontId="9" fillId="0" borderId="51" xfId="0" applyNumberFormat="1" applyFont="1" applyFill="1" applyBorder="1"/>
    <xf numFmtId="171" fontId="9" fillId="0" borderId="52" xfId="0" applyNumberFormat="1" applyFont="1" applyFill="1" applyBorder="1"/>
    <xf numFmtId="171" fontId="9" fillId="0" borderId="20" xfId="0" applyNumberFormat="1" applyFont="1" applyFill="1" applyBorder="1"/>
    <xf numFmtId="171" fontId="9" fillId="0" borderId="39" xfId="0" applyNumberFormat="1" applyFont="1" applyFill="1" applyBorder="1"/>
    <xf numFmtId="171"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1" fontId="9" fillId="0" borderId="22" xfId="0" applyNumberFormat="1" applyFont="1" applyFill="1" applyBorder="1" applyProtection="1"/>
    <xf numFmtId="171" fontId="8" fillId="0" borderId="15" xfId="0" applyNumberFormat="1" applyFont="1" applyFill="1" applyBorder="1" applyProtection="1"/>
    <xf numFmtId="172" fontId="8" fillId="0" borderId="16" xfId="0" applyNumberFormat="1" applyFont="1" applyFill="1" applyBorder="1" applyProtection="1"/>
    <xf numFmtId="172" fontId="8" fillId="0" borderId="18" xfId="0" applyNumberFormat="1" applyFont="1" applyFill="1" applyBorder="1" applyProtection="1"/>
    <xf numFmtId="171" fontId="9" fillId="0" borderId="21" xfId="0" applyNumberFormat="1" applyFont="1" applyFill="1" applyBorder="1" applyProtection="1"/>
    <xf numFmtId="171"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1" fontId="9" fillId="0" borderId="43" xfId="0" applyNumberFormat="1" applyFont="1" applyFill="1" applyBorder="1" applyProtection="1"/>
    <xf numFmtId="171" fontId="9" fillId="0" borderId="64" xfId="0" applyNumberFormat="1" applyFont="1" applyFill="1" applyBorder="1" applyProtection="1"/>
    <xf numFmtId="171"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1" fontId="9" fillId="0" borderId="15" xfId="0" applyNumberFormat="1" applyFont="1" applyFill="1" applyBorder="1" applyProtection="1"/>
    <xf numFmtId="171" fontId="9" fillId="24" borderId="16" xfId="0" applyNumberFormat="1" applyFont="1" applyFill="1" applyBorder="1" applyProtection="1">
      <protection locked="0"/>
    </xf>
    <xf numFmtId="171" fontId="9" fillId="24" borderId="15" xfId="0" applyNumberFormat="1" applyFont="1" applyFill="1" applyBorder="1" applyProtection="1">
      <protection locked="0"/>
    </xf>
    <xf numFmtId="171" fontId="9" fillId="24" borderId="18" xfId="0" applyNumberFormat="1" applyFont="1" applyFill="1" applyBorder="1" applyProtection="1">
      <protection locked="0"/>
    </xf>
    <xf numFmtId="171"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8" fontId="11" fillId="0" borderId="0" xfId="0" applyNumberFormat="1" applyFont="1" applyBorder="1" applyProtection="1">
      <protection locked="0"/>
    </xf>
    <xf numFmtId="0" fontId="11" fillId="0" borderId="0" xfId="0" applyFont="1" applyBorder="1" applyProtection="1"/>
    <xf numFmtId="168"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1"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1" fontId="9" fillId="0" borderId="20" xfId="0" applyNumberFormat="1" applyFont="1" applyBorder="1" applyAlignment="1">
      <alignment horizontal="right"/>
    </xf>
    <xf numFmtId="171" fontId="9" fillId="0" borderId="19" xfId="0" applyNumberFormat="1" applyFont="1" applyBorder="1" applyAlignment="1">
      <alignment horizontal="right"/>
    </xf>
    <xf numFmtId="171" fontId="8" fillId="24" borderId="20" xfId="0" applyNumberFormat="1" applyFont="1" applyFill="1" applyBorder="1" applyAlignment="1" applyProtection="1">
      <alignment horizontal="right"/>
      <protection locked="0"/>
    </xf>
    <xf numFmtId="171" fontId="8" fillId="24" borderId="19" xfId="0" applyNumberFormat="1" applyFont="1" applyFill="1" applyBorder="1" applyAlignment="1" applyProtection="1">
      <alignment horizontal="right"/>
      <protection locked="0"/>
    </xf>
    <xf numFmtId="171"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1" fontId="9" fillId="0" borderId="16" xfId="0" applyNumberFormat="1" applyFont="1" applyBorder="1" applyAlignment="1" applyProtection="1">
      <alignment horizontal="right"/>
    </xf>
    <xf numFmtId="171" fontId="9" fillId="0" borderId="15" xfId="0" applyNumberFormat="1" applyFont="1" applyBorder="1" applyAlignment="1" applyProtection="1">
      <alignment horizontal="right"/>
    </xf>
    <xf numFmtId="0" fontId="8" fillId="0" borderId="23" xfId="0" applyFont="1" applyBorder="1" applyProtection="1"/>
    <xf numFmtId="171" fontId="8" fillId="0" borderId="25" xfId="0" applyNumberFormat="1" applyFont="1" applyBorder="1" applyProtection="1"/>
    <xf numFmtId="171" fontId="8" fillId="0" borderId="24" xfId="0" applyNumberFormat="1" applyFont="1" applyBorder="1" applyProtection="1"/>
    <xf numFmtId="0" fontId="10" fillId="0" borderId="28" xfId="0" applyFont="1" applyBorder="1" applyProtection="1"/>
    <xf numFmtId="171" fontId="8" fillId="0" borderId="30" xfId="0" applyNumberFormat="1" applyFont="1" applyBorder="1" applyProtection="1"/>
    <xf numFmtId="171" fontId="8" fillId="0" borderId="29" xfId="0" applyNumberFormat="1" applyFont="1" applyBorder="1" applyProtection="1"/>
    <xf numFmtId="0" fontId="9" fillId="0" borderId="10" xfId="0" applyFont="1" applyFill="1" applyBorder="1" applyAlignment="1" applyProtection="1">
      <alignment horizontal="left" indent="1"/>
    </xf>
    <xf numFmtId="171" fontId="9" fillId="0" borderId="20" xfId="0" applyNumberFormat="1" applyFont="1" applyBorder="1" applyAlignment="1" applyProtection="1">
      <alignment horizontal="right"/>
    </xf>
    <xf numFmtId="171"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8" fontId="9" fillId="0" borderId="0" xfId="0" applyNumberFormat="1" applyFont="1" applyFill="1" applyBorder="1" applyProtection="1">
      <protection locked="0"/>
    </xf>
    <xf numFmtId="0" fontId="9" fillId="0" borderId="0" xfId="0" applyFont="1" applyBorder="1" applyProtection="1">
      <protection locked="0"/>
    </xf>
    <xf numFmtId="168"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5" fontId="8" fillId="0" borderId="0" xfId="28" applyNumberFormat="1" applyFont="1" applyProtection="1">
      <protection locked="0"/>
    </xf>
    <xf numFmtId="0" fontId="9" fillId="0" borderId="32" xfId="0" applyFont="1" applyBorder="1" applyAlignment="1" applyProtection="1">
      <alignment horizontal="center"/>
    </xf>
    <xf numFmtId="171" fontId="9" fillId="0" borderId="22" xfId="0" applyNumberFormat="1" applyFont="1" applyBorder="1" applyAlignment="1">
      <alignment horizontal="right"/>
    </xf>
    <xf numFmtId="171" fontId="9" fillId="0" borderId="18" xfId="0" applyNumberFormat="1" applyFont="1" applyBorder="1" applyAlignment="1" applyProtection="1">
      <alignment horizontal="right"/>
    </xf>
    <xf numFmtId="171" fontId="8" fillId="0" borderId="27" xfId="0" applyNumberFormat="1" applyFont="1" applyBorder="1" applyProtection="1"/>
    <xf numFmtId="171" fontId="8" fillId="0" borderId="32" xfId="0" applyNumberFormat="1" applyFont="1" applyBorder="1" applyProtection="1"/>
    <xf numFmtId="171" fontId="9" fillId="0" borderId="22" xfId="0" applyNumberFormat="1" applyFont="1" applyBorder="1" applyAlignment="1" applyProtection="1">
      <alignment horizontal="right"/>
    </xf>
    <xf numFmtId="171" fontId="8" fillId="0" borderId="51" xfId="0" applyNumberFormat="1" applyFont="1" applyBorder="1"/>
    <xf numFmtId="171"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1" fontId="9" fillId="0" borderId="76" xfId="0" applyNumberFormat="1" applyFont="1" applyBorder="1"/>
    <xf numFmtId="171" fontId="9" fillId="0" borderId="77" xfId="0" applyNumberFormat="1" applyFont="1" applyBorder="1"/>
    <xf numFmtId="171" fontId="8" fillId="0" borderId="77" xfId="0" applyNumberFormat="1" applyFont="1" applyBorder="1"/>
    <xf numFmtId="171" fontId="9" fillId="0" borderId="78" xfId="0" applyNumberFormat="1" applyFont="1" applyBorder="1"/>
    <xf numFmtId="171" fontId="8" fillId="0" borderId="20" xfId="0" applyNumberFormat="1" applyFont="1" applyBorder="1" applyAlignment="1">
      <alignment horizontal="right"/>
    </xf>
    <xf numFmtId="171" fontId="9" fillId="0" borderId="16" xfId="0" applyNumberFormat="1" applyFont="1" applyFill="1" applyBorder="1" applyAlignment="1">
      <alignment horizontal="right"/>
    </xf>
    <xf numFmtId="171" fontId="8" fillId="0" borderId="20" xfId="0" applyNumberFormat="1" applyFont="1" applyBorder="1" applyAlignment="1">
      <alignment horizontal="center"/>
    </xf>
    <xf numFmtId="171" fontId="8" fillId="0" borderId="20" xfId="0" applyNumberFormat="1" applyFont="1" applyFill="1" applyBorder="1" applyAlignment="1" applyProtection="1">
      <alignment horizontal="center"/>
    </xf>
    <xf numFmtId="171" fontId="9" fillId="0" borderId="16" xfId="0" applyNumberFormat="1" applyFont="1" applyFill="1" applyBorder="1" applyAlignment="1">
      <alignment horizontal="center"/>
    </xf>
    <xf numFmtId="171" fontId="8" fillId="0" borderId="20" xfId="29" applyNumberFormat="1" applyFont="1" applyFill="1" applyBorder="1" applyProtection="1"/>
    <xf numFmtId="171" fontId="8" fillId="0" borderId="22" xfId="29" applyNumberFormat="1" applyFont="1" applyFill="1" applyBorder="1" applyProtection="1"/>
    <xf numFmtId="0" fontId="8" fillId="0" borderId="0" xfId="0" applyFont="1" applyFill="1" applyBorder="1" applyAlignment="1">
      <alignment horizontal="center"/>
    </xf>
    <xf numFmtId="0" fontId="8" fillId="0" borderId="0" xfId="0" applyFont="1" applyFill="1" applyBorder="1" applyAlignment="1">
      <alignment horizontal="left" vertical="top" wrapText="1"/>
    </xf>
    <xf numFmtId="0" fontId="12" fillId="0" borderId="10" xfId="0" applyFont="1" applyFill="1" applyBorder="1" applyAlignment="1">
      <alignment horizontal="right"/>
    </xf>
    <xf numFmtId="165" fontId="8" fillId="0" borderId="0" xfId="29" applyNumberFormat="1" applyFont="1" applyFill="1" applyBorder="1"/>
    <xf numFmtId="0" fontId="3" fillId="24" borderId="60"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7"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3" applyFont="1" applyFill="1" applyBorder="1" applyAlignment="1" applyProtection="1">
      <alignment horizontal="center"/>
      <protection locked="0"/>
    </xf>
    <xf numFmtId="9" fontId="8" fillId="24" borderId="81" xfId="43" applyFont="1" applyFill="1" applyBorder="1" applyAlignment="1" applyProtection="1">
      <alignment horizontal="center"/>
      <protection locked="0"/>
    </xf>
    <xf numFmtId="9" fontId="8" fillId="24" borderId="71" xfId="43" applyFont="1" applyFill="1" applyBorder="1" applyAlignment="1" applyProtection="1">
      <alignment horizontal="center"/>
      <protection locked="0"/>
    </xf>
    <xf numFmtId="0" fontId="8" fillId="24" borderId="10" xfId="0" quotePrefix="1" applyFont="1" applyFill="1" applyBorder="1" applyAlignment="1" applyProtection="1">
      <alignment horizontal="left" indent="1"/>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3"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0" fontId="8" fillId="24" borderId="0" xfId="0" applyFont="1" applyFill="1" applyProtection="1">
      <protection locked="0"/>
    </xf>
    <xf numFmtId="171" fontId="9" fillId="24" borderId="36" xfId="0" applyNumberFormat="1" applyFont="1" applyFill="1" applyBorder="1" applyProtection="1">
      <protection locked="0"/>
    </xf>
    <xf numFmtId="171" fontId="9" fillId="24" borderId="20" xfId="0" applyNumberFormat="1" applyFont="1" applyFill="1" applyBorder="1" applyProtection="1">
      <protection locked="0"/>
    </xf>
    <xf numFmtId="171" fontId="9" fillId="24" borderId="22"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12" fillId="0" borderId="0" xfId="0" applyNumberFormat="1" applyFont="1" applyFill="1" applyBorder="1" applyProtection="1"/>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Font="1" applyFill="1" applyBorder="1" applyAlignment="1">
      <alignment horizontal="left" indent="2"/>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12" fillId="0" borderId="10" xfId="0" applyNumberFormat="1" applyFont="1" applyFill="1" applyBorder="1" applyAlignment="1">
      <alignment horizontal="left" indent="2"/>
    </xf>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1" fontId="9" fillId="0" borderId="0" xfId="0" applyNumberFormat="1" applyFont="1" applyFill="1" applyBorder="1" applyAlignment="1">
      <alignment horizontal="left"/>
    </xf>
    <xf numFmtId="171"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Font="1" applyBorder="1"/>
    <xf numFmtId="171" fontId="9" fillId="0" borderId="29" xfId="0" applyNumberFormat="1" applyFont="1" applyBorder="1"/>
    <xf numFmtId="171" fontId="9" fillId="0" borderId="30" xfId="0" applyNumberFormat="1" applyFont="1" applyBorder="1"/>
    <xf numFmtId="171" fontId="9" fillId="0" borderId="32" xfId="0" applyNumberFormat="1" applyFont="1" applyBorder="1"/>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171" fontId="9" fillId="0" borderId="56" xfId="0" applyNumberFormat="1" applyFont="1" applyBorder="1" applyAlignment="1">
      <alignment vertical="top"/>
    </xf>
    <xf numFmtId="171" fontId="9" fillId="0" borderId="51" xfId="0" applyNumberFormat="1" applyFont="1" applyBorder="1" applyAlignment="1">
      <alignment vertical="top"/>
    </xf>
    <xf numFmtId="171" fontId="9" fillId="0" borderId="52" xfId="0" applyNumberFormat="1" applyFont="1" applyBorder="1" applyAlignment="1">
      <alignment vertical="top"/>
    </xf>
    <xf numFmtId="0" fontId="9" fillId="0" borderId="54" xfId="0" applyNumberFormat="1" applyFont="1" applyBorder="1" applyAlignment="1">
      <alignment vertical="top" wrapText="1"/>
    </xf>
    <xf numFmtId="171"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1" fontId="9" fillId="0" borderId="40" xfId="0" applyNumberFormat="1" applyFont="1" applyFill="1" applyBorder="1" applyProtection="1"/>
    <xf numFmtId="171" fontId="8" fillId="24" borderId="64" xfId="0" applyNumberFormat="1" applyFont="1" applyFill="1" applyBorder="1" applyProtection="1">
      <protection locked="0"/>
    </xf>
    <xf numFmtId="171" fontId="8" fillId="24" borderId="43" xfId="0" applyNumberFormat="1" applyFont="1" applyFill="1" applyBorder="1" applyProtection="1">
      <protection locked="0"/>
    </xf>
    <xf numFmtId="171" fontId="8" fillId="24" borderId="44" xfId="0" applyNumberFormat="1" applyFont="1" applyFill="1" applyBorder="1" applyProtection="1">
      <protection locked="0"/>
    </xf>
    <xf numFmtId="0" fontId="9" fillId="0" borderId="30" xfId="0" applyFont="1" applyFill="1" applyBorder="1" applyAlignment="1">
      <alignment horizontal="center"/>
    </xf>
    <xf numFmtId="171" fontId="8" fillId="0" borderId="16" xfId="0" applyNumberFormat="1" applyFont="1" applyFill="1" applyBorder="1" applyProtection="1">
      <protection locked="0"/>
    </xf>
    <xf numFmtId="171" fontId="8" fillId="0" borderId="43" xfId="0" applyNumberFormat="1" applyFont="1" applyFill="1" applyBorder="1" applyProtection="1">
      <protection locked="0"/>
    </xf>
    <xf numFmtId="171" fontId="9" fillId="0" borderId="16" xfId="0" applyNumberFormat="1" applyFont="1" applyFill="1" applyBorder="1" applyProtection="1">
      <protection locked="0"/>
    </xf>
    <xf numFmtId="168" fontId="11" fillId="0" borderId="0" xfId="0" applyNumberFormat="1" applyFont="1" applyFill="1" applyBorder="1" applyProtection="1">
      <protection locked="0"/>
    </xf>
    <xf numFmtId="168" fontId="11" fillId="0" borderId="0" xfId="0" applyNumberFormat="1" applyFont="1" applyFill="1" applyBorder="1" applyProtection="1"/>
    <xf numFmtId="171" fontId="9" fillId="24" borderId="21" xfId="0" applyNumberFormat="1" applyFont="1" applyFill="1" applyBorder="1" applyProtection="1">
      <protection locked="0"/>
    </xf>
    <xf numFmtId="171" fontId="9" fillId="24" borderId="19" xfId="0" applyNumberFormat="1" applyFont="1" applyFill="1" applyBorder="1" applyProtection="1">
      <protection locked="0"/>
    </xf>
    <xf numFmtId="169" fontId="8" fillId="0" borderId="20" xfId="43" applyNumberFormat="1" applyFont="1" applyFill="1" applyBorder="1" applyAlignment="1">
      <alignment horizontal="center" vertical="top" wrapText="1"/>
    </xf>
    <xf numFmtId="169" fontId="8" fillId="0" borderId="21" xfId="43" applyNumberFormat="1" applyFont="1" applyFill="1" applyBorder="1" applyAlignment="1">
      <alignment horizontal="center" vertical="top" wrapText="1"/>
    </xf>
    <xf numFmtId="169" fontId="8" fillId="0" borderId="22" xfId="43" applyNumberFormat="1" applyFont="1" applyFill="1" applyBorder="1" applyAlignment="1">
      <alignment horizontal="center" vertical="top" wrapText="1"/>
    </xf>
    <xf numFmtId="0" fontId="50" fillId="0" borderId="11" xfId="0" applyFont="1" applyFill="1" applyBorder="1" applyAlignment="1" applyProtection="1">
      <alignment horizontal="left"/>
    </xf>
    <xf numFmtId="171" fontId="9" fillId="0" borderId="76" xfId="0" applyNumberFormat="1" applyFont="1" applyFill="1" applyBorder="1" applyProtection="1"/>
    <xf numFmtId="171" fontId="9" fillId="0" borderId="77" xfId="0" applyNumberFormat="1" applyFont="1" applyFill="1" applyBorder="1" applyProtection="1"/>
    <xf numFmtId="171" fontId="9" fillId="0" borderId="82" xfId="0" applyNumberFormat="1" applyFont="1" applyFill="1" applyBorder="1" applyProtection="1"/>
    <xf numFmtId="171" fontId="9" fillId="0" borderId="82" xfId="0" applyNumberFormat="1" applyFont="1" applyBorder="1"/>
    <xf numFmtId="171" fontId="8" fillId="0" borderId="0" xfId="0" applyNumberFormat="1" applyFont="1" applyFill="1" applyBorder="1" applyProtection="1"/>
    <xf numFmtId="171" fontId="8" fillId="0" borderId="83" xfId="0" applyNumberFormat="1" applyFont="1" applyFill="1" applyBorder="1" applyProtection="1"/>
    <xf numFmtId="171" fontId="8" fillId="0" borderId="16" xfId="29" applyNumberFormat="1" applyFont="1" applyFill="1" applyBorder="1" applyProtection="1"/>
    <xf numFmtId="172" fontId="8" fillId="0" borderId="20" xfId="0" applyNumberFormat="1" applyFont="1" applyFill="1" applyBorder="1" applyProtection="1"/>
    <xf numFmtId="172" fontId="8" fillId="0" borderId="39"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2" fontId="8" fillId="0" borderId="22" xfId="0" applyNumberFormat="1" applyFont="1" applyFill="1" applyBorder="1" applyProtection="1"/>
    <xf numFmtId="171" fontId="8" fillId="36" borderId="36" xfId="0" applyNumberFormat="1" applyFont="1" applyFill="1" applyBorder="1" applyProtection="1">
      <protection locked="0"/>
    </xf>
    <xf numFmtId="171" fontId="8" fillId="36" borderId="20" xfId="0" applyNumberFormat="1" applyFont="1" applyFill="1" applyBorder="1" applyProtection="1">
      <protection locked="0"/>
    </xf>
    <xf numFmtId="171" fontId="8" fillId="36" borderId="22" xfId="0" applyNumberFormat="1" applyFont="1" applyFill="1" applyBorder="1" applyProtection="1">
      <protection locked="0"/>
    </xf>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1"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59" fillId="37" borderId="0" xfId="0" applyFont="1" applyFill="1" applyProtection="1"/>
    <xf numFmtId="0" fontId="60" fillId="37" borderId="0" xfId="0" applyFont="1" applyFill="1" applyAlignment="1" applyProtection="1">
      <alignment horizontal="right"/>
    </xf>
    <xf numFmtId="0" fontId="53" fillId="37" borderId="0" xfId="0" applyFont="1" applyFill="1" applyProtection="1"/>
    <xf numFmtId="0" fontId="61" fillId="37" borderId="0" xfId="0" applyFont="1" applyFill="1" applyProtection="1"/>
    <xf numFmtId="0" fontId="62" fillId="37" borderId="0" xfId="0" applyFont="1" applyFill="1" applyAlignment="1" applyProtection="1">
      <alignment horizontal="right"/>
    </xf>
    <xf numFmtId="0" fontId="54" fillId="36" borderId="75" xfId="0" applyFont="1" applyFill="1" applyBorder="1" applyProtection="1">
      <protection locked="0"/>
    </xf>
    <xf numFmtId="0" fontId="61" fillId="37" borderId="0" xfId="0" applyFont="1" applyFill="1" applyProtection="1">
      <protection locked="0"/>
    </xf>
    <xf numFmtId="49" fontId="61"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1" fillId="37" borderId="10" xfId="0" applyFont="1" applyFill="1" applyBorder="1" applyAlignment="1" applyProtection="1">
      <alignment horizontal="left" indent="1"/>
      <protection locked="0"/>
    </xf>
    <xf numFmtId="49" fontId="62" fillId="37" borderId="0" xfId="0" applyNumberFormat="1" applyFont="1" applyFill="1" applyAlignment="1" applyProtection="1">
      <alignment horizontal="right"/>
    </xf>
    <xf numFmtId="0" fontId="61"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1"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6"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7"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7" fillId="36" borderId="70" xfId="0" applyFont="1" applyFill="1" applyBorder="1" applyAlignment="1" applyProtection="1">
      <alignment horizontal="justify" vertical="top" wrapText="1"/>
      <protection locked="0"/>
    </xf>
    <xf numFmtId="0" fontId="18" fillId="0" borderId="0" xfId="37"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36" borderId="70" xfId="0" applyFont="1" applyFill="1" applyBorder="1" applyAlignment="1" applyProtection="1">
      <alignment horizontal="left" vertical="top" wrapText="1"/>
      <protection locked="0"/>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3"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3"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8" fillId="36" borderId="71" xfId="0" applyNumberFormat="1" applyFont="1" applyFill="1" applyBorder="1" applyAlignment="1" applyProtection="1">
      <alignment horizontal="justify" wrapText="1"/>
      <protection locked="0"/>
    </xf>
    <xf numFmtId="0" fontId="18" fillId="0" borderId="10" xfId="0" applyFont="1" applyBorder="1" applyAlignment="1" applyProtection="1">
      <alignment horizontal="justify" wrapText="1"/>
    </xf>
    <xf numFmtId="0" fontId="18" fillId="36" borderId="70" xfId="0" applyFont="1" applyFill="1" applyBorder="1" applyAlignment="1" applyProtection="1">
      <alignment horizontal="justify" wrapText="1"/>
      <protection locked="0"/>
    </xf>
    <xf numFmtId="0" fontId="7" fillId="0" borderId="0" xfId="0" applyFont="1" applyBorder="1" applyProtection="1"/>
    <xf numFmtId="0" fontId="7" fillId="0" borderId="0" xfId="0" quotePrefix="1" applyNumberFormat="1" applyFont="1" applyBorder="1" applyProtection="1"/>
    <xf numFmtId="0" fontId="18" fillId="0" borderId="0" xfId="0" applyFont="1" applyBorder="1" applyProtection="1"/>
    <xf numFmtId="0" fontId="7" fillId="0" borderId="80" xfId="0" applyFont="1" applyBorder="1" applyAlignment="1" applyProtection="1">
      <alignment horizontal="left"/>
    </xf>
    <xf numFmtId="0" fontId="18" fillId="0" borderId="0" xfId="0" applyFont="1" applyBorder="1"/>
    <xf numFmtId="0" fontId="18" fillId="0" borderId="10" xfId="0" applyFont="1" applyFill="1" applyBorder="1" applyAlignment="1" applyProtection="1">
      <alignment horizontal="justify" wrapText="1"/>
    </xf>
    <xf numFmtId="0" fontId="18" fillId="0" borderId="70" xfId="0" applyFont="1" applyFill="1" applyBorder="1" applyAlignment="1" applyProtection="1">
      <alignment horizontal="justify" wrapText="1"/>
      <protection locked="0"/>
    </xf>
    <xf numFmtId="0" fontId="12" fillId="0" borderId="0" xfId="0" applyFont="1" applyProtection="1">
      <protection hidden="1"/>
    </xf>
    <xf numFmtId="0" fontId="18" fillId="0" borderId="0" xfId="37" applyFont="1" applyAlignment="1" applyProtection="1">
      <protection hidden="1"/>
    </xf>
    <xf numFmtId="0" fontId="58" fillId="0" borderId="0" xfId="37"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7"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5" fontId="8" fillId="24" borderId="36" xfId="29" applyNumberFormat="1" applyFont="1" applyFill="1" applyBorder="1" applyAlignment="1" applyProtection="1">
      <alignment horizontal="left" vertical="top" wrapText="1"/>
      <protection locked="0"/>
    </xf>
    <xf numFmtId="2" fontId="8" fillId="24" borderId="36"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left" vertical="top" wrapText="1"/>
      <protection locked="0"/>
    </xf>
    <xf numFmtId="172" fontId="8" fillId="24" borderId="36" xfId="29" applyNumberFormat="1" applyFont="1" applyFill="1" applyBorder="1" applyAlignment="1" applyProtection="1">
      <alignment horizontal="left" vertical="top" wrapText="1"/>
      <protection locked="0"/>
    </xf>
    <xf numFmtId="172" fontId="8" fillId="0" borderId="36" xfId="29" applyNumberFormat="1" applyFont="1" applyFill="1" applyBorder="1" applyAlignment="1" applyProtection="1">
      <alignment horizontal="left" vertical="top" wrapText="1"/>
    </xf>
    <xf numFmtId="172" fontId="8" fillId="24" borderId="36" xfId="43" applyNumberFormat="1" applyFont="1" applyFill="1" applyBorder="1" applyAlignment="1" applyProtection="1">
      <alignment horizontal="center" vertical="top" wrapText="1"/>
      <protection locked="0"/>
    </xf>
    <xf numFmtId="172" fontId="8" fillId="24" borderId="22" xfId="29"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30" xfId="0" applyFont="1" applyFill="1" applyBorder="1" applyAlignment="1">
      <alignment vertical="center" wrapText="1"/>
    </xf>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NumberFormat="1" applyFont="1" applyProtection="1"/>
    <xf numFmtId="0" fontId="41" fillId="0" borderId="0" xfId="0" applyFont="1" applyAlignment="1" applyProtection="1">
      <alignment vertical="center"/>
    </xf>
    <xf numFmtId="0" fontId="41" fillId="0" borderId="0" xfId="0" applyFont="1" applyProtection="1"/>
    <xf numFmtId="0" fontId="0"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2" fontId="9" fillId="24" borderId="39" xfId="29"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2" fontId="9" fillId="24" borderId="25" xfId="29"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0" fontId="12" fillId="24" borderId="38" xfId="0" applyNumberFormat="1" applyFont="1" applyFill="1" applyBorder="1" applyAlignment="1" applyProtection="1">
      <alignment horizontal="center"/>
      <protection locked="0"/>
    </xf>
    <xf numFmtId="0" fontId="12" fillId="24" borderId="53" xfId="0" applyNumberFormat="1" applyFont="1" applyFill="1" applyBorder="1" applyAlignment="1" applyProtection="1">
      <alignment horizontal="center"/>
      <protection locked="0"/>
    </xf>
    <xf numFmtId="167" fontId="8" fillId="0" borderId="20" xfId="43" applyNumberFormat="1" applyFont="1" applyFill="1" applyBorder="1" applyAlignment="1" applyProtection="1">
      <alignment horizontal="center" vertical="top" wrapText="1"/>
      <protection locked="0"/>
    </xf>
    <xf numFmtId="167" fontId="12" fillId="0" borderId="16" xfId="43" applyNumberFormat="1" applyFont="1" applyFill="1" applyBorder="1" applyAlignment="1">
      <alignment horizontal="center" vertical="top" wrapText="1"/>
    </xf>
    <xf numFmtId="0" fontId="8" fillId="0" borderId="0" xfId="0" applyFont="1" applyFill="1" applyAlignment="1">
      <alignment horizontal="right"/>
    </xf>
    <xf numFmtId="171" fontId="8" fillId="0" borderId="0" xfId="0" applyNumberFormat="1" applyFont="1" applyFill="1"/>
    <xf numFmtId="172" fontId="8" fillId="24" borderId="58" xfId="29" applyNumberFormat="1" applyFont="1" applyFill="1" applyBorder="1" applyAlignment="1" applyProtection="1">
      <alignment horizontal="left" vertical="top" wrapText="1"/>
      <protection locked="0"/>
    </xf>
    <xf numFmtId="172" fontId="8" fillId="24" borderId="39" xfId="29" applyNumberFormat="1" applyFont="1" applyFill="1" applyBorder="1" applyAlignment="1" applyProtection="1">
      <alignment horizontal="left" vertical="top" wrapText="1"/>
      <protection locked="0"/>
    </xf>
    <xf numFmtId="0" fontId="8" fillId="0" borderId="61" xfId="0" applyFont="1" applyBorder="1" applyAlignment="1" applyProtection="1">
      <alignment horizontal="center" vertical="top" wrapText="1"/>
    </xf>
    <xf numFmtId="172" fontId="8" fillId="24" borderId="38" xfId="29" applyNumberFormat="1" applyFont="1" applyFill="1" applyBorder="1" applyAlignment="1" applyProtection="1">
      <alignment horizontal="left" vertical="top" wrapText="1"/>
      <protection locked="0"/>
    </xf>
    <xf numFmtId="172" fontId="8" fillId="24" borderId="40" xfId="29" applyNumberFormat="1" applyFont="1" applyFill="1" applyBorder="1" applyAlignment="1" applyProtection="1">
      <alignment horizontal="left" vertical="top" wrapText="1"/>
      <protection locked="0"/>
    </xf>
    <xf numFmtId="0" fontId="13" fillId="0" borderId="81" xfId="0" applyFont="1" applyBorder="1"/>
    <xf numFmtId="0" fontId="12" fillId="0" borderId="81" xfId="0" applyFont="1" applyBorder="1" applyAlignment="1">
      <alignment horizontal="center"/>
    </xf>
    <xf numFmtId="168"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1" fontId="9" fillId="0" borderId="86" xfId="0" applyNumberFormat="1" applyFont="1" applyBorder="1"/>
    <xf numFmtId="171" fontId="8" fillId="24" borderId="22" xfId="0" applyNumberFormat="1" applyFont="1" applyFill="1" applyBorder="1" applyAlignment="1" applyProtection="1">
      <alignment horizontal="center"/>
      <protection locked="0"/>
    </xf>
    <xf numFmtId="167" fontId="8" fillId="24" borderId="19" xfId="43" applyNumberFormat="1" applyFont="1" applyFill="1" applyBorder="1" applyAlignment="1" applyProtection="1">
      <alignment horizontal="right" vertical="top" wrapText="1"/>
      <protection locked="0"/>
    </xf>
    <xf numFmtId="167" fontId="8" fillId="24" borderId="20" xfId="43" applyNumberFormat="1" applyFont="1" applyFill="1" applyBorder="1" applyAlignment="1" applyProtection="1">
      <alignment horizontal="right" vertical="top" wrapText="1"/>
      <protection locked="0"/>
    </xf>
    <xf numFmtId="167" fontId="8" fillId="24" borderId="21" xfId="43"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20" xfId="29" applyNumberFormat="1" applyFont="1" applyFill="1" applyBorder="1" applyProtection="1">
      <protection locked="0"/>
    </xf>
    <xf numFmtId="0" fontId="8" fillId="24" borderId="39" xfId="29" applyNumberFormat="1" applyFont="1" applyFill="1" applyBorder="1" applyProtection="1">
      <protection locked="0"/>
    </xf>
    <xf numFmtId="167" fontId="8" fillId="0" borderId="10" xfId="43" applyNumberFormat="1" applyFont="1" applyFill="1" applyBorder="1" applyAlignment="1" applyProtection="1">
      <alignment horizontal="center" vertical="top" wrapText="1"/>
    </xf>
    <xf numFmtId="167" fontId="8" fillId="0" borderId="22" xfId="43" applyNumberFormat="1" applyFont="1" applyFill="1" applyBorder="1" applyAlignment="1" applyProtection="1">
      <alignment horizontal="center" vertical="top" wrapText="1"/>
    </xf>
    <xf numFmtId="171" fontId="8" fillId="24" borderId="60" xfId="0" applyNumberFormat="1" applyFont="1" applyFill="1" applyBorder="1" applyProtection="1">
      <protection locked="0"/>
    </xf>
    <xf numFmtId="171" fontId="8" fillId="24" borderId="28" xfId="0" applyNumberFormat="1" applyFont="1" applyFill="1" applyBorder="1" applyProtection="1">
      <protection locked="0"/>
    </xf>
    <xf numFmtId="171" fontId="8" fillId="24" borderId="46" xfId="0" applyNumberFormat="1" applyFont="1" applyFill="1" applyBorder="1" applyProtection="1">
      <protection locked="0"/>
    </xf>
    <xf numFmtId="171" fontId="8" fillId="24" borderId="79" xfId="0" applyNumberFormat="1" applyFont="1" applyFill="1" applyBorder="1" applyProtection="1">
      <protection locked="0"/>
    </xf>
    <xf numFmtId="171" fontId="8" fillId="24" borderId="10" xfId="0" applyNumberFormat="1" applyFont="1" applyFill="1" applyBorder="1" applyProtection="1">
      <protection locked="0"/>
    </xf>
    <xf numFmtId="171" fontId="8" fillId="24" borderId="0" xfId="0" applyNumberFormat="1" applyFont="1" applyFill="1" applyBorder="1" applyProtection="1">
      <protection locked="0"/>
    </xf>
    <xf numFmtId="171" fontId="8" fillId="24" borderId="11" xfId="0" applyNumberFormat="1" applyFont="1" applyFill="1" applyBorder="1" applyProtection="1">
      <protection locked="0"/>
    </xf>
    <xf numFmtId="171" fontId="8" fillId="24" borderId="72" xfId="0" applyNumberFormat="1" applyFont="1" applyFill="1" applyBorder="1" applyProtection="1">
      <protection locked="0"/>
    </xf>
    <xf numFmtId="171" fontId="8" fillId="24" borderId="70" xfId="0" applyNumberFormat="1" applyFont="1" applyFill="1" applyBorder="1" applyProtection="1">
      <protection locked="0"/>
    </xf>
    <xf numFmtId="171" fontId="8" fillId="24" borderId="23" xfId="0" applyNumberFormat="1" applyFont="1" applyFill="1" applyBorder="1" applyProtection="1">
      <protection locked="0"/>
    </xf>
    <xf numFmtId="171" fontId="8" fillId="24" borderId="81" xfId="0" applyNumberFormat="1" applyFont="1" applyFill="1" applyBorder="1" applyProtection="1">
      <protection locked="0"/>
    </xf>
    <xf numFmtId="171" fontId="8" fillId="24" borderId="71" xfId="0" applyNumberFormat="1" applyFont="1" applyFill="1" applyBorder="1" applyProtection="1">
      <protection locked="0"/>
    </xf>
    <xf numFmtId="0" fontId="8" fillId="0" borderId="19" xfId="0" applyFont="1" applyBorder="1" applyAlignment="1">
      <alignment horizontal="left" vertical="center" wrapText="1"/>
    </xf>
    <xf numFmtId="171" fontId="8" fillId="0" borderId="70" xfId="0" applyNumberFormat="1" applyFont="1" applyFill="1" applyBorder="1" applyProtection="1">
      <protection locked="0"/>
    </xf>
    <xf numFmtId="0" fontId="12" fillId="36" borderId="10" xfId="0" applyFont="1" applyFill="1" applyBorder="1" applyAlignment="1" applyProtection="1">
      <alignment horizontal="left" indent="1"/>
      <protection locked="0"/>
    </xf>
    <xf numFmtId="0" fontId="8" fillId="36" borderId="10"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1" fontId="63" fillId="0" borderId="16" xfId="0" applyNumberFormat="1" applyFont="1" applyBorder="1"/>
    <xf numFmtId="171" fontId="63" fillId="0" borderId="18" xfId="0" applyNumberFormat="1" applyFont="1" applyBorder="1"/>
    <xf numFmtId="171" fontId="9" fillId="0" borderId="81"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1" fontId="9" fillId="0" borderId="15" xfId="0" applyNumberFormat="1" applyFont="1" applyBorder="1" applyAlignment="1">
      <alignment vertical="top"/>
    </xf>
    <xf numFmtId="171" fontId="9" fillId="0" borderId="16" xfId="0" applyNumberFormat="1" applyFont="1" applyBorder="1" applyAlignment="1">
      <alignment vertical="top"/>
    </xf>
    <xf numFmtId="171" fontId="9" fillId="0" borderId="18" xfId="0" applyNumberFormat="1" applyFont="1" applyBorder="1" applyAlignment="1">
      <alignment vertical="top"/>
    </xf>
    <xf numFmtId="0" fontId="8" fillId="0" borderId="21" xfId="0" applyFont="1" applyBorder="1" applyAlignment="1">
      <alignment horizontal="left" vertical="top" wrapText="1"/>
    </xf>
    <xf numFmtId="171" fontId="8" fillId="24" borderId="21" xfId="0" applyNumberFormat="1" applyFont="1" applyFill="1" applyBorder="1" applyAlignment="1" applyProtection="1">
      <alignment horizontal="right"/>
      <protection locked="0"/>
    </xf>
    <xf numFmtId="0" fontId="8" fillId="0" borderId="63"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7" fontId="8" fillId="24" borderId="53" xfId="43" applyNumberFormat="1" applyFont="1" applyFill="1" applyBorder="1" applyAlignment="1" applyProtection="1">
      <alignment horizontal="center" vertical="top" wrapText="1"/>
      <protection locked="0"/>
    </xf>
    <xf numFmtId="169" fontId="8" fillId="0" borderId="25" xfId="43" applyNumberFormat="1" applyFont="1" applyFill="1" applyBorder="1" applyAlignment="1">
      <alignment horizontal="center" vertical="top" wrapText="1"/>
    </xf>
    <xf numFmtId="169" fontId="8" fillId="0" borderId="26" xfId="43" applyNumberFormat="1" applyFont="1" applyFill="1" applyBorder="1" applyAlignment="1">
      <alignment horizontal="center" vertical="top" wrapText="1"/>
    </xf>
    <xf numFmtId="169" fontId="8" fillId="0" borderId="27" xfId="43"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1" fontId="18" fillId="0" borderId="60"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9"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1" fontId="18" fillId="0" borderId="30" xfId="0" applyNumberFormat="1" applyFont="1" applyFill="1" applyBorder="1" applyProtection="1">
      <protection locked="0"/>
    </xf>
    <xf numFmtId="171" fontId="18" fillId="0" borderId="32" xfId="0" applyNumberFormat="1" applyFont="1" applyFill="1" applyBorder="1" applyProtection="1">
      <protection locked="0"/>
    </xf>
    <xf numFmtId="171" fontId="9" fillId="0" borderId="28" xfId="0" applyNumberFormat="1" applyFont="1" applyFill="1" applyBorder="1" applyProtection="1"/>
    <xf numFmtId="171" fontId="9" fillId="0" borderId="30" xfId="0" applyNumberFormat="1" applyFont="1" applyFill="1" applyBorder="1" applyProtection="1"/>
    <xf numFmtId="171" fontId="9" fillId="0" borderId="46" xfId="0" applyNumberFormat="1" applyFont="1" applyFill="1" applyBorder="1" applyProtection="1"/>
    <xf numFmtId="171" fontId="9" fillId="0" borderId="29" xfId="0" applyNumberFormat="1" applyFont="1" applyFill="1" applyBorder="1" applyProtection="1"/>
    <xf numFmtId="171"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1" fontId="9" fillId="0" borderId="0" xfId="0" applyNumberFormat="1" applyFont="1" applyFill="1" applyBorder="1" applyProtection="1"/>
    <xf numFmtId="171" fontId="8" fillId="0" borderId="10" xfId="0" applyNumberFormat="1" applyFont="1" applyFill="1" applyBorder="1" applyProtection="1"/>
    <xf numFmtId="171" fontId="8" fillId="0" borderId="19" xfId="0" applyNumberFormat="1" applyFont="1" applyFill="1" applyBorder="1" applyProtection="1"/>
    <xf numFmtId="171" fontId="8" fillId="0" borderId="70" xfId="0" applyNumberFormat="1" applyFont="1" applyFill="1" applyBorder="1" applyProtection="1"/>
    <xf numFmtId="0" fontId="8" fillId="0" borderId="0" xfId="0" applyNumberFormat="1" applyFont="1" applyBorder="1" applyAlignment="1" applyProtection="1">
      <alignment horizontal="left" indent="1"/>
    </xf>
    <xf numFmtId="172" fontId="8" fillId="36" borderId="19"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70" xfId="0" applyNumberFormat="1" applyFont="1" applyFill="1" applyBorder="1" applyProtection="1">
      <protection locked="0"/>
    </xf>
    <xf numFmtId="172" fontId="8" fillId="36" borderId="10" xfId="0" applyNumberFormat="1" applyFont="1" applyFill="1" applyBorder="1" applyProtection="1">
      <protection locked="0"/>
    </xf>
    <xf numFmtId="172"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2" fontId="8" fillId="0" borderId="15" xfId="0" applyNumberFormat="1" applyFont="1" applyFill="1" applyBorder="1" applyProtection="1"/>
    <xf numFmtId="172" fontId="8" fillId="0" borderId="87" xfId="0" applyNumberFormat="1" applyFont="1" applyFill="1" applyBorder="1" applyProtection="1"/>
    <xf numFmtId="172" fontId="8" fillId="0" borderId="65" xfId="0" applyNumberFormat="1" applyFont="1" applyFill="1" applyBorder="1" applyProtection="1"/>
    <xf numFmtId="172" fontId="8" fillId="0" borderId="68" xfId="0" applyNumberFormat="1" applyFont="1" applyFill="1" applyBorder="1" applyProtection="1"/>
    <xf numFmtId="172" fontId="8" fillId="0" borderId="64" xfId="0" applyNumberFormat="1" applyFont="1" applyFill="1" applyBorder="1" applyProtection="1"/>
    <xf numFmtId="172" fontId="8" fillId="0" borderId="88" xfId="0" applyNumberFormat="1" applyFont="1" applyFill="1" applyBorder="1" applyProtection="1"/>
    <xf numFmtId="172" fontId="8" fillId="0" borderId="57" xfId="0" applyNumberFormat="1" applyFont="1" applyFill="1" applyBorder="1" applyProtection="1"/>
    <xf numFmtId="172" fontId="8" fillId="0" borderId="73" xfId="0" applyNumberFormat="1" applyFont="1" applyFill="1" applyBorder="1" applyProtection="1"/>
    <xf numFmtId="0" fontId="9" fillId="0" borderId="0" xfId="0" applyNumberFormat="1" applyFont="1" applyBorder="1" applyAlignment="1" applyProtection="1">
      <alignment horizontal="left"/>
    </xf>
    <xf numFmtId="172" fontId="9" fillId="0" borderId="15" xfId="0" applyNumberFormat="1" applyFont="1" applyFill="1" applyBorder="1" applyProtection="1"/>
    <xf numFmtId="172" fontId="9" fillId="0" borderId="87" xfId="0" applyNumberFormat="1" applyFont="1" applyFill="1" applyBorder="1" applyProtection="1"/>
    <xf numFmtId="172" fontId="9" fillId="0" borderId="65" xfId="0" applyNumberFormat="1" applyFont="1" applyFill="1" applyBorder="1" applyProtection="1"/>
    <xf numFmtId="172" fontId="9" fillId="0" borderId="68" xfId="0" applyNumberFormat="1" applyFont="1" applyFill="1" applyBorder="1" applyProtection="1"/>
    <xf numFmtId="172" fontId="8" fillId="0" borderId="19" xfId="0" applyNumberFormat="1" applyFont="1" applyFill="1" applyBorder="1" applyProtection="1"/>
    <xf numFmtId="172" fontId="8" fillId="0" borderId="0" xfId="0" applyNumberFormat="1" applyFont="1" applyFill="1" applyBorder="1" applyProtection="1"/>
    <xf numFmtId="172" fontId="8" fillId="0" borderId="10" xfId="0" applyNumberFormat="1" applyFont="1" applyFill="1" applyBorder="1" applyProtection="1"/>
    <xf numFmtId="172" fontId="8" fillId="0" borderId="70" xfId="0" applyNumberFormat="1" applyFont="1" applyFill="1" applyBorder="1" applyProtection="1"/>
    <xf numFmtId="172" fontId="8" fillId="36" borderId="58" xfId="0" applyNumberFormat="1" applyFont="1" applyFill="1" applyBorder="1" applyProtection="1">
      <protection locked="0"/>
    </xf>
    <xf numFmtId="172" fontId="8" fillId="36" borderId="39" xfId="0" applyNumberFormat="1" applyFont="1" applyFill="1" applyBorder="1" applyProtection="1">
      <protection locked="0"/>
    </xf>
    <xf numFmtId="172" fontId="8" fillId="36" borderId="89" xfId="0" applyNumberFormat="1" applyFont="1" applyFill="1" applyBorder="1" applyProtection="1">
      <protection locked="0"/>
    </xf>
    <xf numFmtId="172" fontId="8" fillId="36" borderId="37" xfId="0" applyNumberFormat="1" applyFont="1" applyFill="1" applyBorder="1" applyProtection="1">
      <protection locked="0"/>
    </xf>
    <xf numFmtId="172"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1" fontId="8" fillId="0" borderId="58" xfId="0" applyNumberFormat="1" applyFont="1" applyFill="1" applyBorder="1" applyProtection="1"/>
    <xf numFmtId="171" fontId="8" fillId="0" borderId="89" xfId="0" applyNumberFormat="1" applyFont="1" applyFill="1" applyBorder="1" applyProtection="1"/>
    <xf numFmtId="171" fontId="8" fillId="0" borderId="37" xfId="0" applyNumberFormat="1" applyFont="1" applyFill="1" applyBorder="1" applyProtection="1"/>
    <xf numFmtId="171" fontId="8" fillId="0" borderId="90" xfId="0" applyNumberFormat="1" applyFont="1" applyFill="1" applyBorder="1" applyProtection="1"/>
    <xf numFmtId="171" fontId="9" fillId="36" borderId="14" xfId="0" applyNumberFormat="1" applyFont="1" applyFill="1" applyBorder="1" applyProtection="1">
      <protection locked="0"/>
    </xf>
    <xf numFmtId="171" fontId="9" fillId="36" borderId="11" xfId="0" applyNumberFormat="1" applyFont="1" applyFill="1" applyBorder="1" applyProtection="1">
      <protection locked="0"/>
    </xf>
    <xf numFmtId="171" fontId="9" fillId="36" borderId="0" xfId="0" applyNumberFormat="1" applyFont="1" applyFill="1" applyBorder="1" applyProtection="1">
      <protection locked="0"/>
    </xf>
    <xf numFmtId="171"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1" fontId="8" fillId="0" borderId="24" xfId="0" applyNumberFormat="1" applyFont="1" applyFill="1" applyBorder="1" applyProtection="1"/>
    <xf numFmtId="171" fontId="8" fillId="0" borderId="25" xfId="0" applyNumberFormat="1" applyFont="1" applyFill="1" applyBorder="1" applyProtection="1"/>
    <xf numFmtId="171" fontId="8" fillId="0" borderId="72" xfId="0" applyNumberFormat="1" applyFont="1" applyFill="1" applyBorder="1" applyProtection="1"/>
    <xf numFmtId="171" fontId="8" fillId="0" borderId="23" xfId="0" applyNumberFormat="1" applyFont="1" applyFill="1" applyBorder="1" applyProtection="1"/>
    <xf numFmtId="171"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7"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8" fillId="36" borderId="10" xfId="0" applyNumberFormat="1" applyFont="1" applyFill="1" applyBorder="1" applyAlignment="1" applyProtection="1">
      <alignment horizontal="left" wrapText="1" indent="2"/>
      <protection locked="0"/>
    </xf>
    <xf numFmtId="0" fontId="9" fillId="0" borderId="24" xfId="0" applyFont="1" applyBorder="1" applyAlignment="1">
      <alignment vertical="center" wrapText="1"/>
    </xf>
    <xf numFmtId="9" fontId="8" fillId="0" borderId="0" xfId="43" applyFont="1" applyFill="1" applyBorder="1" applyAlignment="1" applyProtection="1">
      <alignment horizontal="center"/>
    </xf>
    <xf numFmtId="3" fontId="18" fillId="36" borderId="71" xfId="0" applyNumberFormat="1" applyFont="1" applyFill="1" applyBorder="1" applyAlignment="1" applyProtection="1">
      <alignment horizontal="justify" wrapText="1"/>
      <protection locked="0"/>
    </xf>
    <xf numFmtId="0" fontId="2" fillId="36" borderId="71" xfId="36" applyNumberFormat="1" applyFill="1" applyBorder="1" applyAlignment="1" applyProtection="1">
      <alignment horizontal="justify" wrapText="1"/>
      <protection locked="0"/>
    </xf>
    <xf numFmtId="0" fontId="2" fillId="36" borderId="71" xfId="36" applyFill="1" applyBorder="1" applyAlignment="1" applyProtection="1">
      <alignment horizontal="justify" wrapText="1"/>
      <protection locked="0"/>
    </xf>
    <xf numFmtId="171" fontId="8" fillId="36" borderId="20" xfId="0" applyNumberFormat="1" applyFont="1" applyFill="1" applyBorder="1" applyProtection="1">
      <protection locked="0"/>
    </xf>
    <xf numFmtId="171" fontId="8" fillId="36" borderId="70"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70"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70"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70"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70"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70"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70" xfId="0" applyNumberFormat="1" applyFont="1" applyFill="1" applyBorder="1" applyProtection="1">
      <protection locked="0"/>
    </xf>
    <xf numFmtId="172" fontId="8" fillId="36" borderId="39" xfId="0" applyNumberFormat="1" applyFont="1" applyFill="1" applyBorder="1" applyProtection="1">
      <protection locked="0"/>
    </xf>
    <xf numFmtId="172" fontId="8" fillId="36" borderId="89"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70"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39" xfId="0" applyNumberFormat="1" applyFont="1" applyFill="1" applyBorder="1" applyProtection="1">
      <protection locked="0"/>
    </xf>
    <xf numFmtId="172" fontId="8" fillId="36" borderId="22" xfId="0" applyNumberFormat="1" applyFont="1" applyFill="1" applyBorder="1" applyProtection="1">
      <protection locked="0"/>
    </xf>
    <xf numFmtId="172" fontId="8" fillId="36" borderId="40" xfId="0" applyNumberFormat="1" applyFont="1" applyFill="1" applyBorder="1" applyProtection="1">
      <protection locked="0"/>
    </xf>
    <xf numFmtId="171" fontId="8" fillId="36" borderId="20" xfId="0" applyNumberFormat="1" applyFont="1" applyFill="1" applyBorder="1" applyProtection="1">
      <protection locked="0"/>
    </xf>
    <xf numFmtId="171" fontId="8" fillId="36" borderId="70"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70" xfId="0" applyNumberFormat="1" applyFont="1" applyFill="1" applyBorder="1" applyProtection="1">
      <protection locked="0"/>
    </xf>
    <xf numFmtId="172" fontId="8" fillId="36" borderId="39" xfId="0" applyNumberFormat="1" applyFont="1" applyFill="1" applyBorder="1" applyProtection="1">
      <protection locked="0"/>
    </xf>
    <xf numFmtId="172" fontId="8" fillId="36" borderId="89" xfId="0" applyNumberFormat="1" applyFont="1" applyFill="1" applyBorder="1" applyProtection="1">
      <protection locked="0"/>
    </xf>
    <xf numFmtId="171" fontId="8" fillId="24" borderId="20" xfId="0" applyNumberFormat="1" applyFont="1" applyFill="1" applyBorder="1" applyProtection="1">
      <protection locked="0"/>
    </xf>
    <xf numFmtId="0" fontId="42" fillId="0" borderId="0" xfId="0" applyFont="1" applyFill="1" applyAlignment="1" applyProtection="1">
      <alignment horizontal="left" indent="1"/>
      <protection locked="0"/>
    </xf>
    <xf numFmtId="171" fontId="8" fillId="36" borderId="10" xfId="0" applyNumberFormat="1" applyFont="1" applyFill="1" applyBorder="1" applyAlignment="1" applyProtection="1">
      <alignment horizontal="right"/>
      <protection locked="0"/>
    </xf>
    <xf numFmtId="165" fontId="8" fillId="0" borderId="0" xfId="29" applyNumberFormat="1" applyFont="1" applyProtection="1">
      <protection locked="0"/>
    </xf>
    <xf numFmtId="171" fontId="8" fillId="36" borderId="19" xfId="49" applyNumberFormat="1" applyFont="1" applyFill="1" applyBorder="1" applyAlignment="1" applyProtection="1">
      <protection locked="0"/>
    </xf>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0" fontId="7" fillId="0" borderId="80" xfId="0" applyFont="1" applyBorder="1" applyAlignment="1" applyProtection="1">
      <alignment horizontal="justify" wrapText="1"/>
    </xf>
    <xf numFmtId="0" fontId="18" fillId="0" borderId="71" xfId="0" applyFont="1" applyBorder="1" applyAlignment="1">
      <alignment horizontal="justify" wrapText="1"/>
    </xf>
    <xf numFmtId="0" fontId="7" fillId="0" borderId="10" xfId="0" applyFont="1" applyFill="1" applyBorder="1" applyAlignment="1" applyProtection="1">
      <alignment horizontal="justify" wrapText="1"/>
    </xf>
    <xf numFmtId="0" fontId="18" fillId="0" borderId="70" xfId="0" applyFont="1" applyFill="1" applyBorder="1" applyAlignment="1">
      <alignment horizontal="justify" wrapText="1"/>
    </xf>
    <xf numFmtId="0" fontId="7" fillId="0" borderId="28" xfId="0" applyFont="1" applyFill="1" applyBorder="1" applyAlignment="1" applyProtection="1">
      <alignment horizontal="justify" wrapText="1"/>
    </xf>
    <xf numFmtId="0" fontId="18" fillId="0" borderId="79" xfId="0" applyFont="1" applyFill="1" applyBorder="1" applyAlignment="1">
      <alignment horizontal="justify" wrapText="1"/>
    </xf>
    <xf numFmtId="0" fontId="55" fillId="0" borderId="94" xfId="0" applyFont="1" applyBorder="1" applyAlignment="1" applyProtection="1">
      <alignment horizontal="justify" vertical="center" wrapText="1"/>
    </xf>
    <xf numFmtId="0" fontId="56" fillId="0" borderId="95" xfId="0" applyFont="1" applyBorder="1" applyAlignment="1">
      <alignment horizontal="justify" vertical="center" wrapText="1"/>
    </xf>
    <xf numFmtId="0" fontId="7" fillId="0" borderId="94" xfId="0" applyFont="1" applyBorder="1" applyAlignment="1" applyProtection="1">
      <alignment horizontal="justify" vertical="center" wrapText="1"/>
    </xf>
    <xf numFmtId="0" fontId="18" fillId="0" borderId="95" xfId="0" applyFont="1" applyBorder="1" applyAlignment="1">
      <alignment horizontal="justify" vertical="center"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6" xfId="0" applyFont="1" applyBorder="1" applyAlignment="1" applyProtection="1">
      <alignment horizontal="justify" vertical="center" wrapText="1"/>
    </xf>
    <xf numFmtId="0" fontId="56" fillId="0" borderId="96" xfId="0" applyFont="1" applyBorder="1" applyAlignment="1">
      <alignment horizontal="justify" vertical="center" wrapText="1"/>
    </xf>
    <xf numFmtId="0" fontId="55" fillId="0" borderId="97" xfId="0" applyFont="1" applyBorder="1" applyAlignment="1" applyProtection="1">
      <alignment horizontal="justify" vertical="center"/>
    </xf>
    <xf numFmtId="0" fontId="18" fillId="0" borderId="98" xfId="0" applyFont="1" applyBorder="1" applyAlignment="1">
      <alignment horizontal="justify" vertical="center"/>
    </xf>
    <xf numFmtId="0" fontId="7" fillId="0" borderId="97" xfId="0" applyFont="1" applyBorder="1" applyAlignment="1" applyProtection="1">
      <alignment horizontal="justify" vertical="center" wrapText="1"/>
    </xf>
    <xf numFmtId="0" fontId="18" fillId="0" borderId="98" xfId="0" applyFont="1" applyBorder="1" applyAlignment="1">
      <alignment horizontal="justify" vertical="center" wrapText="1"/>
    </xf>
    <xf numFmtId="0" fontId="7" fillId="0" borderId="92" xfId="0" applyFont="1" applyBorder="1" applyAlignment="1" applyProtection="1">
      <alignment horizontal="justify" wrapText="1"/>
    </xf>
    <xf numFmtId="0" fontId="18" fillId="0" borderId="93" xfId="0" applyFont="1" applyBorder="1" applyAlignment="1">
      <alignment horizontal="justify"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0" fontId="9" fillId="0" borderId="6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8" fillId="0" borderId="60" xfId="0" applyFont="1" applyFill="1" applyBorder="1" applyAlignment="1">
      <alignment horizontal="center" wrapText="1"/>
    </xf>
    <xf numFmtId="0" fontId="8" fillId="0" borderId="45" xfId="0" applyFont="1" applyFill="1" applyBorder="1" applyAlignment="1">
      <alignment horizontal="center" wrapText="1"/>
    </xf>
    <xf numFmtId="171" fontId="7" fillId="38" borderId="75" xfId="0" applyNumberFormat="1" applyFont="1" applyFill="1" applyBorder="1" applyAlignment="1" applyProtection="1">
      <alignment horizontal="center" vertical="center"/>
      <protection locked="0"/>
    </xf>
    <xf numFmtId="0" fontId="9" fillId="0" borderId="13" xfId="0" applyFont="1" applyFill="1" applyBorder="1" applyAlignment="1" applyProtection="1">
      <alignment horizontal="center" vertic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49" fontId="9" fillId="0" borderId="28" xfId="0" applyNumberFormat="1" applyFont="1" applyFill="1" applyBorder="1" applyAlignment="1">
      <alignment horizontal="center" vertical="center" wrapText="1"/>
    </xf>
    <xf numFmtId="49" fontId="9" fillId="0" borderId="10" xfId="0" applyNumberFormat="1"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7" fillId="0" borderId="11" xfId="0" applyFont="1" applyFill="1" applyBorder="1" applyAlignment="1">
      <alignment horizontal="left"/>
    </xf>
  </cellXfs>
  <cellStyles count="5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9"/>
    <cellStyle name="Comma 3" xfId="48"/>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_AppA_Muncde_2010" xfId="37"/>
    <cellStyle name="Input" xfId="38" builtinId="20" customBuiltin="1"/>
    <cellStyle name="Linked Cell" xfId="39" builtinId="24" customBuiltin="1"/>
    <cellStyle name="Neutral" xfId="40" builtinId="28" customBuiltin="1"/>
    <cellStyle name="Normal" xfId="0" builtinId="0"/>
    <cellStyle name="Normal 2" xfId="50"/>
    <cellStyle name="Normal 3" xfId="51"/>
    <cellStyle name="Normal 4" xfId="52"/>
    <cellStyle name="Note" xfId="41" builtinId="10" customBuiltin="1"/>
    <cellStyle name="Output" xfId="42" builtinId="21" customBuiltin="1"/>
    <cellStyle name="Percent" xfId="43" builtinId="5"/>
    <cellStyle name="Percent 10 2" xfId="44"/>
    <cellStyle name="Percent 10 2 2" xfId="55"/>
    <cellStyle name="Percent 10 2 3" xfId="54"/>
    <cellStyle name="Percent 2" xfId="56"/>
    <cellStyle name="Percent 3" xfId="53"/>
    <cellStyle name="Title" xfId="45" builtinId="15" customBuiltin="1"/>
    <cellStyle name="Total" xfId="46" builtinId="25" customBuiltin="1"/>
    <cellStyle name="Warning Text" xfId="4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val="0"/>
</file>

<file path=xl/ctrlProps/ctrlProp2.xml><?xml version="1.0" encoding="utf-8"?>
<formControlPr xmlns="http://schemas.microsoft.com/office/spreadsheetml/2009/9/main" objectType="Drop" dropLines="2" dropStyle="combo" dx="22" fmlaLink="MuniType" fmlaRange="$X$7:$X$15" noThreeD="1" val="0"/>
</file>

<file path=xl/ctrlProps/ctrlProp3.xml><?xml version="1.0" encoding="utf-8"?>
<formControlPr xmlns="http://schemas.microsoft.com/office/spreadsheetml/2009/9/main" objectType="Drop" dropLines="6" dropStyle="combo" dx="22" fmlaLink="$X$35" fmlaRange="$X$19:$X$35" noThreeD="1" sel="8" val="7"/>
</file>

<file path=xl/ctrlProps/ctrlProp4.xml><?xml version="1.0" encoding="utf-8"?>
<formControlPr xmlns="http://schemas.microsoft.com/office/spreadsheetml/2009/9/main" objectType="Drop" dropLines="10" dropStyle="combo" dx="22" fmlaLink="'Lookup and lists'!$B$27" fmlaRange="'Lookup and lists'!$B$29:$B$312" noThreeD="1" sel="158" val="151"/>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68302" name="Group 29"/>
        <xdr:cNvGrpSpPr>
          <a:grpSpLocks/>
        </xdr:cNvGrpSpPr>
      </xdr:nvGrpSpPr>
      <xdr:grpSpPr bwMode="auto">
        <a:xfrm>
          <a:off x="0" y="0"/>
          <a:ext cx="8601075" cy="7191375"/>
          <a:chOff x="0" y="0"/>
          <a:chExt cx="903" cy="755"/>
        </a:xfrm>
      </xdr:grpSpPr>
      <xdr:grpSp>
        <xdr:nvGrpSpPr>
          <xdr:cNvPr id="68304" name="Group 11"/>
          <xdr:cNvGrpSpPr>
            <a:grpSpLocks/>
          </xdr:cNvGrpSpPr>
        </xdr:nvGrpSpPr>
        <xdr:grpSpPr bwMode="auto">
          <a:xfrm>
            <a:off x="0" y="0"/>
            <a:ext cx="903" cy="755"/>
            <a:chOff x="0" y="0"/>
            <a:chExt cx="791" cy="672"/>
          </a:xfrm>
        </xdr:grpSpPr>
        <xdr:grpSp>
          <xdr:nvGrpSpPr>
            <xdr:cNvPr id="68306" name="Group 12"/>
            <xdr:cNvGrpSpPr>
              <a:grpSpLocks/>
            </xdr:cNvGrpSpPr>
          </xdr:nvGrpSpPr>
          <xdr:grpSpPr bwMode="auto">
            <a:xfrm>
              <a:off x="0" y="0"/>
              <a:ext cx="791" cy="672"/>
              <a:chOff x="12" y="17"/>
              <a:chExt cx="791" cy="672"/>
            </a:xfrm>
          </xdr:grpSpPr>
          <xdr:pic>
            <xdr:nvPicPr>
              <xdr:cNvPr id="68308"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8309"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68310" name="Group 15"/>
              <xdr:cNvGrpSpPr>
                <a:grpSpLocks/>
              </xdr:cNvGrpSpPr>
            </xdr:nvGrpSpPr>
            <xdr:grpSpPr bwMode="auto">
              <a:xfrm>
                <a:off x="416" y="255"/>
                <a:ext cx="367" cy="413"/>
                <a:chOff x="416" y="255"/>
                <a:chExt cx="367" cy="413"/>
              </a:xfrm>
            </xdr:grpSpPr>
            <xdr:pic>
              <xdr:nvPicPr>
                <xdr:cNvPr id="68315"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68316" name="Group 17"/>
                <xdr:cNvGrpSpPr>
                  <a:grpSpLocks/>
                </xdr:cNvGrpSpPr>
              </xdr:nvGrpSpPr>
              <xdr:grpSpPr bwMode="auto">
                <a:xfrm>
                  <a:off x="432" y="264"/>
                  <a:ext cx="286" cy="128"/>
                  <a:chOff x="426" y="263"/>
                  <a:chExt cx="290" cy="130"/>
                </a:xfrm>
              </xdr:grpSpPr>
              <xdr:pic>
                <xdr:nvPicPr>
                  <xdr:cNvPr id="68318"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8319"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xdr:cNvSpPr txBox="1">
                  <a:spLocks noChangeArrowheads="1"/>
                </xdr:cNvSpPr>
              </xdr:nvSpPr>
              <xdr:spPr bwMode="auto">
                <a:xfrm>
                  <a:off x="435" y="393"/>
                  <a:ext cx="333" cy="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68311" name="Group 21"/>
              <xdr:cNvGrpSpPr>
                <a:grpSpLocks/>
              </xdr:cNvGrpSpPr>
            </xdr:nvGrpSpPr>
            <xdr:grpSpPr bwMode="auto">
              <a:xfrm>
                <a:off x="76" y="364"/>
                <a:ext cx="289" cy="256"/>
                <a:chOff x="76" y="364"/>
                <a:chExt cx="289" cy="256"/>
              </a:xfrm>
            </xdr:grpSpPr>
            <xdr:pic>
              <xdr:nvPicPr>
                <xdr:cNvPr id="68312"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8313"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8314"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68307"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xdr:cNvSpPr txBox="1">
            <a:spLocks noChangeArrowheads="1"/>
          </xdr:cNvSpPr>
        </xdr:nvSpPr>
        <xdr:spPr bwMode="auto">
          <a:xfrm>
            <a:off x="781" y="226"/>
            <a:ext cx="109"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2.7</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70887"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70888"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11</xdr:col>
      <xdr:colOff>552450</xdr:colOff>
      <xdr:row>3</xdr:row>
      <xdr:rowOff>133350</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58153</xdr:rowOff>
    </xdr:from>
    <xdr:to>
      <xdr:col>5</xdr:col>
      <xdr:colOff>47625</xdr:colOff>
      <xdr:row>22</xdr:row>
      <xdr:rowOff>65640</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114300</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70902" name="TextBox2"/>
            <xdr:cNvPicPr preferRelativeResize="0">
              <a:picLocks noChangeArrowheads="1" noChangeShapeType="1"/>
              <a:extLst>
                <a:ext uri="{84589F7E-364E-4C9E-8A38-B11213B215E9}">
                  <a14:cameraTool cellRange="FinYear" spid="_x0000_s71494"/>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spid="_x0000_s13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spid="_x0000_s13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spid="_x0000_s13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276225</xdr:colOff>
          <xdr:row>11</xdr:row>
          <xdr:rowOff>76200</xdr:rowOff>
        </xdr:to>
        <xdr:sp macro="" textlink="">
          <xdr:nvSpPr>
            <xdr:cNvPr id="13337" name="TextBox6" hidden="1">
              <a:extLst>
                <a:ext uri="{63B3BB69-23CF-44E3-9099-C40C66FF867C}">
                  <a14:compatExt spid="_x0000_s13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spid="_x0000_s13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spid="_x0000_s13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142875</xdr:rowOff>
    </xdr:from>
    <xdr:to>
      <xdr:col>5</xdr:col>
      <xdr:colOff>114300</xdr:colOff>
      <xdr:row>16</xdr:row>
      <xdr:rowOff>152400</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66675</xdr:rowOff>
        </xdr:to>
        <xdr:sp macro="" textlink="">
          <xdr:nvSpPr>
            <xdr:cNvPr id="13342" name="DateOfAdjustment" hidden="1">
              <a:extLst>
                <a:ext uri="{63B3BB69-23CF-44E3-9099-C40C66FF867C}">
                  <a14:compatExt spid="_x0000_s13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171450</xdr:rowOff>
    </xdr:from>
    <xdr:to>
      <xdr:col>5</xdr:col>
      <xdr:colOff>600075</xdr:colOff>
      <xdr:row>31</xdr:row>
      <xdr:rowOff>142875</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70905"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171450</xdr:rowOff>
    </xdr:from>
    <xdr:to>
      <xdr:col>12</xdr:col>
      <xdr:colOff>38100</xdr:colOff>
      <xdr:row>32</xdr:row>
      <xdr:rowOff>0</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123825</xdr:rowOff>
    </xdr:from>
    <xdr:to>
      <xdr:col>10</xdr:col>
      <xdr:colOff>0</xdr:colOff>
      <xdr:row>37</xdr:row>
      <xdr:rowOff>9525</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85725</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152400</xdr:rowOff>
    </xdr:to>
    <xdr:sp macro="" textlink="">
      <xdr:nvSpPr>
        <xdr:cNvPr id="40" name="Text Box 233">
          <a:hlinkClick xmlns:r="http://schemas.openxmlformats.org/officeDocument/2006/relationships" r:id="rId5"/>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152400</xdr:rowOff>
    </xdr:from>
    <xdr:to>
      <xdr:col>11</xdr:col>
      <xdr:colOff>533400</xdr:colOff>
      <xdr:row>37</xdr:row>
      <xdr:rowOff>38100</xdr:rowOff>
    </xdr:to>
    <xdr:sp macro="" textlink="">
      <xdr:nvSpPr>
        <xdr:cNvPr id="41" name="Text Box 233">
          <a:hlinkClick xmlns:r="http://schemas.openxmlformats.org/officeDocument/2006/relationships" r:id="rId6"/>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71694"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0</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olebohengm\Desktop\CAPITAL_PROGRAMME_2015%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MFMAwork\B%20Schedule%20-%20Ver%202.7_May%20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BUDGET"/>
      <sheetName val="bck-up"/>
      <sheetName val=" MULTI YEAR CAPITAL PROGRAM "/>
      <sheetName val="October 2015"/>
      <sheetName val="adjustment workings"/>
      <sheetName val="Sheet1"/>
      <sheetName val="Sheet3"/>
      <sheetName val="Sheet2"/>
    </sheetNames>
    <sheetDataSet>
      <sheetData sheetId="0"/>
      <sheetData sheetId="1"/>
      <sheetData sheetId="2"/>
      <sheetData sheetId="3"/>
      <sheetData sheetId="4"/>
      <sheetData sheetId="5">
        <row r="11">
          <cell r="O11">
            <v>230667.99999999907</v>
          </cell>
        </row>
      </sheetData>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9"/>
      <sheetName val="SB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17">
          <cell r="C117">
            <v>77745000</v>
          </cell>
        </row>
        <row r="131">
          <cell r="I131">
            <v>48192838</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mailto:gilbertm@polokwane.gov.za" TargetMode="External"/><Relationship Id="rId2" Type="http://schemas.openxmlformats.org/officeDocument/2006/relationships/hyperlink" Target="mailto:molebohengm@polokwane.gov.za" TargetMode="External"/><Relationship Id="rId1" Type="http://schemas.openxmlformats.org/officeDocument/2006/relationships/hyperlink" Target="mailto:caiphusm1@polokwane.gov.za" TargetMode="Externa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topLeftCell="A28" zoomScaleNormal="100" workbookViewId="0">
      <selection activeCell="P35" sqref="P35"/>
    </sheetView>
  </sheetViews>
  <sheetFormatPr defaultRowHeight="12.75" x14ac:dyDescent="0.2"/>
  <sheetData>
    <row r="1" spans="1:1" x14ac:dyDescent="0.2">
      <c r="A1" t="str">
        <f>muni</f>
        <v>LIM354 Polokwane</v>
      </c>
    </row>
    <row r="14" spans="1:1" ht="36" customHeight="1" x14ac:dyDescent="0.2"/>
    <row r="36" ht="51.75" customHeight="1" x14ac:dyDescent="0.2"/>
    <row r="40" ht="34.5" customHeight="1" x14ac:dyDescent="0.2"/>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28" activePane="bottomRight" state="frozen"/>
      <selection activeCell="C6" sqref="C6"/>
      <selection pane="topRight" activeCell="C6" sqref="C6"/>
      <selection pane="bottomLeft" activeCell="C6" sqref="C6"/>
      <selection pane="bottomRight" activeCell="L2" sqref="L2"/>
    </sheetView>
  </sheetViews>
  <sheetFormatPr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LIM354 Polokwane - Table B3 Adjustments Budget Financial Performance (revenue and expenditure by municipal vote) - 25 February 2016</v>
      </c>
      <c r="B1" s="5"/>
      <c r="C1" s="58"/>
    </row>
    <row r="2" spans="1:26" ht="38.25" x14ac:dyDescent="0.25">
      <c r="A2" s="1321" t="str">
        <f>Vdesc</f>
        <v>Vote Description</v>
      </c>
      <c r="B2" s="1318" t="str">
        <f>head27</f>
        <v>Ref</v>
      </c>
      <c r="C2" s="1315" t="str">
        <f>Head2</f>
        <v>Budget Year 2015/16</v>
      </c>
      <c r="D2" s="1316"/>
      <c r="E2" s="1316"/>
      <c r="F2" s="1316"/>
      <c r="G2" s="1316"/>
      <c r="H2" s="1316"/>
      <c r="I2" s="1316"/>
      <c r="J2" s="1316"/>
      <c r="K2" s="1316"/>
      <c r="L2" s="60" t="str">
        <f>Head10</f>
        <v>Budget Year +1 2016/17</v>
      </c>
      <c r="M2" s="61" t="str">
        <f>Head11</f>
        <v>Budget Year +2 2017/18</v>
      </c>
    </row>
    <row r="3" spans="1:26" ht="25.5" x14ac:dyDescent="0.25">
      <c r="A3" s="1322"/>
      <c r="B3" s="13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640</v>
      </c>
      <c r="B4" s="1319"/>
      <c r="C4" s="65"/>
      <c r="D4" s="15">
        <v>3</v>
      </c>
      <c r="E4" s="15">
        <v>4</v>
      </c>
      <c r="F4" s="15">
        <v>5</v>
      </c>
      <c r="G4" s="15">
        <v>6</v>
      </c>
      <c r="H4" s="15">
        <v>7</v>
      </c>
      <c r="I4" s="15">
        <v>8</v>
      </c>
      <c r="J4" s="15">
        <v>9</v>
      </c>
      <c r="K4" s="15">
        <v>10</v>
      </c>
      <c r="L4" s="15"/>
      <c r="M4" s="17"/>
    </row>
    <row r="5" spans="1:26" ht="13.5" customHeight="1" x14ac:dyDescent="0.25">
      <c r="A5" s="66" t="s">
        <v>641</v>
      </c>
      <c r="B5" s="1327"/>
      <c r="C5" s="67" t="s">
        <v>581</v>
      </c>
      <c r="D5" s="68" t="s">
        <v>582</v>
      </c>
      <c r="E5" s="68" t="s">
        <v>583</v>
      </c>
      <c r="F5" s="69" t="s">
        <v>584</v>
      </c>
      <c r="G5" s="69" t="s">
        <v>585</v>
      </c>
      <c r="H5" s="69" t="s">
        <v>586</v>
      </c>
      <c r="I5" s="70" t="s">
        <v>587</v>
      </c>
      <c r="J5" s="70" t="s">
        <v>588</v>
      </c>
      <c r="K5" s="70" t="s">
        <v>589</v>
      </c>
      <c r="L5" s="70"/>
      <c r="M5" s="71"/>
      <c r="N5" s="48"/>
      <c r="O5" s="48"/>
      <c r="P5" s="48"/>
      <c r="Q5" s="48"/>
      <c r="R5" s="48"/>
      <c r="S5" s="48"/>
      <c r="T5" s="48"/>
      <c r="U5" s="48"/>
      <c r="V5" s="48"/>
      <c r="W5" s="48"/>
      <c r="X5" s="48"/>
      <c r="Y5" s="48"/>
      <c r="Z5" s="48"/>
    </row>
    <row r="6" spans="1:26" ht="12.75" customHeight="1" x14ac:dyDescent="0.25">
      <c r="A6" s="72" t="s">
        <v>642</v>
      </c>
      <c r="B6" s="73">
        <v>1</v>
      </c>
      <c r="C6" s="74"/>
      <c r="D6" s="75"/>
      <c r="E6" s="75"/>
      <c r="F6" s="75"/>
      <c r="G6" s="75"/>
      <c r="H6" s="75"/>
      <c r="I6" s="75"/>
      <c r="J6" s="75"/>
      <c r="K6" s="75"/>
      <c r="L6" s="75"/>
      <c r="M6" s="76"/>
      <c r="N6" s="864"/>
      <c r="O6" s="77"/>
      <c r="P6" s="77"/>
      <c r="Q6" s="77"/>
      <c r="R6" s="77"/>
      <c r="S6" s="77"/>
      <c r="T6" s="77"/>
      <c r="U6" s="77"/>
      <c r="V6" s="77"/>
      <c r="W6" s="77"/>
      <c r="X6" s="77"/>
      <c r="Y6" s="77"/>
      <c r="Z6" s="48"/>
    </row>
    <row r="7" spans="1:26" ht="12.75" customHeight="1" x14ac:dyDescent="0.25">
      <c r="A7" s="965" t="str">
        <f>B3B!A7</f>
        <v>Vote 1 - COUNCIL</v>
      </c>
      <c r="B7" s="73"/>
      <c r="C7" s="127">
        <f>B3B!C7</f>
        <v>0</v>
      </c>
      <c r="D7" s="172">
        <f>B3B!D7</f>
        <v>0</v>
      </c>
      <c r="E7" s="172">
        <f>B3B!E7</f>
        <v>0</v>
      </c>
      <c r="F7" s="172">
        <f>B3B!F7</f>
        <v>0</v>
      </c>
      <c r="G7" s="172">
        <f>B3B!G7</f>
        <v>0</v>
      </c>
      <c r="H7" s="172">
        <f>B3B!H7</f>
        <v>0</v>
      </c>
      <c r="I7" s="172">
        <f>B3B!I7</f>
        <v>0</v>
      </c>
      <c r="J7" s="75">
        <f t="shared" ref="J7:J21" si="0">SUM(E7:I7)</f>
        <v>0</v>
      </c>
      <c r="K7" s="75">
        <f t="shared" ref="K7:K21" si="1">IF(D7=0,C7+J7,D7+J7)</f>
        <v>0</v>
      </c>
      <c r="L7" s="172">
        <f>B3B!L7</f>
        <v>0</v>
      </c>
      <c r="M7" s="236">
        <f>B3B!M7</f>
        <v>0</v>
      </c>
      <c r="N7" s="865"/>
      <c r="O7" s="77"/>
      <c r="P7" s="77"/>
      <c r="Q7" s="77"/>
      <c r="R7" s="77"/>
      <c r="S7" s="77"/>
      <c r="T7" s="77"/>
      <c r="U7" s="77"/>
      <c r="V7" s="77"/>
      <c r="W7" s="77"/>
      <c r="X7" s="77"/>
      <c r="Y7" s="77"/>
      <c r="Z7" s="48"/>
    </row>
    <row r="8" spans="1:26" ht="12.75" customHeight="1" x14ac:dyDescent="0.25">
      <c r="A8" s="965" t="str">
        <f>B3B!A18</f>
        <v>Vote 2 - Office of the Municipal Manger</v>
      </c>
      <c r="B8" s="73"/>
      <c r="C8" s="127">
        <f>B3B!C18</f>
        <v>0</v>
      </c>
      <c r="D8" s="172">
        <f>B3B!D18</f>
        <v>0</v>
      </c>
      <c r="E8" s="172">
        <f>B3B!E18</f>
        <v>0</v>
      </c>
      <c r="F8" s="172">
        <f>B3B!F18</f>
        <v>0</v>
      </c>
      <c r="G8" s="172">
        <f>B3B!G18</f>
        <v>0</v>
      </c>
      <c r="H8" s="172">
        <f>B3B!H18</f>
        <v>0</v>
      </c>
      <c r="I8" s="172">
        <f>B3B!I18</f>
        <v>0</v>
      </c>
      <c r="J8" s="75">
        <f t="shared" si="0"/>
        <v>0</v>
      </c>
      <c r="K8" s="75">
        <f t="shared" si="1"/>
        <v>0</v>
      </c>
      <c r="L8" s="172">
        <f>B3B!L18</f>
        <v>0</v>
      </c>
      <c r="M8" s="236">
        <f>B3B!M18</f>
        <v>0</v>
      </c>
      <c r="N8" s="865"/>
      <c r="O8" s="77"/>
      <c r="P8" s="77"/>
      <c r="Q8" s="77"/>
      <c r="R8" s="77"/>
      <c r="S8" s="77"/>
      <c r="T8" s="77"/>
      <c r="U8" s="77"/>
      <c r="V8" s="77"/>
      <c r="W8" s="77"/>
      <c r="X8" s="77"/>
      <c r="Y8" s="77"/>
      <c r="Z8" s="48"/>
    </row>
    <row r="9" spans="1:26" ht="12.75" customHeight="1" x14ac:dyDescent="0.25">
      <c r="A9" s="965" t="str">
        <f>B3B!A29</f>
        <v>Vote 3 - Strategic Planning Monitoring and Evaluation</v>
      </c>
      <c r="B9" s="73"/>
      <c r="C9" s="127">
        <f>B3B!C29</f>
        <v>0</v>
      </c>
      <c r="D9" s="172">
        <f>B3B!D29</f>
        <v>0</v>
      </c>
      <c r="E9" s="172">
        <f>B3B!E29</f>
        <v>0</v>
      </c>
      <c r="F9" s="172">
        <f>B3B!F29</f>
        <v>0</v>
      </c>
      <c r="G9" s="172">
        <f>B3B!G29</f>
        <v>0</v>
      </c>
      <c r="H9" s="172">
        <f>B3B!H29</f>
        <v>0</v>
      </c>
      <c r="I9" s="172">
        <f>B3B!I29</f>
        <v>0</v>
      </c>
      <c r="J9" s="75">
        <f t="shared" si="0"/>
        <v>0</v>
      </c>
      <c r="K9" s="75">
        <f t="shared" si="1"/>
        <v>0</v>
      </c>
      <c r="L9" s="172">
        <f>B3B!L29</f>
        <v>0</v>
      </c>
      <c r="M9" s="236">
        <f>B3B!M29</f>
        <v>0</v>
      </c>
      <c r="N9" s="864"/>
      <c r="O9" s="77"/>
      <c r="P9" s="77"/>
      <c r="Q9" s="77"/>
      <c r="R9" s="77"/>
      <c r="S9" s="77"/>
      <c r="T9" s="77"/>
      <c r="U9" s="77"/>
      <c r="V9" s="77"/>
      <c r="W9" s="77"/>
      <c r="X9" s="77"/>
      <c r="Y9" s="77"/>
      <c r="Z9" s="48"/>
    </row>
    <row r="10" spans="1:26" ht="12.75" customHeight="1" x14ac:dyDescent="0.25">
      <c r="A10" s="965" t="str">
        <f>B3B!A40</f>
        <v>Vote 4 - Engineering Services</v>
      </c>
      <c r="B10" s="73"/>
      <c r="C10" s="127">
        <f>B3B!C40</f>
        <v>1108274003</v>
      </c>
      <c r="D10" s="172">
        <f>B3B!D40</f>
        <v>0</v>
      </c>
      <c r="E10" s="172">
        <f>B3B!E40</f>
        <v>0</v>
      </c>
      <c r="F10" s="172">
        <f>B3B!F40</f>
        <v>0</v>
      </c>
      <c r="G10" s="172">
        <f>B3B!G40</f>
        <v>0</v>
      </c>
      <c r="H10" s="172">
        <f>B3B!H40</f>
        <v>0</v>
      </c>
      <c r="I10" s="172">
        <f>B3B!I40</f>
        <v>0</v>
      </c>
      <c r="J10" s="75">
        <f t="shared" si="0"/>
        <v>0</v>
      </c>
      <c r="K10" s="75">
        <f t="shared" si="1"/>
        <v>1108274003</v>
      </c>
      <c r="L10" s="172">
        <f>B3B!L40</f>
        <v>1239759094.0163798</v>
      </c>
      <c r="M10" s="236">
        <f>B3B!M40</f>
        <v>1389975224.1960461</v>
      </c>
      <c r="N10" s="864"/>
      <c r="O10" s="77"/>
      <c r="P10" s="77"/>
      <c r="Q10" s="77"/>
      <c r="R10" s="77"/>
      <c r="S10" s="77"/>
      <c r="T10" s="77"/>
      <c r="U10" s="77"/>
      <c r="V10" s="77"/>
      <c r="W10" s="77"/>
      <c r="X10" s="77"/>
      <c r="Y10" s="77"/>
      <c r="Z10" s="48"/>
    </row>
    <row r="11" spans="1:26" ht="12.75" customHeight="1" x14ac:dyDescent="0.25">
      <c r="A11" s="965" t="str">
        <f>B3B!A51</f>
        <v>Vote 5 -  Community Services</v>
      </c>
      <c r="B11" s="73"/>
      <c r="C11" s="127">
        <f>B3B!C51</f>
        <v>113589832</v>
      </c>
      <c r="D11" s="172">
        <f>B3B!D51</f>
        <v>0</v>
      </c>
      <c r="E11" s="172">
        <f>B3B!E51</f>
        <v>0</v>
      </c>
      <c r="F11" s="172">
        <f>B3B!F51</f>
        <v>0</v>
      </c>
      <c r="G11" s="172">
        <f>B3B!G51</f>
        <v>0</v>
      </c>
      <c r="H11" s="172">
        <f>B3B!H51</f>
        <v>0</v>
      </c>
      <c r="I11" s="172">
        <f>B3B!I51</f>
        <v>1000</v>
      </c>
      <c r="J11" s="75">
        <f t="shared" si="0"/>
        <v>1000</v>
      </c>
      <c r="K11" s="75">
        <f t="shared" si="1"/>
        <v>113590832</v>
      </c>
      <c r="L11" s="172">
        <f>B3B!L51</f>
        <v>122554701.51500002</v>
      </c>
      <c r="M11" s="236">
        <f>B3B!M51</f>
        <v>131792667.505445</v>
      </c>
      <c r="N11" s="864"/>
      <c r="O11" s="77"/>
      <c r="P11" s="77"/>
      <c r="Q11" s="77"/>
      <c r="R11" s="77"/>
      <c r="S11" s="77"/>
      <c r="T11" s="77"/>
      <c r="U11" s="77"/>
      <c r="V11" s="77"/>
      <c r="W11" s="77"/>
      <c r="X11" s="77"/>
      <c r="Y11" s="77"/>
      <c r="Z11" s="48"/>
    </row>
    <row r="12" spans="1:26" ht="12.75" customHeight="1" x14ac:dyDescent="0.25">
      <c r="A12" s="965" t="str">
        <f>B3B!A62</f>
        <v>Vote 6 - Community Development</v>
      </c>
      <c r="B12" s="73"/>
      <c r="C12" s="127">
        <f>B3B!C62</f>
        <v>17187835</v>
      </c>
      <c r="D12" s="172">
        <f>B3B!D62</f>
        <v>0</v>
      </c>
      <c r="E12" s="172">
        <f>B3B!E62</f>
        <v>0</v>
      </c>
      <c r="F12" s="172">
        <f>B3B!F62</f>
        <v>0</v>
      </c>
      <c r="G12" s="172">
        <f>B3B!G62</f>
        <v>0</v>
      </c>
      <c r="H12" s="172">
        <f>B3B!H62</f>
        <v>0</v>
      </c>
      <c r="I12" s="172">
        <f>B3B!I62</f>
        <v>0</v>
      </c>
      <c r="J12" s="75">
        <f t="shared" si="0"/>
        <v>0</v>
      </c>
      <c r="K12" s="75">
        <f t="shared" si="1"/>
        <v>17187835</v>
      </c>
      <c r="L12" s="172">
        <f>B3B!L62</f>
        <v>18304366.079999998</v>
      </c>
      <c r="M12" s="236">
        <f>B3B!M62</f>
        <v>19457158.026039999</v>
      </c>
      <c r="N12" s="864"/>
      <c r="O12" s="77"/>
      <c r="P12" s="77"/>
      <c r="Q12" s="77"/>
      <c r="R12" s="77"/>
      <c r="S12" s="77"/>
      <c r="T12" s="77"/>
      <c r="U12" s="77"/>
      <c r="V12" s="77"/>
      <c r="W12" s="77"/>
      <c r="X12" s="77"/>
      <c r="Y12" s="77"/>
      <c r="Z12" s="48"/>
    </row>
    <row r="13" spans="1:26" ht="12.75" customHeight="1" x14ac:dyDescent="0.25">
      <c r="A13" s="965" t="str">
        <f>B3B!A73</f>
        <v>Vote 7 - Corporate  and Shared Services</v>
      </c>
      <c r="B13" s="73"/>
      <c r="C13" s="127">
        <f>B3B!C73</f>
        <v>4479110</v>
      </c>
      <c r="D13" s="172">
        <f>B3B!D73</f>
        <v>0</v>
      </c>
      <c r="E13" s="172">
        <f>B3B!E73</f>
        <v>0</v>
      </c>
      <c r="F13" s="172">
        <f>B3B!F73</f>
        <v>0</v>
      </c>
      <c r="G13" s="172">
        <f>B3B!G73</f>
        <v>0</v>
      </c>
      <c r="H13" s="172">
        <f>B3B!H73</f>
        <v>0</v>
      </c>
      <c r="I13" s="172">
        <f>B3B!I73</f>
        <v>0</v>
      </c>
      <c r="J13" s="75">
        <f t="shared" si="0"/>
        <v>0</v>
      </c>
      <c r="K13" s="75">
        <f t="shared" si="1"/>
        <v>4479110</v>
      </c>
      <c r="L13" s="172">
        <f>B3B!L73</f>
        <v>4770255.12</v>
      </c>
      <c r="M13" s="236">
        <f>B3B!M73</f>
        <v>5070785.9875599993</v>
      </c>
      <c r="N13" s="864"/>
      <c r="O13" s="77"/>
      <c r="P13" s="77"/>
      <c r="Q13" s="77"/>
      <c r="R13" s="77"/>
      <c r="S13" s="77"/>
      <c r="T13" s="77"/>
      <c r="U13" s="77"/>
      <c r="V13" s="77"/>
      <c r="W13" s="77"/>
      <c r="X13" s="77"/>
      <c r="Y13" s="77"/>
      <c r="Z13" s="48"/>
    </row>
    <row r="14" spans="1:26" ht="12.75" customHeight="1" x14ac:dyDescent="0.25">
      <c r="A14" s="965" t="str">
        <f>B3B!A84</f>
        <v>Vote 8 - Planning and Economic Development</v>
      </c>
      <c r="B14" s="73"/>
      <c r="C14" s="127">
        <f>B3B!C84</f>
        <v>44608203</v>
      </c>
      <c r="D14" s="172">
        <f>B3B!D84</f>
        <v>0</v>
      </c>
      <c r="E14" s="172">
        <f>B3B!E84</f>
        <v>0</v>
      </c>
      <c r="F14" s="172">
        <f>B3B!F84</f>
        <v>0</v>
      </c>
      <c r="G14" s="172">
        <f>B3B!G84</f>
        <v>0</v>
      </c>
      <c r="H14" s="172">
        <f>B3B!H84</f>
        <v>0</v>
      </c>
      <c r="I14" s="172">
        <f>B3B!I84</f>
        <v>0</v>
      </c>
      <c r="J14" s="75">
        <f t="shared" si="0"/>
        <v>0</v>
      </c>
      <c r="K14" s="75">
        <f t="shared" si="1"/>
        <v>44608203</v>
      </c>
      <c r="L14" s="172">
        <f>B3B!L84</f>
        <v>47479855.310000002</v>
      </c>
      <c r="M14" s="236">
        <f>B3B!M84</f>
        <v>50450469.817530006</v>
      </c>
      <c r="N14" s="864"/>
      <c r="O14" s="77"/>
      <c r="P14" s="77"/>
      <c r="Q14" s="77"/>
      <c r="R14" s="77"/>
      <c r="S14" s="77"/>
      <c r="T14" s="77"/>
      <c r="U14" s="77"/>
      <c r="V14" s="77"/>
      <c r="W14" s="77"/>
      <c r="X14" s="77"/>
      <c r="Y14" s="77"/>
      <c r="Z14" s="48"/>
    </row>
    <row r="15" spans="1:26" ht="12.75" customHeight="1" x14ac:dyDescent="0.25">
      <c r="A15" s="965" t="str">
        <f>B3B!A95</f>
        <v>Vote 9 - Budget and Treasury</v>
      </c>
      <c r="B15" s="73"/>
      <c r="C15" s="127">
        <f>B3B!C95</f>
        <v>1582612017</v>
      </c>
      <c r="D15" s="172">
        <f>B3B!D95</f>
        <v>0</v>
      </c>
      <c r="E15" s="172">
        <f>B3B!E95</f>
        <v>0</v>
      </c>
      <c r="F15" s="172">
        <f>B3B!F95</f>
        <v>0</v>
      </c>
      <c r="G15" s="172">
        <f>B3B!G95</f>
        <v>0</v>
      </c>
      <c r="H15" s="172">
        <f>B3B!H95</f>
        <v>42808657</v>
      </c>
      <c r="I15" s="172">
        <f>B3B!I95</f>
        <v>35909343</v>
      </c>
      <c r="J15" s="75">
        <f t="shared" si="0"/>
        <v>78718000</v>
      </c>
      <c r="K15" s="75">
        <f t="shared" si="1"/>
        <v>1661330017</v>
      </c>
      <c r="L15" s="172">
        <f>B3B!L95</f>
        <v>1521012683.96</v>
      </c>
      <c r="M15" s="236">
        <f>B3B!M95</f>
        <v>1592203601.3956001</v>
      </c>
      <c r="N15" s="864"/>
      <c r="O15" s="77"/>
      <c r="P15" s="77"/>
      <c r="Q15" s="77"/>
      <c r="R15" s="77"/>
      <c r="S15" s="77"/>
      <c r="T15" s="77"/>
      <c r="U15" s="77"/>
      <c r="V15" s="77"/>
      <c r="W15" s="77"/>
      <c r="X15" s="77"/>
      <c r="Y15" s="77"/>
      <c r="Z15" s="48"/>
    </row>
    <row r="16" spans="1:26" ht="12.75" customHeight="1" x14ac:dyDescent="0.25">
      <c r="A16" s="965" t="str">
        <f>B3B!A106</f>
        <v>Vote 10 - Transport Operations</v>
      </c>
      <c r="B16" s="73"/>
      <c r="C16" s="127">
        <f>B3B!C106</f>
        <v>0</v>
      </c>
      <c r="D16" s="172">
        <f>B3B!D106</f>
        <v>0</v>
      </c>
      <c r="E16" s="172">
        <f>B3B!E106</f>
        <v>0</v>
      </c>
      <c r="F16" s="172">
        <f>B3B!F106</f>
        <v>0</v>
      </c>
      <c r="G16" s="172">
        <f>B3B!G106</f>
        <v>0</v>
      </c>
      <c r="H16" s="172">
        <f>B3B!H106</f>
        <v>0</v>
      </c>
      <c r="I16" s="172">
        <f>B3B!I106</f>
        <v>0</v>
      </c>
      <c r="J16" s="75">
        <f t="shared" si="0"/>
        <v>0</v>
      </c>
      <c r="K16" s="75">
        <f t="shared" si="1"/>
        <v>0</v>
      </c>
      <c r="L16" s="172">
        <f>B3B!L106</f>
        <v>0</v>
      </c>
      <c r="M16" s="236">
        <f>B3B!M106</f>
        <v>0</v>
      </c>
      <c r="N16" s="864"/>
      <c r="O16" s="77"/>
      <c r="P16" s="77"/>
      <c r="Q16" s="77"/>
      <c r="R16" s="77"/>
      <c r="S16" s="77"/>
      <c r="T16" s="77"/>
      <c r="U16" s="77"/>
      <c r="V16" s="77"/>
      <c r="W16" s="77"/>
      <c r="X16" s="77"/>
      <c r="Y16" s="77"/>
      <c r="Z16" s="48"/>
    </row>
    <row r="17" spans="1:26" ht="12.75" customHeight="1" x14ac:dyDescent="0.25">
      <c r="A17" s="965" t="str">
        <f>B3B!A117</f>
        <v>Vote 11 - [NAME OF VOTE 11]</v>
      </c>
      <c r="B17" s="73"/>
      <c r="C17" s="127">
        <f>B3B!C117</f>
        <v>0</v>
      </c>
      <c r="D17" s="172">
        <f>B3B!D117</f>
        <v>0</v>
      </c>
      <c r="E17" s="172">
        <f>B3B!E117</f>
        <v>0</v>
      </c>
      <c r="F17" s="172">
        <f>B3B!F117</f>
        <v>0</v>
      </c>
      <c r="G17" s="172">
        <f>B3B!G117</f>
        <v>0</v>
      </c>
      <c r="H17" s="172">
        <f>B3B!H117</f>
        <v>0</v>
      </c>
      <c r="I17" s="172">
        <f>B3B!I117</f>
        <v>0</v>
      </c>
      <c r="J17" s="75">
        <f t="shared" si="0"/>
        <v>0</v>
      </c>
      <c r="K17" s="75">
        <f t="shared" si="1"/>
        <v>0</v>
      </c>
      <c r="L17" s="172">
        <f>B3B!L117</f>
        <v>0</v>
      </c>
      <c r="M17" s="236">
        <f>B3B!M117</f>
        <v>0</v>
      </c>
      <c r="N17" s="864"/>
      <c r="O17" s="77"/>
      <c r="P17" s="77"/>
      <c r="Q17" s="77"/>
      <c r="R17" s="77"/>
      <c r="S17" s="77"/>
      <c r="T17" s="77"/>
      <c r="U17" s="77"/>
      <c r="V17" s="77"/>
      <c r="W17" s="77"/>
      <c r="X17" s="77"/>
      <c r="Y17" s="77"/>
      <c r="Z17" s="48"/>
    </row>
    <row r="18" spans="1:26" ht="12.75" customHeight="1" x14ac:dyDescent="0.25">
      <c r="A18" s="965" t="str">
        <f>B3B!A128</f>
        <v>Vote 12 - [NAME OF VOTE 12]</v>
      </c>
      <c r="B18" s="73"/>
      <c r="C18" s="127">
        <f>B3B!C128</f>
        <v>0</v>
      </c>
      <c r="D18" s="172">
        <f>B3B!D128</f>
        <v>0</v>
      </c>
      <c r="E18" s="172">
        <f>B3B!E128</f>
        <v>0</v>
      </c>
      <c r="F18" s="172">
        <f>B3B!F128</f>
        <v>0</v>
      </c>
      <c r="G18" s="172">
        <f>B3B!G128</f>
        <v>0</v>
      </c>
      <c r="H18" s="172">
        <f>B3B!H128</f>
        <v>0</v>
      </c>
      <c r="I18" s="172">
        <f>B3B!I128</f>
        <v>0</v>
      </c>
      <c r="J18" s="75">
        <f t="shared" si="0"/>
        <v>0</v>
      </c>
      <c r="K18" s="75">
        <f t="shared" si="1"/>
        <v>0</v>
      </c>
      <c r="L18" s="172">
        <f>B3B!L128</f>
        <v>0</v>
      </c>
      <c r="M18" s="236">
        <f>B3B!M128</f>
        <v>0</v>
      </c>
      <c r="N18" s="864"/>
      <c r="O18" s="77"/>
      <c r="P18" s="77"/>
      <c r="Q18" s="77"/>
      <c r="R18" s="77"/>
      <c r="S18" s="77"/>
      <c r="T18" s="77"/>
      <c r="U18" s="77"/>
      <c r="V18" s="77"/>
      <c r="W18" s="77"/>
      <c r="X18" s="77"/>
      <c r="Y18" s="77"/>
      <c r="Z18" s="48"/>
    </row>
    <row r="19" spans="1:26" ht="12.75" customHeight="1" x14ac:dyDescent="0.25">
      <c r="A19" s="965" t="str">
        <f>B3B!A139</f>
        <v>Vote 13 - [NAME OF VOTE 13]</v>
      </c>
      <c r="B19" s="73"/>
      <c r="C19" s="127">
        <f>B3B!C139</f>
        <v>0</v>
      </c>
      <c r="D19" s="172">
        <f>B3B!D139</f>
        <v>0</v>
      </c>
      <c r="E19" s="172">
        <f>B3B!E139</f>
        <v>0</v>
      </c>
      <c r="F19" s="172">
        <f>B3B!F139</f>
        <v>0</v>
      </c>
      <c r="G19" s="172">
        <f>B3B!G139</f>
        <v>0</v>
      </c>
      <c r="H19" s="172">
        <f>B3B!H139</f>
        <v>0</v>
      </c>
      <c r="I19" s="172">
        <f>B3B!I139</f>
        <v>0</v>
      </c>
      <c r="J19" s="75">
        <f t="shared" si="0"/>
        <v>0</v>
      </c>
      <c r="K19" s="75">
        <f t="shared" si="1"/>
        <v>0</v>
      </c>
      <c r="L19" s="172">
        <f>B3B!L139</f>
        <v>0</v>
      </c>
      <c r="M19" s="236">
        <f>B3B!M139</f>
        <v>0</v>
      </c>
      <c r="N19" s="864"/>
      <c r="O19" s="77"/>
      <c r="P19" s="77"/>
      <c r="Q19" s="77"/>
      <c r="R19" s="77"/>
      <c r="S19" s="77"/>
      <c r="T19" s="77"/>
      <c r="U19" s="77"/>
      <c r="V19" s="77"/>
      <c r="W19" s="77"/>
      <c r="X19" s="77"/>
      <c r="Y19" s="77"/>
      <c r="Z19" s="48"/>
    </row>
    <row r="20" spans="1:26" ht="12.75" customHeight="1" x14ac:dyDescent="0.25">
      <c r="A20" s="965" t="str">
        <f>B3B!A150</f>
        <v>Vote 14 - [NAME OF VOTE 14]</v>
      </c>
      <c r="B20" s="73"/>
      <c r="C20" s="127">
        <f>B3B!C150</f>
        <v>0</v>
      </c>
      <c r="D20" s="172">
        <f>B3B!D150</f>
        <v>0</v>
      </c>
      <c r="E20" s="172">
        <f>B3B!E150</f>
        <v>0</v>
      </c>
      <c r="F20" s="172">
        <f>B3B!F150</f>
        <v>0</v>
      </c>
      <c r="G20" s="172">
        <f>B3B!G150</f>
        <v>0</v>
      </c>
      <c r="H20" s="172">
        <f>B3B!H150</f>
        <v>0</v>
      </c>
      <c r="I20" s="172">
        <f>B3B!I150</f>
        <v>0</v>
      </c>
      <c r="J20" s="75">
        <f t="shared" si="0"/>
        <v>0</v>
      </c>
      <c r="K20" s="75">
        <f t="shared" si="1"/>
        <v>0</v>
      </c>
      <c r="L20" s="172">
        <f>B3B!L150</f>
        <v>0</v>
      </c>
      <c r="M20" s="236">
        <f>B3B!M150</f>
        <v>0</v>
      </c>
      <c r="N20" s="864"/>
      <c r="O20" s="77"/>
      <c r="P20" s="77"/>
      <c r="Q20" s="77"/>
      <c r="R20" s="77"/>
      <c r="S20" s="77"/>
      <c r="T20" s="77"/>
      <c r="U20" s="77"/>
      <c r="V20" s="77"/>
      <c r="W20" s="77"/>
      <c r="X20" s="77"/>
      <c r="Y20" s="77"/>
      <c r="Z20" s="48"/>
    </row>
    <row r="21" spans="1:26" ht="12.75" customHeight="1" x14ac:dyDescent="0.25">
      <c r="A21" s="965" t="str">
        <f>B3B!A161</f>
        <v>Vote 15 - [NAME OF VOTE 15]</v>
      </c>
      <c r="B21" s="73"/>
      <c r="C21" s="127">
        <f>B3B!C161</f>
        <v>0</v>
      </c>
      <c r="D21" s="172">
        <f>B3B!D161</f>
        <v>0</v>
      </c>
      <c r="E21" s="172">
        <f>B3B!E161</f>
        <v>0</v>
      </c>
      <c r="F21" s="172">
        <f>B3B!F161</f>
        <v>0</v>
      </c>
      <c r="G21" s="172">
        <f>B3B!G161</f>
        <v>0</v>
      </c>
      <c r="H21" s="172">
        <f>B3B!H161</f>
        <v>0</v>
      </c>
      <c r="I21" s="172">
        <f>B3B!I161</f>
        <v>0</v>
      </c>
      <c r="J21" s="75">
        <f t="shared" si="0"/>
        <v>0</v>
      </c>
      <c r="K21" s="75">
        <f t="shared" si="1"/>
        <v>0</v>
      </c>
      <c r="L21" s="172">
        <f>B3B!L161</f>
        <v>0</v>
      </c>
      <c r="M21" s="236">
        <f>B3B!M161</f>
        <v>0</v>
      </c>
      <c r="N21" s="864"/>
      <c r="O21" s="77"/>
      <c r="P21" s="77"/>
      <c r="Q21" s="77"/>
      <c r="R21" s="77"/>
      <c r="S21" s="77"/>
      <c r="T21" s="77"/>
      <c r="U21" s="77"/>
      <c r="V21" s="77"/>
      <c r="W21" s="77"/>
      <c r="X21" s="77"/>
      <c r="Y21" s="77"/>
      <c r="Z21" s="48"/>
    </row>
    <row r="22" spans="1:26" ht="12.75" customHeight="1" x14ac:dyDescent="0.25">
      <c r="A22" s="78" t="s">
        <v>643</v>
      </c>
      <c r="B22" s="79">
        <v>2</v>
      </c>
      <c r="C22" s="80">
        <f>SUM(C7:C21)</f>
        <v>2870751000</v>
      </c>
      <c r="D22" s="81">
        <f t="shared" ref="D22:K22" si="2">SUM(D7:D21)</f>
        <v>0</v>
      </c>
      <c r="E22" s="81">
        <f t="shared" si="2"/>
        <v>0</v>
      </c>
      <c r="F22" s="81">
        <f t="shared" si="2"/>
        <v>0</v>
      </c>
      <c r="G22" s="81">
        <f t="shared" si="2"/>
        <v>0</v>
      </c>
      <c r="H22" s="81">
        <f t="shared" si="2"/>
        <v>42808657</v>
      </c>
      <c r="I22" s="81">
        <f t="shared" si="2"/>
        <v>35910343</v>
      </c>
      <c r="J22" s="81">
        <f>SUM(J7:J21)</f>
        <v>78719000</v>
      </c>
      <c r="K22" s="81">
        <f t="shared" si="2"/>
        <v>2949470000</v>
      </c>
      <c r="L22" s="81">
        <f>SUM(L7:L21)</f>
        <v>2953880956.00138</v>
      </c>
      <c r="M22" s="82">
        <f>SUM(M7:M21)</f>
        <v>3188949906.9282212</v>
      </c>
      <c r="N22" s="554"/>
      <c r="O22" s="53"/>
      <c r="P22" s="53"/>
      <c r="Q22" s="53"/>
      <c r="R22" s="53"/>
      <c r="S22" s="53"/>
      <c r="T22" s="53"/>
      <c r="U22" s="53"/>
      <c r="V22" s="53"/>
      <c r="W22" s="53"/>
      <c r="X22" s="53"/>
      <c r="Y22" s="53"/>
      <c r="Z22" s="48"/>
    </row>
    <row r="23" spans="1:26" ht="5.0999999999999996"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644</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COUNCIL</v>
      </c>
      <c r="B25" s="73"/>
      <c r="C25" s="127">
        <f>B3B!C175</f>
        <v>125565066</v>
      </c>
      <c r="D25" s="172">
        <f>B3B!D175</f>
        <v>0</v>
      </c>
      <c r="E25" s="172">
        <f>B3B!E175</f>
        <v>0</v>
      </c>
      <c r="F25" s="172">
        <f>B3B!F175</f>
        <v>0</v>
      </c>
      <c r="G25" s="172">
        <f>B3B!G175</f>
        <v>0</v>
      </c>
      <c r="H25" s="172">
        <f>B3B!H175</f>
        <v>0</v>
      </c>
      <c r="I25" s="172">
        <f>B3B!I175</f>
        <v>10700000</v>
      </c>
      <c r="J25" s="75">
        <f t="shared" ref="J25:J39" si="3">SUM(E25:I25)</f>
        <v>10700000</v>
      </c>
      <c r="K25" s="75">
        <f t="shared" ref="K25:K39" si="4">IF(D25=0,C25+J25,D25+J25)</f>
        <v>136265066</v>
      </c>
      <c r="L25" s="172">
        <f>B3B!L175</f>
        <v>134978856.51820999</v>
      </c>
      <c r="M25" s="236">
        <f>B3B!M175</f>
        <v>143482517.20885724</v>
      </c>
      <c r="N25" s="865"/>
      <c r="O25" s="84"/>
      <c r="P25" s="84"/>
      <c r="Q25" s="84"/>
      <c r="R25" s="84"/>
      <c r="S25" s="84"/>
      <c r="T25" s="84"/>
      <c r="U25" s="84"/>
      <c r="V25" s="84"/>
      <c r="W25" s="84"/>
      <c r="X25" s="84"/>
      <c r="Y25" s="84"/>
      <c r="Z25" s="48"/>
    </row>
    <row r="26" spans="1:26" ht="12.75" customHeight="1" x14ac:dyDescent="0.25">
      <c r="A26" s="85" t="str">
        <f>B3B!A186</f>
        <v>Vote 2 - Office of the Municipal Manger</v>
      </c>
      <c r="B26" s="73"/>
      <c r="C26" s="127">
        <f>B3B!C186</f>
        <v>24189702</v>
      </c>
      <c r="D26" s="172">
        <f>B3B!D186</f>
        <v>0</v>
      </c>
      <c r="E26" s="172">
        <f>B3B!E186</f>
        <v>0</v>
      </c>
      <c r="F26" s="172">
        <f>B3B!F186</f>
        <v>0</v>
      </c>
      <c r="G26" s="172">
        <f>B3B!G186</f>
        <v>0</v>
      </c>
      <c r="H26" s="172">
        <f>B3B!H186</f>
        <v>0</v>
      </c>
      <c r="I26" s="172">
        <f>B3B!I186</f>
        <v>3506985</v>
      </c>
      <c r="J26" s="75">
        <f t="shared" si="3"/>
        <v>3506985</v>
      </c>
      <c r="K26" s="75">
        <f t="shared" si="4"/>
        <v>27696687</v>
      </c>
      <c r="L26" s="172">
        <f>B3B!L186</f>
        <v>25755628.876429997</v>
      </c>
      <c r="M26" s="236">
        <f>B3B!M186</f>
        <v>27378218.241799287</v>
      </c>
      <c r="N26" s="865"/>
      <c r="O26" s="86"/>
      <c r="P26" s="86"/>
      <c r="Q26" s="86"/>
      <c r="R26" s="86"/>
      <c r="S26" s="86"/>
      <c r="T26" s="86"/>
      <c r="U26" s="86"/>
      <c r="V26" s="86"/>
      <c r="W26" s="86"/>
      <c r="X26" s="86"/>
      <c r="Y26" s="86"/>
      <c r="Z26" s="48"/>
    </row>
    <row r="27" spans="1:26" ht="12.75" customHeight="1" x14ac:dyDescent="0.25">
      <c r="A27" s="85" t="str">
        <f>B3B!A197</f>
        <v>Vote 3 - Strategic Planning Monitoring and Evaluation</v>
      </c>
      <c r="B27" s="73"/>
      <c r="C27" s="127">
        <f>B3B!C197</f>
        <v>23466812</v>
      </c>
      <c r="D27" s="172">
        <f>B3B!D197</f>
        <v>0</v>
      </c>
      <c r="E27" s="172">
        <f>B3B!E197</f>
        <v>0</v>
      </c>
      <c r="F27" s="172">
        <f>B3B!F197</f>
        <v>0</v>
      </c>
      <c r="G27" s="172">
        <f>B3B!G197</f>
        <v>0</v>
      </c>
      <c r="H27" s="172">
        <f>B3B!H197</f>
        <v>0</v>
      </c>
      <c r="I27" s="172">
        <f>B3B!I197</f>
        <v>174500</v>
      </c>
      <c r="J27" s="75">
        <f t="shared" si="3"/>
        <v>174500</v>
      </c>
      <c r="K27" s="75">
        <f t="shared" si="4"/>
        <v>23641312</v>
      </c>
      <c r="L27" s="172">
        <f>B3B!L197</f>
        <v>24406394.140089996</v>
      </c>
      <c r="M27" s="236">
        <f>B3B!M197</f>
        <v>25943982.430915669</v>
      </c>
      <c r="N27" s="864"/>
      <c r="O27" s="86"/>
      <c r="P27" s="86"/>
      <c r="Q27" s="86"/>
      <c r="R27" s="86"/>
      <c r="S27" s="86"/>
      <c r="T27" s="86"/>
      <c r="U27" s="86"/>
      <c r="V27" s="86"/>
      <c r="W27" s="86"/>
      <c r="X27" s="86"/>
      <c r="Y27" s="86"/>
      <c r="Z27" s="48"/>
    </row>
    <row r="28" spans="1:26" ht="12.75" customHeight="1" x14ac:dyDescent="0.25">
      <c r="A28" s="85" t="str">
        <f>B3B!A208</f>
        <v>Vote 4 - Engineering Services</v>
      </c>
      <c r="B28" s="73"/>
      <c r="C28" s="127">
        <f>B3B!C208</f>
        <v>1242834533</v>
      </c>
      <c r="D28" s="172">
        <f>B3B!D208</f>
        <v>0</v>
      </c>
      <c r="E28" s="172">
        <f>B3B!E208</f>
        <v>0</v>
      </c>
      <c r="F28" s="172">
        <f>B3B!F208</f>
        <v>0</v>
      </c>
      <c r="G28" s="172">
        <f>B3B!G208</f>
        <v>0</v>
      </c>
      <c r="H28" s="172">
        <f>B3B!H208</f>
        <v>0</v>
      </c>
      <c r="I28" s="172">
        <f>B3B!I208</f>
        <v>9690580</v>
      </c>
      <c r="J28" s="75">
        <f t="shared" si="3"/>
        <v>9690580</v>
      </c>
      <c r="K28" s="75">
        <f t="shared" si="4"/>
        <v>1252525113</v>
      </c>
      <c r="L28" s="172">
        <f>B3B!L208</f>
        <v>1252627007.0067997</v>
      </c>
      <c r="M28" s="236">
        <f>B3B!M208</f>
        <v>1301778486.5482287</v>
      </c>
      <c r="N28" s="864"/>
      <c r="O28" s="86"/>
      <c r="P28" s="86"/>
      <c r="Q28" s="86"/>
      <c r="R28" s="86"/>
      <c r="S28" s="86"/>
      <c r="T28" s="86"/>
      <c r="U28" s="86"/>
      <c r="V28" s="86"/>
      <c r="W28" s="86"/>
      <c r="X28" s="86"/>
      <c r="Y28" s="86"/>
      <c r="Z28" s="48"/>
    </row>
    <row r="29" spans="1:26" ht="12.75" customHeight="1" x14ac:dyDescent="0.25">
      <c r="A29" s="85" t="str">
        <f>B3B!A219</f>
        <v>Vote 5 -  Community Services</v>
      </c>
      <c r="B29" s="73"/>
      <c r="C29" s="127">
        <f>B3B!C219</f>
        <v>287773835</v>
      </c>
      <c r="D29" s="172">
        <f>B3B!D219</f>
        <v>0</v>
      </c>
      <c r="E29" s="172">
        <f>B3B!E219</f>
        <v>0</v>
      </c>
      <c r="F29" s="172">
        <f>B3B!F219</f>
        <v>0</v>
      </c>
      <c r="G29" s="172">
        <f>B3B!G219</f>
        <v>0</v>
      </c>
      <c r="H29" s="172">
        <f>B3B!H219</f>
        <v>0</v>
      </c>
      <c r="I29" s="172">
        <f>B3B!I219</f>
        <v>445968</v>
      </c>
      <c r="J29" s="75">
        <f t="shared" si="3"/>
        <v>445968</v>
      </c>
      <c r="K29" s="75">
        <f t="shared" si="4"/>
        <v>288219803</v>
      </c>
      <c r="L29" s="172">
        <f>B3B!L219</f>
        <v>301878256.15729994</v>
      </c>
      <c r="M29" s="236">
        <f>B3B!M219</f>
        <v>320896498.47139841</v>
      </c>
      <c r="N29" s="864"/>
      <c r="O29" s="86"/>
      <c r="P29" s="86"/>
      <c r="Q29" s="86"/>
      <c r="R29" s="86"/>
      <c r="S29" s="86"/>
      <c r="T29" s="86"/>
      <c r="U29" s="86"/>
      <c r="V29" s="86"/>
      <c r="W29" s="86"/>
      <c r="X29" s="86"/>
      <c r="Y29" s="86"/>
      <c r="Z29" s="48"/>
    </row>
    <row r="30" spans="1:26" ht="10.5" customHeight="1" x14ac:dyDescent="0.25">
      <c r="A30" s="85" t="str">
        <f>B3B!A230</f>
        <v>Vote 6 - Community Development</v>
      </c>
      <c r="B30" s="73"/>
      <c r="C30" s="127">
        <f>B3B!C230</f>
        <v>178040475</v>
      </c>
      <c r="D30" s="172">
        <f>B3B!D230</f>
        <v>0</v>
      </c>
      <c r="E30" s="172">
        <f>B3B!E230</f>
        <v>0</v>
      </c>
      <c r="F30" s="172">
        <f>B3B!F230</f>
        <v>0</v>
      </c>
      <c r="G30" s="172">
        <f>B3B!G230</f>
        <v>0</v>
      </c>
      <c r="H30" s="172">
        <f>B3B!H230</f>
        <v>0</v>
      </c>
      <c r="I30" s="172">
        <f>B3B!I230</f>
        <v>4771918</v>
      </c>
      <c r="J30" s="75">
        <f t="shared" si="3"/>
        <v>4771918</v>
      </c>
      <c r="K30" s="75">
        <f t="shared" si="4"/>
        <v>182812393</v>
      </c>
      <c r="L30" s="172">
        <f>B3B!L230</f>
        <v>189182683.61579993</v>
      </c>
      <c r="M30" s="236">
        <f>B3B!M230</f>
        <v>201101029.67359552</v>
      </c>
      <c r="N30" s="864"/>
      <c r="O30" s="86"/>
      <c r="P30" s="86"/>
      <c r="Q30" s="86"/>
      <c r="R30" s="86"/>
      <c r="S30" s="86"/>
      <c r="T30" s="86"/>
      <c r="U30" s="86"/>
      <c r="V30" s="86"/>
      <c r="W30" s="86"/>
      <c r="X30" s="86"/>
      <c r="Y30" s="86"/>
      <c r="Z30" s="48"/>
    </row>
    <row r="31" spans="1:26" ht="12.75" customHeight="1" x14ac:dyDescent="0.25">
      <c r="A31" s="85" t="str">
        <f>B3B!A241</f>
        <v>Vote 7 - Corporate  and Shared Services</v>
      </c>
      <c r="B31" s="73"/>
      <c r="C31" s="127">
        <f>B3B!C241</f>
        <v>151665401</v>
      </c>
      <c r="D31" s="172">
        <f>B3B!D241</f>
        <v>0</v>
      </c>
      <c r="E31" s="172">
        <f>B3B!E241</f>
        <v>0</v>
      </c>
      <c r="F31" s="172">
        <f>B3B!F241</f>
        <v>0</v>
      </c>
      <c r="G31" s="172">
        <f>B3B!G241</f>
        <v>0</v>
      </c>
      <c r="H31" s="172">
        <f>B3B!H241</f>
        <v>0</v>
      </c>
      <c r="I31" s="172">
        <f>B3B!I241</f>
        <v>2980609</v>
      </c>
      <c r="J31" s="75">
        <f t="shared" si="3"/>
        <v>2980609</v>
      </c>
      <c r="K31" s="75">
        <f t="shared" si="4"/>
        <v>154646010</v>
      </c>
      <c r="L31" s="172">
        <f>B3B!L241</f>
        <v>161505499.66576001</v>
      </c>
      <c r="M31" s="236">
        <f>B3B!M241</f>
        <v>171680271.7147029</v>
      </c>
      <c r="N31" s="864"/>
      <c r="O31" s="86"/>
      <c r="P31" s="86"/>
      <c r="Q31" s="86"/>
      <c r="R31" s="86"/>
      <c r="S31" s="86"/>
      <c r="T31" s="86"/>
      <c r="U31" s="86"/>
      <c r="V31" s="86"/>
      <c r="W31" s="86"/>
      <c r="X31" s="86"/>
      <c r="Y31" s="86"/>
      <c r="Z31" s="48"/>
    </row>
    <row r="32" spans="1:26" ht="12.75" customHeight="1" x14ac:dyDescent="0.25">
      <c r="A32" s="85" t="str">
        <f>B3B!A252</f>
        <v>Vote 8 - Planning and Economic Development</v>
      </c>
      <c r="B32" s="73"/>
      <c r="C32" s="127">
        <f>B3B!C252</f>
        <v>83301271</v>
      </c>
      <c r="D32" s="172">
        <f>B3B!D252</f>
        <v>0</v>
      </c>
      <c r="E32" s="172">
        <f>B3B!E252</f>
        <v>0</v>
      </c>
      <c r="F32" s="172">
        <f>B3B!F252</f>
        <v>0</v>
      </c>
      <c r="G32" s="172">
        <f>B3B!G252</f>
        <v>0</v>
      </c>
      <c r="H32" s="172">
        <f>B3B!H252</f>
        <v>0</v>
      </c>
      <c r="I32" s="172">
        <f>B3B!I252</f>
        <v>-180560</v>
      </c>
      <c r="J32" s="75">
        <f t="shared" si="3"/>
        <v>-180560</v>
      </c>
      <c r="K32" s="75">
        <f t="shared" si="4"/>
        <v>83120711</v>
      </c>
      <c r="L32" s="172">
        <f>B3B!L252</f>
        <v>85107611.052139983</v>
      </c>
      <c r="M32" s="236">
        <f>B3B!M252</f>
        <v>90469369.528434828</v>
      </c>
      <c r="N32" s="864"/>
      <c r="O32" s="86"/>
      <c r="P32" s="86"/>
      <c r="Q32" s="86"/>
      <c r="R32" s="86"/>
      <c r="S32" s="86"/>
      <c r="T32" s="86"/>
      <c r="U32" s="86"/>
      <c r="V32" s="86"/>
      <c r="W32" s="86"/>
      <c r="X32" s="86"/>
      <c r="Y32" s="86"/>
      <c r="Z32" s="48"/>
    </row>
    <row r="33" spans="1:26" ht="12.75" customHeight="1" x14ac:dyDescent="0.25">
      <c r="A33" s="85" t="str">
        <f>B3B!A263</f>
        <v>Vote 9 - Budget and Treasury</v>
      </c>
      <c r="B33" s="73"/>
      <c r="C33" s="127">
        <f>B3B!C263</f>
        <v>154398374</v>
      </c>
      <c r="D33" s="172">
        <f>B3B!D263</f>
        <v>0</v>
      </c>
      <c r="E33" s="172">
        <f>B3B!E263</f>
        <v>0</v>
      </c>
      <c r="F33" s="172">
        <f>B3B!F263</f>
        <v>0</v>
      </c>
      <c r="G33" s="172">
        <f>B3B!G263</f>
        <v>0</v>
      </c>
      <c r="H33" s="172">
        <f>B3B!H263</f>
        <v>0</v>
      </c>
      <c r="I33" s="172">
        <f>B3B!I263</f>
        <v>1428000</v>
      </c>
      <c r="J33" s="75">
        <f t="shared" si="3"/>
        <v>1428000</v>
      </c>
      <c r="K33" s="75">
        <f t="shared" si="4"/>
        <v>155826374</v>
      </c>
      <c r="L33" s="172">
        <f>B3B!L263</f>
        <v>164466883.70933995</v>
      </c>
      <c r="M33" s="236">
        <f>B3B!M263</f>
        <v>174816969.56902838</v>
      </c>
      <c r="N33" s="864"/>
      <c r="O33" s="86"/>
      <c r="P33" s="86"/>
      <c r="Q33" s="86"/>
      <c r="R33" s="86"/>
      <c r="S33" s="86"/>
      <c r="T33" s="86"/>
      <c r="U33" s="86"/>
      <c r="V33" s="86"/>
      <c r="W33" s="86"/>
      <c r="X33" s="86"/>
      <c r="Y33" s="86"/>
      <c r="Z33" s="48"/>
    </row>
    <row r="34" spans="1:26" ht="12.75" customHeight="1" x14ac:dyDescent="0.25">
      <c r="A34" s="85" t="str">
        <f>B3B!A274</f>
        <v>Vote 10 - Transport Operations</v>
      </c>
      <c r="B34" s="73"/>
      <c r="C34" s="127">
        <f>B3B!C274</f>
        <v>17324531</v>
      </c>
      <c r="D34" s="172">
        <f>B3B!D274</f>
        <v>0</v>
      </c>
      <c r="E34" s="172">
        <f>B3B!E274</f>
        <v>0</v>
      </c>
      <c r="F34" s="172">
        <f>B3B!F274</f>
        <v>0</v>
      </c>
      <c r="G34" s="172">
        <f>B3B!G274</f>
        <v>0</v>
      </c>
      <c r="H34" s="172">
        <f>B3B!H274</f>
        <v>0</v>
      </c>
      <c r="I34" s="172">
        <f>B3B!I274</f>
        <v>-108000</v>
      </c>
      <c r="J34" s="75">
        <f t="shared" si="3"/>
        <v>-108000</v>
      </c>
      <c r="K34" s="75">
        <f t="shared" si="4"/>
        <v>17216531</v>
      </c>
      <c r="L34" s="172">
        <f>B3B!L274</f>
        <v>18214193.957499001</v>
      </c>
      <c r="M34" s="236">
        <f>B3B!M274</f>
        <v>19361687.306827102</v>
      </c>
      <c r="N34" s="864"/>
      <c r="O34" s="86"/>
      <c r="P34" s="86"/>
      <c r="Q34" s="86"/>
      <c r="R34" s="86"/>
      <c r="S34" s="86"/>
      <c r="T34" s="86"/>
      <c r="U34" s="86"/>
      <c r="V34" s="86"/>
      <c r="W34" s="86"/>
      <c r="X34" s="86"/>
      <c r="Y34" s="86"/>
      <c r="Z34" s="48"/>
    </row>
    <row r="35" spans="1:26" ht="12.75" customHeight="1" x14ac:dyDescent="0.25">
      <c r="A35" s="85" t="str">
        <f>B3B!A285</f>
        <v>Vote 11 - [NAME OF VOTE 11]</v>
      </c>
      <c r="B35" s="73"/>
      <c r="C35" s="127">
        <f>B3B!C285</f>
        <v>0</v>
      </c>
      <c r="D35" s="172">
        <f>B3B!D285</f>
        <v>0</v>
      </c>
      <c r="E35" s="172">
        <f>B3B!E285</f>
        <v>0</v>
      </c>
      <c r="F35" s="172">
        <f>B3B!F285</f>
        <v>0</v>
      </c>
      <c r="G35" s="172">
        <f>B3B!G285</f>
        <v>0</v>
      </c>
      <c r="H35" s="172">
        <f>B3B!H285</f>
        <v>0</v>
      </c>
      <c r="I35" s="172">
        <f>B3B!I285</f>
        <v>0</v>
      </c>
      <c r="J35" s="75">
        <f t="shared" si="3"/>
        <v>0</v>
      </c>
      <c r="K35" s="75">
        <f t="shared" si="4"/>
        <v>0</v>
      </c>
      <c r="L35" s="172">
        <f>B3B!L285</f>
        <v>0</v>
      </c>
      <c r="M35" s="236">
        <f>B3B!M285</f>
        <v>0</v>
      </c>
      <c r="N35" s="864"/>
      <c r="O35" s="86"/>
      <c r="P35" s="86"/>
      <c r="Q35" s="86"/>
      <c r="R35" s="86"/>
      <c r="S35" s="86"/>
      <c r="T35" s="86"/>
      <c r="U35" s="86"/>
      <c r="V35" s="86"/>
      <c r="W35" s="86"/>
      <c r="X35" s="86"/>
      <c r="Y35" s="86"/>
      <c r="Z35" s="48"/>
    </row>
    <row r="36" spans="1:26" ht="12.75" customHeight="1" x14ac:dyDescent="0.25">
      <c r="A36" s="85" t="str">
        <f>B3B!A296</f>
        <v>Vote 12 - [NAME OF VOTE 12]</v>
      </c>
      <c r="B36" s="73"/>
      <c r="C36" s="127">
        <f>B3B!C296</f>
        <v>0</v>
      </c>
      <c r="D36" s="172">
        <f>B3B!D296</f>
        <v>0</v>
      </c>
      <c r="E36" s="172">
        <f>B3B!E296</f>
        <v>0</v>
      </c>
      <c r="F36" s="172">
        <f>B3B!F296</f>
        <v>0</v>
      </c>
      <c r="G36" s="172">
        <f>B3B!G296</f>
        <v>0</v>
      </c>
      <c r="H36" s="172">
        <f>B3B!H296</f>
        <v>0</v>
      </c>
      <c r="I36" s="172">
        <f>B3B!I296</f>
        <v>0</v>
      </c>
      <c r="J36" s="75">
        <f t="shared" si="3"/>
        <v>0</v>
      </c>
      <c r="K36" s="75">
        <f t="shared" si="4"/>
        <v>0</v>
      </c>
      <c r="L36" s="172">
        <f>B3B!L296</f>
        <v>0</v>
      </c>
      <c r="M36" s="236">
        <f>B3B!M296</f>
        <v>0</v>
      </c>
      <c r="N36" s="864"/>
      <c r="O36" s="86"/>
      <c r="P36" s="86"/>
      <c r="Q36" s="86"/>
      <c r="R36" s="86"/>
      <c r="S36" s="86"/>
      <c r="T36" s="86"/>
      <c r="U36" s="86"/>
      <c r="V36" s="86"/>
      <c r="W36" s="86"/>
      <c r="X36" s="86"/>
      <c r="Y36" s="86"/>
      <c r="Z36" s="48"/>
    </row>
    <row r="37" spans="1:26" ht="12.75" customHeight="1" x14ac:dyDescent="0.25">
      <c r="A37" s="85" t="str">
        <f>B3B!A307</f>
        <v>Vote 13 - [NAME OF VOTE 13]</v>
      </c>
      <c r="B37" s="73"/>
      <c r="C37" s="127">
        <f>B3B!C307</f>
        <v>0</v>
      </c>
      <c r="D37" s="172">
        <f>B3B!D307</f>
        <v>0</v>
      </c>
      <c r="E37" s="172">
        <f>B3B!E307</f>
        <v>0</v>
      </c>
      <c r="F37" s="172">
        <f>B3B!F307</f>
        <v>0</v>
      </c>
      <c r="G37" s="172">
        <f>B3B!G307</f>
        <v>0</v>
      </c>
      <c r="H37" s="172">
        <f>B3B!H307</f>
        <v>0</v>
      </c>
      <c r="I37" s="172">
        <f>B3B!I307</f>
        <v>0</v>
      </c>
      <c r="J37" s="75">
        <f t="shared" si="3"/>
        <v>0</v>
      </c>
      <c r="K37" s="75">
        <f t="shared" si="4"/>
        <v>0</v>
      </c>
      <c r="L37" s="172">
        <f>B3B!L307</f>
        <v>0</v>
      </c>
      <c r="M37" s="236">
        <f>B3B!M307</f>
        <v>0</v>
      </c>
      <c r="N37" s="864"/>
      <c r="O37" s="86"/>
      <c r="P37" s="86"/>
      <c r="Q37" s="86"/>
      <c r="R37" s="86"/>
      <c r="S37" s="86"/>
      <c r="T37" s="86"/>
      <c r="U37" s="86"/>
      <c r="V37" s="86"/>
      <c r="W37" s="86"/>
      <c r="X37" s="86"/>
      <c r="Y37" s="86"/>
      <c r="Z37" s="48"/>
    </row>
    <row r="38" spans="1:26" ht="12.75" customHeight="1" x14ac:dyDescent="0.25">
      <c r="A38" s="85" t="str">
        <f>B3B!A318</f>
        <v>Vote 14 - [NAME OF VOTE 14]</v>
      </c>
      <c r="B38" s="73"/>
      <c r="C38" s="127">
        <f>B3B!C318</f>
        <v>0</v>
      </c>
      <c r="D38" s="172">
        <f>B3B!D318</f>
        <v>0</v>
      </c>
      <c r="E38" s="172">
        <f>B3B!E318</f>
        <v>0</v>
      </c>
      <c r="F38" s="172">
        <f>B3B!F318</f>
        <v>0</v>
      </c>
      <c r="G38" s="172">
        <f>B3B!G318</f>
        <v>0</v>
      </c>
      <c r="H38" s="172">
        <f>B3B!H318</f>
        <v>0</v>
      </c>
      <c r="I38" s="172">
        <f>B3B!I318</f>
        <v>0</v>
      </c>
      <c r="J38" s="75">
        <f t="shared" si="3"/>
        <v>0</v>
      </c>
      <c r="K38" s="75">
        <f t="shared" si="4"/>
        <v>0</v>
      </c>
      <c r="L38" s="172">
        <f>B3B!L318</f>
        <v>0</v>
      </c>
      <c r="M38" s="236">
        <f>B3B!M318</f>
        <v>0</v>
      </c>
      <c r="N38" s="864"/>
      <c r="O38" s="86"/>
      <c r="P38" s="86"/>
      <c r="Q38" s="86"/>
      <c r="R38" s="86"/>
      <c r="S38" s="86"/>
      <c r="T38" s="86"/>
      <c r="U38" s="86"/>
      <c r="V38" s="86"/>
      <c r="W38" s="86"/>
      <c r="X38" s="86"/>
      <c r="Y38" s="86"/>
      <c r="Z38" s="48"/>
    </row>
    <row r="39" spans="1:26" ht="12.75" customHeight="1" x14ac:dyDescent="0.25">
      <c r="A39" s="85" t="str">
        <f>B3B!A329</f>
        <v>Vote 15 - [NAME OF VOTE 15]</v>
      </c>
      <c r="B39" s="73"/>
      <c r="C39" s="127">
        <f>B3B!C329</f>
        <v>0</v>
      </c>
      <c r="D39" s="172">
        <f>B3B!D329</f>
        <v>0</v>
      </c>
      <c r="E39" s="172">
        <f>B3B!E329</f>
        <v>0</v>
      </c>
      <c r="F39" s="172">
        <f>B3B!F329</f>
        <v>0</v>
      </c>
      <c r="G39" s="172">
        <f>B3B!G329</f>
        <v>0</v>
      </c>
      <c r="H39" s="172">
        <f>B3B!H329</f>
        <v>0</v>
      </c>
      <c r="I39" s="172">
        <f>B3B!I329</f>
        <v>0</v>
      </c>
      <c r="J39" s="75">
        <f t="shared" si="3"/>
        <v>0</v>
      </c>
      <c r="K39" s="75">
        <f t="shared" si="4"/>
        <v>0</v>
      </c>
      <c r="L39" s="172">
        <f>B3B!L329</f>
        <v>0</v>
      </c>
      <c r="M39" s="236">
        <f>B3B!M329</f>
        <v>0</v>
      </c>
      <c r="N39" s="864"/>
      <c r="O39" s="86"/>
      <c r="P39" s="86"/>
      <c r="Q39" s="86"/>
      <c r="R39" s="86"/>
      <c r="S39" s="86"/>
      <c r="T39" s="86"/>
      <c r="U39" s="86"/>
      <c r="V39" s="86"/>
      <c r="W39" s="86"/>
      <c r="X39" s="86"/>
      <c r="Y39" s="86"/>
      <c r="Z39" s="48"/>
    </row>
    <row r="40" spans="1:26" ht="12.75" customHeight="1" x14ac:dyDescent="0.25">
      <c r="A40" s="78" t="s">
        <v>645</v>
      </c>
      <c r="B40" s="79">
        <v>2</v>
      </c>
      <c r="C40" s="80">
        <f>SUM(C25:C39)</f>
        <v>2288560000</v>
      </c>
      <c r="D40" s="81">
        <f t="shared" ref="D40:I40" si="5">SUM(D25:D39)</f>
        <v>0</v>
      </c>
      <c r="E40" s="81">
        <f t="shared" si="5"/>
        <v>0</v>
      </c>
      <c r="F40" s="81">
        <f t="shared" si="5"/>
        <v>0</v>
      </c>
      <c r="G40" s="81">
        <f t="shared" si="5"/>
        <v>0</v>
      </c>
      <c r="H40" s="81">
        <f t="shared" si="5"/>
        <v>0</v>
      </c>
      <c r="I40" s="81">
        <f t="shared" si="5"/>
        <v>33410000</v>
      </c>
      <c r="J40" s="81">
        <f>SUM(J25:J39)</f>
        <v>33410000</v>
      </c>
      <c r="K40" s="81">
        <f>SUM(K25:K39)</f>
        <v>2321970000</v>
      </c>
      <c r="L40" s="81">
        <f>SUM(L25:L39)</f>
        <v>2358123014.6993685</v>
      </c>
      <c r="M40" s="82">
        <f>SUM(M25:M39)</f>
        <v>2476909030.6937881</v>
      </c>
      <c r="N40" s="554"/>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582191000</v>
      </c>
      <c r="D41" s="90">
        <f t="shared" ref="D41:M41" si="6">D22-D40</f>
        <v>0</v>
      </c>
      <c r="E41" s="90">
        <f t="shared" si="6"/>
        <v>0</v>
      </c>
      <c r="F41" s="90">
        <f t="shared" si="6"/>
        <v>0</v>
      </c>
      <c r="G41" s="90">
        <f t="shared" si="6"/>
        <v>0</v>
      </c>
      <c r="H41" s="90">
        <f t="shared" si="6"/>
        <v>42808657</v>
      </c>
      <c r="I41" s="90">
        <f t="shared" si="6"/>
        <v>2500343</v>
      </c>
      <c r="J41" s="90">
        <f t="shared" si="6"/>
        <v>45309000</v>
      </c>
      <c r="K41" s="90">
        <f t="shared" si="6"/>
        <v>627500000</v>
      </c>
      <c r="L41" s="90">
        <f t="shared" si="6"/>
        <v>595757941.30201149</v>
      </c>
      <c r="M41" s="91">
        <f t="shared" si="6"/>
        <v>712040876.23443317</v>
      </c>
      <c r="N41" s="554"/>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1173</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46" t="s">
        <v>1174</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320" t="s">
        <v>1099</v>
      </c>
      <c r="B45" s="1320"/>
      <c r="C45" s="1320"/>
      <c r="D45" s="1320"/>
      <c r="E45" s="1320"/>
      <c r="F45" s="1320"/>
      <c r="G45" s="1320"/>
      <c r="H45" s="1320"/>
      <c r="I45" s="1320"/>
      <c r="J45" s="1320"/>
      <c r="K45" s="1320"/>
      <c r="L45" s="1320"/>
      <c r="M45" s="1320"/>
    </row>
    <row r="46" spans="1:26" ht="25.5" customHeight="1" x14ac:dyDescent="0.25">
      <c r="A46" s="1320" t="s">
        <v>1168</v>
      </c>
      <c r="B46" s="1320"/>
      <c r="C46" s="1320"/>
      <c r="D46" s="1320"/>
      <c r="E46" s="1320"/>
      <c r="F46" s="1320"/>
      <c r="G46" s="1320"/>
      <c r="H46" s="1320"/>
      <c r="I46" s="1320"/>
      <c r="J46" s="1320"/>
      <c r="K46" s="1320"/>
      <c r="L46" s="1320"/>
      <c r="M46" s="1320"/>
    </row>
    <row r="47" spans="1:26" ht="12.75" customHeight="1" x14ac:dyDescent="0.25">
      <c r="A47" s="1314" t="s">
        <v>1169</v>
      </c>
      <c r="B47" s="1314"/>
      <c r="C47" s="1314"/>
      <c r="D47" s="1314"/>
      <c r="E47" s="1314"/>
      <c r="F47" s="1314"/>
      <c r="G47" s="1314"/>
      <c r="H47" s="1314"/>
      <c r="I47" s="1314"/>
      <c r="J47" s="1314"/>
      <c r="K47" s="1314"/>
      <c r="L47" s="1314"/>
      <c r="M47" s="1314"/>
    </row>
    <row r="48" spans="1:26" ht="12.75" customHeight="1" x14ac:dyDescent="0.25">
      <c r="A48" s="1314" t="s">
        <v>1170</v>
      </c>
      <c r="B48" s="1314"/>
      <c r="C48" s="1314"/>
      <c r="D48" s="1314"/>
      <c r="E48" s="1314"/>
      <c r="F48" s="1314"/>
      <c r="G48" s="1314"/>
      <c r="H48" s="1314"/>
      <c r="I48" s="1314"/>
      <c r="J48" s="1314"/>
      <c r="K48" s="1314"/>
      <c r="L48" s="1314"/>
      <c r="M48" s="1314"/>
    </row>
    <row r="49" spans="1:13" ht="12.75" customHeight="1" x14ac:dyDescent="0.25">
      <c r="A49" s="99" t="s">
        <v>1171</v>
      </c>
      <c r="B49" s="93"/>
      <c r="C49" s="96"/>
      <c r="D49" s="96"/>
      <c r="E49" s="96"/>
      <c r="F49" s="96"/>
      <c r="G49" s="96"/>
      <c r="H49" s="96"/>
      <c r="I49" s="96"/>
      <c r="J49" s="96"/>
      <c r="K49" s="96"/>
      <c r="L49" s="96"/>
      <c r="M49" s="96"/>
    </row>
    <row r="50" spans="1:13" ht="27.75" customHeight="1" x14ac:dyDescent="0.25">
      <c r="A50" s="1314" t="s">
        <v>1172</v>
      </c>
      <c r="B50" s="1314"/>
      <c r="C50" s="1314"/>
      <c r="D50" s="1314"/>
      <c r="E50" s="1314"/>
      <c r="F50" s="1314"/>
      <c r="G50" s="1314"/>
      <c r="H50" s="1314"/>
      <c r="I50" s="1314"/>
      <c r="J50" s="1314"/>
      <c r="K50" s="1314"/>
      <c r="L50" s="1314"/>
      <c r="M50" s="1314"/>
    </row>
    <row r="51" spans="1:13" ht="12.75" customHeight="1" x14ac:dyDescent="0.25">
      <c r="A51" s="99" t="s">
        <v>646</v>
      </c>
      <c r="B51" s="93"/>
      <c r="C51" s="96"/>
      <c r="D51" s="96"/>
      <c r="E51" s="96"/>
      <c r="F51" s="96"/>
      <c r="G51" s="96"/>
      <c r="H51" s="96"/>
      <c r="I51" s="96"/>
      <c r="J51" s="96"/>
      <c r="K51" s="96"/>
      <c r="L51" s="96"/>
      <c r="M51" s="96"/>
    </row>
    <row r="52" spans="1:13" ht="12.75" customHeight="1" x14ac:dyDescent="0.25">
      <c r="A52" s="1314" t="s">
        <v>647</v>
      </c>
      <c r="B52" s="1314"/>
      <c r="C52" s="1314"/>
      <c r="D52" s="1314"/>
      <c r="E52" s="1314"/>
      <c r="F52" s="1314"/>
      <c r="G52" s="1314"/>
      <c r="H52" s="1314"/>
      <c r="I52" s="1314"/>
      <c r="J52" s="1314"/>
      <c r="K52" s="1314"/>
      <c r="L52" s="1314"/>
      <c r="M52" s="1314"/>
    </row>
    <row r="53" spans="1:13" ht="12.75" customHeight="1" x14ac:dyDescent="0.25">
      <c r="A53" s="48"/>
    </row>
    <row r="54" spans="1:13" ht="12.75" customHeight="1" x14ac:dyDescent="0.25">
      <c r="A54" s="101" t="s">
        <v>648</v>
      </c>
      <c r="C54" s="349">
        <f>C22-'B4-FinPerf RE'!C63</f>
        <v>-5.9995651245117188E-3</v>
      </c>
      <c r="D54" s="349">
        <f>D22-'B4-FinPerf RE'!D63</f>
        <v>0</v>
      </c>
      <c r="E54" s="349">
        <f>E22-'B4-FinPerf RE'!E63</f>
        <v>0</v>
      </c>
      <c r="F54" s="349">
        <f>F22-'B4-FinPerf RE'!F63</f>
        <v>0</v>
      </c>
      <c r="G54" s="349">
        <f>G22-'B4-FinPerf RE'!G63</f>
        <v>0</v>
      </c>
      <c r="H54" s="349">
        <f>H22-'B4-FinPerf RE'!H63</f>
        <v>0</v>
      </c>
      <c r="I54" s="349">
        <f>I22-'B4-FinPerf RE'!I63</f>
        <v>381</v>
      </c>
      <c r="J54" s="349">
        <f>J22-'B4-FinPerf RE'!J63</f>
        <v>381</v>
      </c>
      <c r="K54" s="349">
        <f>K22-'B4-FinPerf RE'!K63</f>
        <v>380.99400043487549</v>
      </c>
      <c r="L54" s="349">
        <f>L22-'B4-FinPerf RE'!L63</f>
        <v>0</v>
      </c>
      <c r="M54" s="349">
        <f>M22-'B4-FinPerf RE'!M63</f>
        <v>0</v>
      </c>
    </row>
    <row r="55" spans="1:13" ht="12.75" customHeight="1" x14ac:dyDescent="0.25">
      <c r="A55" s="101" t="s">
        <v>649</v>
      </c>
      <c r="C55" s="349">
        <f>C40-'B4-FinPerf RE'!C38</f>
        <v>-0.44199991226196289</v>
      </c>
      <c r="D55" s="349">
        <f>D40-'B4-FinPerf RE'!D38</f>
        <v>0</v>
      </c>
      <c r="E55" s="349">
        <f>E40-'B4-FinPerf RE'!E38</f>
        <v>0</v>
      </c>
      <c r="F55" s="349">
        <f>F40-'B4-FinPerf RE'!F38</f>
        <v>0</v>
      </c>
      <c r="G55" s="349">
        <f>G40-'B4-FinPerf RE'!G38</f>
        <v>0</v>
      </c>
      <c r="H55" s="349">
        <f>H40-'B4-FinPerf RE'!H38</f>
        <v>0</v>
      </c>
      <c r="I55" s="349">
        <f>I40-'B4-FinPerf RE'!I38</f>
        <v>0</v>
      </c>
      <c r="J55" s="349">
        <f>J40-'B4-FinPerf RE'!J38</f>
        <v>0</v>
      </c>
      <c r="K55" s="349">
        <f>K40-'B4-FinPerf RE'!K38</f>
        <v>-0.44199991226196289</v>
      </c>
      <c r="L55" s="349">
        <f>L40-'B4-FinPerf RE'!L38</f>
        <v>-4284000</v>
      </c>
      <c r="M55" s="349">
        <f>M40-'B4-FinPerf RE'!M38</f>
        <v>0</v>
      </c>
    </row>
    <row r="56" spans="1:13" ht="11.25" customHeight="1" x14ac:dyDescent="0.25">
      <c r="A56" s="48"/>
      <c r="B56" s="859"/>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90" workbookViewId="0">
      <selection activeCell="I98" sqref="I98"/>
    </sheetView>
  </sheetViews>
  <sheetFormatPr defaultRowHeight="12.75" x14ac:dyDescent="0.2"/>
  <cols>
    <col min="1" max="1" width="27.42578125" customWidth="1"/>
    <col min="2" max="2" width="5.28515625" customWidth="1"/>
    <col min="3" max="13" width="10.140625" customWidth="1"/>
  </cols>
  <sheetData>
    <row r="1" spans="1:13" ht="13.5" x14ac:dyDescent="0.25">
      <c r="A1" s="57" t="str">
        <f>muni&amp;" - "&amp;_ADJ2&amp;" - B"&amp;" - "&amp;Date</f>
        <v>LIM354 Polokwane - Table B3 Adjustments Budget Financial Performance (revenue and expenditure by municipal vote) - B - 25 February 2016</v>
      </c>
      <c r="B1" s="5"/>
      <c r="C1" s="58"/>
      <c r="D1" s="5"/>
      <c r="E1" s="5"/>
      <c r="F1" s="5"/>
      <c r="G1" s="5"/>
      <c r="H1" s="5"/>
      <c r="I1" s="5"/>
      <c r="J1" s="5"/>
      <c r="K1" s="5"/>
      <c r="L1" s="5"/>
      <c r="M1" s="5"/>
    </row>
    <row r="2" spans="1:13" ht="25.5" x14ac:dyDescent="0.2">
      <c r="A2" s="1321" t="str">
        <f>Vdesc</f>
        <v>Vote Description</v>
      </c>
      <c r="B2" s="1318" t="str">
        <f>head27</f>
        <v>Ref</v>
      </c>
      <c r="C2" s="1315" t="str">
        <f>Head2</f>
        <v>Budget Year 2015/16</v>
      </c>
      <c r="D2" s="1316"/>
      <c r="E2" s="1316"/>
      <c r="F2" s="1316"/>
      <c r="G2" s="1316"/>
      <c r="H2" s="1316"/>
      <c r="I2" s="1316"/>
      <c r="J2" s="1316"/>
      <c r="K2" s="1317"/>
      <c r="L2" s="60" t="str">
        <f>Head10</f>
        <v>Budget Year +1 2016/17</v>
      </c>
      <c r="M2" s="61" t="str">
        <f>Head11</f>
        <v>Budget Year +2 2017/18</v>
      </c>
    </row>
    <row r="3" spans="1:13" ht="25.5" x14ac:dyDescent="0.2">
      <c r="A3" s="1322"/>
      <c r="B3" s="13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640</v>
      </c>
      <c r="B4" s="1319"/>
      <c r="C4" s="65"/>
      <c r="D4" s="15">
        <v>3</v>
      </c>
      <c r="E4" s="15">
        <v>4</v>
      </c>
      <c r="F4" s="15">
        <v>5</v>
      </c>
      <c r="G4" s="15">
        <v>6</v>
      </c>
      <c r="H4" s="15">
        <v>7</v>
      </c>
      <c r="I4" s="15">
        <v>8</v>
      </c>
      <c r="J4" s="15">
        <v>9</v>
      </c>
      <c r="K4" s="15">
        <v>10</v>
      </c>
      <c r="L4" s="15"/>
      <c r="M4" s="17"/>
    </row>
    <row r="5" spans="1:13" ht="13.5" x14ac:dyDescent="0.25">
      <c r="A5" s="18" t="s">
        <v>641</v>
      </c>
      <c r="B5" s="1328"/>
      <c r="C5" s="125" t="s">
        <v>581</v>
      </c>
      <c r="D5" s="20" t="s">
        <v>582</v>
      </c>
      <c r="E5" s="20" t="s">
        <v>583</v>
      </c>
      <c r="F5" s="21" t="s">
        <v>584</v>
      </c>
      <c r="G5" s="21" t="s">
        <v>585</v>
      </c>
      <c r="H5" s="21" t="s">
        <v>586</v>
      </c>
      <c r="I5" s="22" t="s">
        <v>587</v>
      </c>
      <c r="J5" s="22" t="s">
        <v>588</v>
      </c>
      <c r="K5" s="22" t="s">
        <v>589</v>
      </c>
      <c r="L5" s="70"/>
      <c r="M5" s="71"/>
    </row>
    <row r="6" spans="1:13" ht="13.5" x14ac:dyDescent="0.25">
      <c r="A6" s="746" t="s">
        <v>642</v>
      </c>
      <c r="B6" s="942">
        <v>1</v>
      </c>
      <c r="C6" s="784"/>
      <c r="D6" s="785"/>
      <c r="E6" s="785"/>
      <c r="F6" s="785"/>
      <c r="G6" s="785"/>
      <c r="H6" s="785"/>
      <c r="I6" s="785"/>
      <c r="J6" s="785"/>
      <c r="K6" s="785"/>
      <c r="L6" s="747"/>
      <c r="M6" s="776"/>
    </row>
    <row r="7" spans="1:13" ht="13.5" x14ac:dyDescent="0.25">
      <c r="A7" s="763" t="str">
        <f>'Org structure'!A2</f>
        <v>Vote 1 - COUNCIL</v>
      </c>
      <c r="B7" s="943"/>
      <c r="C7" s="750">
        <f>SUM(C8:C17)</f>
        <v>0</v>
      </c>
      <c r="D7" s="749">
        <f t="shared" ref="D7:I7" si="0">SUM(D8:D17)</f>
        <v>0</v>
      </c>
      <c r="E7" s="749">
        <f t="shared" si="0"/>
        <v>0</v>
      </c>
      <c r="F7" s="749">
        <f t="shared" si="0"/>
        <v>0</v>
      </c>
      <c r="G7" s="749">
        <f t="shared" si="0"/>
        <v>0</v>
      </c>
      <c r="H7" s="749">
        <f t="shared" si="0"/>
        <v>0</v>
      </c>
      <c r="I7" s="749">
        <f t="shared" si="0"/>
        <v>0</v>
      </c>
      <c r="J7" s="75">
        <f>SUM(E7:I7)</f>
        <v>0</v>
      </c>
      <c r="K7" s="75">
        <f>IF(D7=0,C7+J7,D7+J7)</f>
        <v>0</v>
      </c>
      <c r="L7" s="749">
        <f>SUM(L8:L17)</f>
        <v>0</v>
      </c>
      <c r="M7" s="777">
        <f>SUM(M8:M17)</f>
        <v>0</v>
      </c>
    </row>
    <row r="8" spans="1:13" ht="13.5" x14ac:dyDescent="0.25">
      <c r="A8" s="766" t="s">
        <v>1672</v>
      </c>
      <c r="B8" s="944"/>
      <c r="C8" s="752"/>
      <c r="D8" s="751"/>
      <c r="E8" s="751"/>
      <c r="F8" s="751"/>
      <c r="G8" s="751"/>
      <c r="H8" s="751"/>
      <c r="I8" s="751"/>
      <c r="J8" s="75">
        <f t="shared" ref="J8:J71" si="1">SUM(E8:I8)</f>
        <v>0</v>
      </c>
      <c r="K8" s="75">
        <f t="shared" ref="K8:K71" si="2">IF(D8=0,C8+J8,D8+J8)</f>
        <v>0</v>
      </c>
      <c r="L8" s="751"/>
      <c r="M8" s="753"/>
    </row>
    <row r="9" spans="1:13" ht="13.5" x14ac:dyDescent="0.25">
      <c r="A9" s="766" t="s">
        <v>1673</v>
      </c>
      <c r="B9" s="944"/>
      <c r="C9" s="752"/>
      <c r="D9" s="751"/>
      <c r="E9" s="751"/>
      <c r="F9" s="751"/>
      <c r="G9" s="751"/>
      <c r="H9" s="751"/>
      <c r="I9" s="751"/>
      <c r="J9" s="75">
        <f t="shared" si="1"/>
        <v>0</v>
      </c>
      <c r="K9" s="75">
        <f t="shared" si="2"/>
        <v>0</v>
      </c>
      <c r="L9" s="751"/>
      <c r="M9" s="753"/>
    </row>
    <row r="10" spans="1:13" ht="13.5" x14ac:dyDescent="0.25">
      <c r="A10" s="766" t="s">
        <v>1674</v>
      </c>
      <c r="B10" s="944"/>
      <c r="C10" s="752"/>
      <c r="D10" s="751"/>
      <c r="E10" s="751"/>
      <c r="F10" s="751"/>
      <c r="G10" s="751"/>
      <c r="H10" s="751"/>
      <c r="I10" s="751"/>
      <c r="J10" s="75">
        <f t="shared" si="1"/>
        <v>0</v>
      </c>
      <c r="K10" s="75">
        <f t="shared" si="2"/>
        <v>0</v>
      </c>
      <c r="L10" s="751"/>
      <c r="M10" s="753"/>
    </row>
    <row r="11" spans="1:13" ht="13.5" x14ac:dyDescent="0.25">
      <c r="A11" s="766" t="s">
        <v>1675</v>
      </c>
      <c r="B11" s="944"/>
      <c r="C11" s="752"/>
      <c r="D11" s="751"/>
      <c r="E11" s="751"/>
      <c r="F11" s="751"/>
      <c r="G11" s="751"/>
      <c r="H11" s="751"/>
      <c r="I11" s="751"/>
      <c r="J11" s="75">
        <f t="shared" si="1"/>
        <v>0</v>
      </c>
      <c r="K11" s="75">
        <f t="shared" si="2"/>
        <v>0</v>
      </c>
      <c r="L11" s="751"/>
      <c r="M11" s="753"/>
    </row>
    <row r="12" spans="1:13" ht="13.5" x14ac:dyDescent="0.25">
      <c r="A12" s="766">
        <f>'Org structure'!E7</f>
        <v>0</v>
      </c>
      <c r="B12" s="944"/>
      <c r="C12" s="752"/>
      <c r="D12" s="751"/>
      <c r="E12" s="751"/>
      <c r="F12" s="751"/>
      <c r="G12" s="751"/>
      <c r="H12" s="751"/>
      <c r="I12" s="751"/>
      <c r="J12" s="75">
        <f t="shared" si="1"/>
        <v>0</v>
      </c>
      <c r="K12" s="75">
        <f t="shared" si="2"/>
        <v>0</v>
      </c>
      <c r="L12" s="751"/>
      <c r="M12" s="753"/>
    </row>
    <row r="13" spans="1:13" ht="13.5" x14ac:dyDescent="0.25">
      <c r="A13" s="766">
        <f>'Org structure'!E8</f>
        <v>0</v>
      </c>
      <c r="B13" s="944"/>
      <c r="C13" s="752"/>
      <c r="D13" s="751"/>
      <c r="E13" s="751"/>
      <c r="F13" s="751"/>
      <c r="G13" s="751"/>
      <c r="H13" s="751"/>
      <c r="I13" s="751"/>
      <c r="J13" s="75">
        <f t="shared" si="1"/>
        <v>0</v>
      </c>
      <c r="K13" s="75">
        <f t="shared" si="2"/>
        <v>0</v>
      </c>
      <c r="L13" s="751"/>
      <c r="M13" s="753"/>
    </row>
    <row r="14" spans="1:13" ht="13.5" x14ac:dyDescent="0.25">
      <c r="A14" s="766">
        <f>'Org structure'!E9</f>
        <v>0</v>
      </c>
      <c r="B14" s="944"/>
      <c r="C14" s="752"/>
      <c r="D14" s="751"/>
      <c r="E14" s="751"/>
      <c r="F14" s="751"/>
      <c r="G14" s="751"/>
      <c r="H14" s="751"/>
      <c r="I14" s="751"/>
      <c r="J14" s="75">
        <f t="shared" si="1"/>
        <v>0</v>
      </c>
      <c r="K14" s="75">
        <f t="shared" si="2"/>
        <v>0</v>
      </c>
      <c r="L14" s="751"/>
      <c r="M14" s="753"/>
    </row>
    <row r="15" spans="1:13" ht="13.5" x14ac:dyDescent="0.25">
      <c r="A15" s="766">
        <f>'Org structure'!E10</f>
        <v>0</v>
      </c>
      <c r="B15" s="944"/>
      <c r="C15" s="752"/>
      <c r="D15" s="751"/>
      <c r="E15" s="751"/>
      <c r="F15" s="751"/>
      <c r="G15" s="751"/>
      <c r="H15" s="751"/>
      <c r="I15" s="751"/>
      <c r="J15" s="75">
        <f t="shared" si="1"/>
        <v>0</v>
      </c>
      <c r="K15" s="75">
        <f t="shared" si="2"/>
        <v>0</v>
      </c>
      <c r="L15" s="751"/>
      <c r="M15" s="753"/>
    </row>
    <row r="16" spans="1:13" ht="13.5" x14ac:dyDescent="0.25">
      <c r="A16" s="766">
        <f>'Org structure'!E11</f>
        <v>0</v>
      </c>
      <c r="B16" s="944"/>
      <c r="C16" s="752"/>
      <c r="D16" s="751"/>
      <c r="E16" s="751"/>
      <c r="F16" s="751"/>
      <c r="G16" s="751"/>
      <c r="H16" s="751"/>
      <c r="I16" s="751"/>
      <c r="J16" s="75">
        <f t="shared" si="1"/>
        <v>0</v>
      </c>
      <c r="K16" s="75">
        <f t="shared" si="2"/>
        <v>0</v>
      </c>
      <c r="L16" s="751"/>
      <c r="M16" s="753"/>
    </row>
    <row r="17" spans="1:13" ht="13.5" x14ac:dyDescent="0.25">
      <c r="A17" s="766">
        <f>'Org structure'!E12</f>
        <v>0</v>
      </c>
      <c r="B17" s="944"/>
      <c r="C17" s="752"/>
      <c r="D17" s="751"/>
      <c r="E17" s="751"/>
      <c r="F17" s="751"/>
      <c r="G17" s="751"/>
      <c r="H17" s="751"/>
      <c r="I17" s="751"/>
      <c r="J17" s="75">
        <f t="shared" si="1"/>
        <v>0</v>
      </c>
      <c r="K17" s="75">
        <f t="shared" si="2"/>
        <v>0</v>
      </c>
      <c r="L17" s="751"/>
      <c r="M17" s="753"/>
    </row>
    <row r="18" spans="1:13" ht="13.5" x14ac:dyDescent="0.25">
      <c r="A18" s="763" t="str">
        <f>'Org structure'!A3</f>
        <v>Vote 2 - Office of the Municipal Manger</v>
      </c>
      <c r="B18" s="943"/>
      <c r="C18" s="750">
        <f>SUM(C19:C28)</f>
        <v>0</v>
      </c>
      <c r="D18" s="749">
        <f t="shared" ref="D18:I18" si="3">SUM(D19:D28)</f>
        <v>0</v>
      </c>
      <c r="E18" s="749">
        <f t="shared" si="3"/>
        <v>0</v>
      </c>
      <c r="F18" s="749">
        <f t="shared" si="3"/>
        <v>0</v>
      </c>
      <c r="G18" s="749">
        <f t="shared" si="3"/>
        <v>0</v>
      </c>
      <c r="H18" s="749">
        <f t="shared" si="3"/>
        <v>0</v>
      </c>
      <c r="I18" s="749">
        <f t="shared" si="3"/>
        <v>0</v>
      </c>
      <c r="J18" s="75">
        <f t="shared" si="1"/>
        <v>0</v>
      </c>
      <c r="K18" s="75">
        <f t="shared" si="2"/>
        <v>0</v>
      </c>
      <c r="L18" s="749">
        <f>SUM(L19:L28)</f>
        <v>0</v>
      </c>
      <c r="M18" s="777">
        <f>SUM(M19:M28)</f>
        <v>0</v>
      </c>
    </row>
    <row r="19" spans="1:13" ht="13.5" x14ac:dyDescent="0.25">
      <c r="A19" s="766" t="s">
        <v>1677</v>
      </c>
      <c r="B19" s="944"/>
      <c r="C19" s="752"/>
      <c r="D19" s="751"/>
      <c r="E19" s="751"/>
      <c r="F19" s="751"/>
      <c r="G19" s="751"/>
      <c r="H19" s="751"/>
      <c r="I19" s="751"/>
      <c r="J19" s="75">
        <f t="shared" si="1"/>
        <v>0</v>
      </c>
      <c r="K19" s="75">
        <f t="shared" si="2"/>
        <v>0</v>
      </c>
      <c r="L19" s="751"/>
      <c r="M19" s="753"/>
    </row>
    <row r="20" spans="1:13" ht="13.5" x14ac:dyDescent="0.25">
      <c r="A20" s="766" t="s">
        <v>1678</v>
      </c>
      <c r="B20" s="944"/>
      <c r="C20" s="752"/>
      <c r="D20" s="751"/>
      <c r="E20" s="751"/>
      <c r="F20" s="751"/>
      <c r="G20" s="751"/>
      <c r="H20" s="751"/>
      <c r="I20" s="751"/>
      <c r="J20" s="75">
        <f t="shared" si="1"/>
        <v>0</v>
      </c>
      <c r="K20" s="75">
        <f t="shared" si="2"/>
        <v>0</v>
      </c>
      <c r="L20" s="751"/>
      <c r="M20" s="753"/>
    </row>
    <row r="21" spans="1:13" ht="13.5" x14ac:dyDescent="0.25">
      <c r="A21" s="766" t="s">
        <v>1681</v>
      </c>
      <c r="B21" s="944"/>
      <c r="C21" s="752"/>
      <c r="D21" s="751"/>
      <c r="E21" s="751"/>
      <c r="F21" s="751"/>
      <c r="G21" s="751"/>
      <c r="H21" s="751"/>
      <c r="I21" s="751"/>
      <c r="J21" s="75">
        <f t="shared" si="1"/>
        <v>0</v>
      </c>
      <c r="K21" s="75">
        <f t="shared" si="2"/>
        <v>0</v>
      </c>
      <c r="L21" s="751"/>
      <c r="M21" s="753"/>
    </row>
    <row r="22" spans="1:13" ht="13.5" x14ac:dyDescent="0.25">
      <c r="A22" s="766" t="s">
        <v>1682</v>
      </c>
      <c r="B22" s="944"/>
      <c r="C22" s="752"/>
      <c r="D22" s="751"/>
      <c r="E22" s="751"/>
      <c r="F22" s="751"/>
      <c r="G22" s="751"/>
      <c r="H22" s="751"/>
      <c r="I22" s="751"/>
      <c r="J22" s="75">
        <f t="shared" si="1"/>
        <v>0</v>
      </c>
      <c r="K22" s="75">
        <f t="shared" si="2"/>
        <v>0</v>
      </c>
      <c r="L22" s="751"/>
      <c r="M22" s="753"/>
    </row>
    <row r="23" spans="1:13" ht="13.5" x14ac:dyDescent="0.25">
      <c r="A23" s="766">
        <f>'Org structure'!E18</f>
        <v>0</v>
      </c>
      <c r="B23" s="944"/>
      <c r="C23" s="752"/>
      <c r="D23" s="751"/>
      <c r="E23" s="751"/>
      <c r="F23" s="751"/>
      <c r="G23" s="751"/>
      <c r="H23" s="751"/>
      <c r="I23" s="751"/>
      <c r="J23" s="75">
        <f t="shared" si="1"/>
        <v>0</v>
      </c>
      <c r="K23" s="75">
        <f t="shared" si="2"/>
        <v>0</v>
      </c>
      <c r="L23" s="751"/>
      <c r="M23" s="753"/>
    </row>
    <row r="24" spans="1:13" ht="13.5" x14ac:dyDescent="0.25">
      <c r="A24" s="766">
        <f>'Org structure'!E19</f>
        <v>0</v>
      </c>
      <c r="B24" s="944"/>
      <c r="C24" s="752"/>
      <c r="D24" s="751"/>
      <c r="E24" s="751"/>
      <c r="F24" s="751"/>
      <c r="G24" s="751"/>
      <c r="H24" s="751"/>
      <c r="I24" s="751"/>
      <c r="J24" s="75">
        <f t="shared" si="1"/>
        <v>0</v>
      </c>
      <c r="K24" s="75">
        <f t="shared" si="2"/>
        <v>0</v>
      </c>
      <c r="L24" s="751"/>
      <c r="M24" s="753"/>
    </row>
    <row r="25" spans="1:13" ht="13.5" x14ac:dyDescent="0.25">
      <c r="A25" s="766">
        <f>'Org structure'!E20</f>
        <v>0</v>
      </c>
      <c r="B25" s="944"/>
      <c r="C25" s="752"/>
      <c r="D25" s="751"/>
      <c r="E25" s="751"/>
      <c r="F25" s="751"/>
      <c r="G25" s="751"/>
      <c r="H25" s="751"/>
      <c r="I25" s="751"/>
      <c r="J25" s="75">
        <f t="shared" si="1"/>
        <v>0</v>
      </c>
      <c r="K25" s="75">
        <f t="shared" si="2"/>
        <v>0</v>
      </c>
      <c r="L25" s="751"/>
      <c r="M25" s="753"/>
    </row>
    <row r="26" spans="1:13" ht="13.5" x14ac:dyDescent="0.25">
      <c r="A26" s="766">
        <f>'Org structure'!E21</f>
        <v>0</v>
      </c>
      <c r="B26" s="944"/>
      <c r="C26" s="752"/>
      <c r="D26" s="751"/>
      <c r="E26" s="751"/>
      <c r="F26" s="751"/>
      <c r="G26" s="751"/>
      <c r="H26" s="751"/>
      <c r="I26" s="751"/>
      <c r="J26" s="75">
        <f t="shared" si="1"/>
        <v>0</v>
      </c>
      <c r="K26" s="75">
        <f t="shared" si="2"/>
        <v>0</v>
      </c>
      <c r="L26" s="751"/>
      <c r="M26" s="753"/>
    </row>
    <row r="27" spans="1:13" ht="13.5" x14ac:dyDescent="0.25">
      <c r="A27" s="766">
        <f>'Org structure'!E22</f>
        <v>0</v>
      </c>
      <c r="B27" s="944"/>
      <c r="C27" s="752"/>
      <c r="D27" s="751"/>
      <c r="E27" s="751"/>
      <c r="F27" s="751"/>
      <c r="G27" s="751"/>
      <c r="H27" s="751"/>
      <c r="I27" s="751"/>
      <c r="J27" s="75">
        <f t="shared" si="1"/>
        <v>0</v>
      </c>
      <c r="K27" s="75">
        <f t="shared" si="2"/>
        <v>0</v>
      </c>
      <c r="L27" s="751"/>
      <c r="M27" s="753"/>
    </row>
    <row r="28" spans="1:13" ht="13.5" x14ac:dyDescent="0.25">
      <c r="A28" s="766">
        <f>'Org structure'!E23</f>
        <v>0</v>
      </c>
      <c r="B28" s="944"/>
      <c r="C28" s="752"/>
      <c r="D28" s="751"/>
      <c r="E28" s="751"/>
      <c r="F28" s="751"/>
      <c r="G28" s="751"/>
      <c r="H28" s="751"/>
      <c r="I28" s="751"/>
      <c r="J28" s="75">
        <f t="shared" si="1"/>
        <v>0</v>
      </c>
      <c r="K28" s="75">
        <f t="shared" si="2"/>
        <v>0</v>
      </c>
      <c r="L28" s="751"/>
      <c r="M28" s="753"/>
    </row>
    <row r="29" spans="1:13" ht="13.5" x14ac:dyDescent="0.25">
      <c r="A29" s="763" t="str">
        <f>'Org structure'!A4</f>
        <v>Vote 3 - Strategic Planning Monitoring and Evaluation</v>
      </c>
      <c r="B29" s="943"/>
      <c r="C29" s="750">
        <f t="shared" ref="C29:I29" si="4">SUM(C30:C39)</f>
        <v>0</v>
      </c>
      <c r="D29" s="749">
        <f t="shared" si="4"/>
        <v>0</v>
      </c>
      <c r="E29" s="749">
        <f t="shared" si="4"/>
        <v>0</v>
      </c>
      <c r="F29" s="749">
        <f t="shared" si="4"/>
        <v>0</v>
      </c>
      <c r="G29" s="749">
        <f t="shared" si="4"/>
        <v>0</v>
      </c>
      <c r="H29" s="749">
        <f t="shared" si="4"/>
        <v>0</v>
      </c>
      <c r="I29" s="749">
        <f t="shared" si="4"/>
        <v>0</v>
      </c>
      <c r="J29" s="75">
        <f t="shared" si="1"/>
        <v>0</v>
      </c>
      <c r="K29" s="75">
        <f t="shared" si="2"/>
        <v>0</v>
      </c>
      <c r="L29" s="749">
        <f>SUM(L30:L39)</f>
        <v>0</v>
      </c>
      <c r="M29" s="777">
        <f>SUM(M30:M39)</f>
        <v>0</v>
      </c>
    </row>
    <row r="30" spans="1:13" ht="13.5" x14ac:dyDescent="0.25">
      <c r="A30" s="766" t="str">
        <f>'Org structure'!E25</f>
        <v>3.1 - Director Strategic Planning Monitoring and Evaluation</v>
      </c>
      <c r="B30" s="944"/>
      <c r="C30" s="752"/>
      <c r="D30" s="751"/>
      <c r="E30" s="751"/>
      <c r="F30" s="751"/>
      <c r="G30" s="751"/>
      <c r="H30" s="751"/>
      <c r="I30" s="751"/>
      <c r="J30" s="75">
        <f t="shared" si="1"/>
        <v>0</v>
      </c>
      <c r="K30" s="75">
        <f t="shared" si="2"/>
        <v>0</v>
      </c>
      <c r="L30" s="751"/>
      <c r="M30" s="753"/>
    </row>
    <row r="31" spans="1:13" ht="13.5" x14ac:dyDescent="0.25">
      <c r="A31" s="766" t="str">
        <f>'Org structure'!E26</f>
        <v>3.2 - Risk Management</v>
      </c>
      <c r="B31" s="944"/>
      <c r="C31" s="752"/>
      <c r="D31" s="751"/>
      <c r="E31" s="751"/>
      <c r="F31" s="751"/>
      <c r="G31" s="751"/>
      <c r="H31" s="751"/>
      <c r="I31" s="751"/>
      <c r="J31" s="75">
        <f t="shared" si="1"/>
        <v>0</v>
      </c>
      <c r="K31" s="75">
        <f t="shared" si="2"/>
        <v>0</v>
      </c>
      <c r="L31" s="751"/>
      <c r="M31" s="753"/>
    </row>
    <row r="32" spans="1:13" ht="13.5" x14ac:dyDescent="0.25">
      <c r="A32" s="766" t="str">
        <f>'Org structure'!E27</f>
        <v>3.3 - Internal Audit</v>
      </c>
      <c r="B32" s="944"/>
      <c r="C32" s="752"/>
      <c r="D32" s="751"/>
      <c r="E32" s="751"/>
      <c r="F32" s="751"/>
      <c r="G32" s="751"/>
      <c r="H32" s="751"/>
      <c r="I32" s="751"/>
      <c r="J32" s="75">
        <f t="shared" si="1"/>
        <v>0</v>
      </c>
      <c r="K32" s="75">
        <f t="shared" si="2"/>
        <v>0</v>
      </c>
      <c r="L32" s="751"/>
      <c r="M32" s="753"/>
    </row>
    <row r="33" spans="1:13" ht="13.5" x14ac:dyDescent="0.25">
      <c r="A33" s="766" t="str">
        <f>'Org structure'!E28</f>
        <v>3.4 - Project Management</v>
      </c>
      <c r="B33" s="944"/>
      <c r="C33" s="752"/>
      <c r="D33" s="751"/>
      <c r="E33" s="751"/>
      <c r="F33" s="751"/>
      <c r="G33" s="751"/>
      <c r="H33" s="751"/>
      <c r="I33" s="751"/>
      <c r="J33" s="75">
        <f t="shared" si="1"/>
        <v>0</v>
      </c>
      <c r="K33" s="75">
        <f t="shared" si="2"/>
        <v>0</v>
      </c>
      <c r="L33" s="751"/>
      <c r="M33" s="753"/>
    </row>
    <row r="34" spans="1:13" ht="13.5" x14ac:dyDescent="0.25">
      <c r="A34" s="766" t="str">
        <f>'Org structure'!E29</f>
        <v>3.5 - Perfomance Management</v>
      </c>
      <c r="B34" s="944"/>
      <c r="C34" s="752"/>
      <c r="D34" s="751"/>
      <c r="E34" s="751"/>
      <c r="F34" s="751"/>
      <c r="G34" s="751"/>
      <c r="H34" s="751"/>
      <c r="I34" s="751"/>
      <c r="J34" s="75">
        <f t="shared" si="1"/>
        <v>0</v>
      </c>
      <c r="K34" s="75">
        <f t="shared" si="2"/>
        <v>0</v>
      </c>
      <c r="L34" s="751"/>
      <c r="M34" s="753"/>
    </row>
    <row r="35" spans="1:13" ht="13.5" x14ac:dyDescent="0.25">
      <c r="A35" s="766" t="str">
        <f>'Org structure'!E30</f>
        <v>3.6 - IDP</v>
      </c>
      <c r="B35" s="944"/>
      <c r="C35" s="752"/>
      <c r="D35" s="751"/>
      <c r="E35" s="751"/>
      <c r="F35" s="751"/>
      <c r="G35" s="751"/>
      <c r="H35" s="751"/>
      <c r="I35" s="751"/>
      <c r="J35" s="75">
        <f t="shared" si="1"/>
        <v>0</v>
      </c>
      <c r="K35" s="75">
        <f t="shared" si="2"/>
        <v>0</v>
      </c>
      <c r="L35" s="751"/>
      <c r="M35" s="753"/>
    </row>
    <row r="36" spans="1:13" ht="13.5" x14ac:dyDescent="0.25">
      <c r="A36" s="766" t="str">
        <f>'Org structure'!E31</f>
        <v>3.7 - Cluster Offices</v>
      </c>
      <c r="B36" s="944"/>
      <c r="C36" s="752"/>
      <c r="D36" s="751"/>
      <c r="E36" s="751"/>
      <c r="F36" s="751"/>
      <c r="G36" s="751"/>
      <c r="H36" s="751"/>
      <c r="I36" s="751"/>
      <c r="J36" s="75">
        <f t="shared" si="1"/>
        <v>0</v>
      </c>
      <c r="K36" s="75">
        <f t="shared" si="2"/>
        <v>0</v>
      </c>
      <c r="L36" s="751"/>
      <c r="M36" s="753"/>
    </row>
    <row r="37" spans="1:13" ht="13.5" x14ac:dyDescent="0.25">
      <c r="A37" s="766">
        <f>'Org structure'!E32</f>
        <v>0</v>
      </c>
      <c r="B37" s="944"/>
      <c r="C37" s="752"/>
      <c r="D37" s="751"/>
      <c r="E37" s="751"/>
      <c r="F37" s="751"/>
      <c r="G37" s="751"/>
      <c r="H37" s="751"/>
      <c r="I37" s="751"/>
      <c r="J37" s="75">
        <f t="shared" si="1"/>
        <v>0</v>
      </c>
      <c r="K37" s="75">
        <f t="shared" si="2"/>
        <v>0</v>
      </c>
      <c r="L37" s="751"/>
      <c r="M37" s="753"/>
    </row>
    <row r="38" spans="1:13" ht="13.5" x14ac:dyDescent="0.25">
      <c r="A38" s="766">
        <f>'Org structure'!E33</f>
        <v>0</v>
      </c>
      <c r="B38" s="944"/>
      <c r="C38" s="752"/>
      <c r="D38" s="751"/>
      <c r="E38" s="751"/>
      <c r="F38" s="751"/>
      <c r="G38" s="751"/>
      <c r="H38" s="751"/>
      <c r="I38" s="751"/>
      <c r="J38" s="75">
        <f t="shared" si="1"/>
        <v>0</v>
      </c>
      <c r="K38" s="75">
        <f t="shared" si="2"/>
        <v>0</v>
      </c>
      <c r="L38" s="751"/>
      <c r="M38" s="753"/>
    </row>
    <row r="39" spans="1:13" ht="13.5" x14ac:dyDescent="0.25">
      <c r="A39" s="766">
        <f>'Org structure'!E34</f>
        <v>0</v>
      </c>
      <c r="B39" s="944"/>
      <c r="C39" s="752"/>
      <c r="D39" s="751"/>
      <c r="E39" s="751"/>
      <c r="F39" s="751"/>
      <c r="G39" s="751"/>
      <c r="H39" s="751"/>
      <c r="I39" s="751"/>
      <c r="J39" s="75">
        <f t="shared" si="1"/>
        <v>0</v>
      </c>
      <c r="K39" s="75">
        <f t="shared" si="2"/>
        <v>0</v>
      </c>
      <c r="L39" s="751"/>
      <c r="M39" s="753"/>
    </row>
    <row r="40" spans="1:13" ht="13.5" x14ac:dyDescent="0.25">
      <c r="A40" s="763" t="str">
        <f>'Org structure'!A5</f>
        <v>Vote 4 - Engineering Services</v>
      </c>
      <c r="B40" s="943"/>
      <c r="C40" s="750">
        <f t="shared" ref="C40:I40" si="5">SUM(C41:C50)</f>
        <v>1108274003</v>
      </c>
      <c r="D40" s="749">
        <f t="shared" si="5"/>
        <v>0</v>
      </c>
      <c r="E40" s="749">
        <f t="shared" si="5"/>
        <v>0</v>
      </c>
      <c r="F40" s="749">
        <f t="shared" si="5"/>
        <v>0</v>
      </c>
      <c r="G40" s="749">
        <f t="shared" si="5"/>
        <v>0</v>
      </c>
      <c r="H40" s="749">
        <f t="shared" si="5"/>
        <v>0</v>
      </c>
      <c r="I40" s="749">
        <f t="shared" si="5"/>
        <v>0</v>
      </c>
      <c r="J40" s="75">
        <f t="shared" si="1"/>
        <v>0</v>
      </c>
      <c r="K40" s="75">
        <f t="shared" si="2"/>
        <v>1108274003</v>
      </c>
      <c r="L40" s="749">
        <f>SUM(L41:L50)</f>
        <v>1239759094.0163798</v>
      </c>
      <c r="M40" s="777">
        <f>SUM(M41:M50)</f>
        <v>1389975224.1960461</v>
      </c>
    </row>
    <row r="41" spans="1:13" ht="13.5" x14ac:dyDescent="0.25">
      <c r="A41" s="766" t="s">
        <v>1688</v>
      </c>
      <c r="B41" s="944"/>
      <c r="C41" s="752">
        <v>212000</v>
      </c>
      <c r="D41" s="751"/>
      <c r="E41" s="751"/>
      <c r="F41" s="751"/>
      <c r="G41" s="751"/>
      <c r="H41" s="751"/>
      <c r="I41" s="751"/>
      <c r="J41" s="75">
        <f t="shared" si="1"/>
        <v>0</v>
      </c>
      <c r="K41" s="75">
        <f t="shared" si="2"/>
        <v>212000</v>
      </c>
      <c r="L41" s="751">
        <v>225780</v>
      </c>
      <c r="M41" s="753">
        <v>240004.13999999998</v>
      </c>
    </row>
    <row r="42" spans="1:13" ht="13.5" x14ac:dyDescent="0.25">
      <c r="A42" s="766" t="s">
        <v>1689</v>
      </c>
      <c r="B42" s="944"/>
      <c r="C42" s="752">
        <v>0</v>
      </c>
      <c r="D42" s="751"/>
      <c r="E42" s="751"/>
      <c r="F42" s="751"/>
      <c r="G42" s="751"/>
      <c r="H42" s="751"/>
      <c r="I42" s="751"/>
      <c r="J42" s="75">
        <f t="shared" si="1"/>
        <v>0</v>
      </c>
      <c r="K42" s="75">
        <f t="shared" si="2"/>
        <v>0</v>
      </c>
      <c r="L42" s="751">
        <v>0</v>
      </c>
      <c r="M42" s="753">
        <v>0</v>
      </c>
    </row>
    <row r="43" spans="1:13" ht="13.5" x14ac:dyDescent="0.25">
      <c r="A43" s="766" t="s">
        <v>1690</v>
      </c>
      <c r="B43" s="944"/>
      <c r="C43" s="752">
        <v>142310</v>
      </c>
      <c r="D43" s="751"/>
      <c r="E43" s="751"/>
      <c r="F43" s="751"/>
      <c r="G43" s="751"/>
      <c r="H43" s="751"/>
      <c r="I43" s="751"/>
      <c r="J43" s="75">
        <f t="shared" si="1"/>
        <v>0</v>
      </c>
      <c r="K43" s="75">
        <f t="shared" si="2"/>
        <v>142310</v>
      </c>
      <c r="L43" s="751">
        <v>155117.00000000006</v>
      </c>
      <c r="M43" s="753">
        <v>168301.94500000007</v>
      </c>
    </row>
    <row r="44" spans="1:13" ht="13.5" x14ac:dyDescent="0.25">
      <c r="A44" s="766" t="s">
        <v>1691</v>
      </c>
      <c r="B44" s="944"/>
      <c r="C44" s="752">
        <v>55183398</v>
      </c>
      <c r="D44" s="751"/>
      <c r="E44" s="751"/>
      <c r="F44" s="751"/>
      <c r="G44" s="751"/>
      <c r="H44" s="751"/>
      <c r="I44" s="751"/>
      <c r="J44" s="75">
        <f t="shared" si="1"/>
        <v>0</v>
      </c>
      <c r="K44" s="75">
        <f t="shared" si="2"/>
        <v>55183398</v>
      </c>
      <c r="L44" s="751">
        <v>60149901.000000015</v>
      </c>
      <c r="M44" s="753">
        <v>65262642.585000008</v>
      </c>
    </row>
    <row r="45" spans="1:13" ht="13.5" x14ac:dyDescent="0.25">
      <c r="A45" s="766" t="s">
        <v>1135</v>
      </c>
      <c r="B45" s="944"/>
      <c r="C45" s="752">
        <v>259055145</v>
      </c>
      <c r="D45" s="751"/>
      <c r="E45" s="751"/>
      <c r="F45" s="751"/>
      <c r="G45" s="751"/>
      <c r="H45" s="751"/>
      <c r="I45" s="751"/>
      <c r="J45" s="75">
        <f t="shared" si="1"/>
        <v>0</v>
      </c>
      <c r="K45" s="75">
        <f t="shared" si="2"/>
        <v>259055145</v>
      </c>
      <c r="L45" s="751">
        <v>282368601.99090004</v>
      </c>
      <c r="M45" s="753">
        <v>306368523.91712654</v>
      </c>
    </row>
    <row r="46" spans="1:13" ht="13.5" x14ac:dyDescent="0.25">
      <c r="A46" s="766" t="s">
        <v>1692</v>
      </c>
      <c r="B46" s="944"/>
      <c r="C46" s="752">
        <v>0</v>
      </c>
      <c r="D46" s="751"/>
      <c r="E46" s="751"/>
      <c r="F46" s="751"/>
      <c r="G46" s="751"/>
      <c r="H46" s="751"/>
      <c r="I46" s="751"/>
      <c r="J46" s="75">
        <f t="shared" si="1"/>
        <v>0</v>
      </c>
      <c r="K46" s="75">
        <f t="shared" si="2"/>
        <v>0</v>
      </c>
      <c r="L46" s="751">
        <v>0</v>
      </c>
      <c r="M46" s="753">
        <v>0</v>
      </c>
    </row>
    <row r="47" spans="1:13" ht="13.5" x14ac:dyDescent="0.25">
      <c r="A47" s="766" t="s">
        <v>1693</v>
      </c>
      <c r="B47" s="944"/>
      <c r="C47" s="752">
        <v>0</v>
      </c>
      <c r="D47" s="751"/>
      <c r="E47" s="751"/>
      <c r="F47" s="751"/>
      <c r="G47" s="751"/>
      <c r="H47" s="751"/>
      <c r="I47" s="751"/>
      <c r="J47" s="75">
        <f t="shared" si="1"/>
        <v>0</v>
      </c>
      <c r="K47" s="75">
        <f t="shared" si="2"/>
        <v>0</v>
      </c>
      <c r="L47" s="751">
        <v>0</v>
      </c>
      <c r="M47" s="753">
        <v>0</v>
      </c>
    </row>
    <row r="48" spans="1:13" ht="13.5" x14ac:dyDescent="0.25">
      <c r="A48" s="766" t="s">
        <v>1694</v>
      </c>
      <c r="B48" s="944"/>
      <c r="C48" s="752">
        <v>0</v>
      </c>
      <c r="D48" s="751"/>
      <c r="E48" s="751"/>
      <c r="F48" s="751"/>
      <c r="G48" s="751"/>
      <c r="H48" s="751"/>
      <c r="I48" s="751"/>
      <c r="J48" s="75">
        <f t="shared" si="1"/>
        <v>0</v>
      </c>
      <c r="K48" s="75">
        <f t="shared" si="2"/>
        <v>0</v>
      </c>
      <c r="L48" s="751">
        <v>0</v>
      </c>
      <c r="M48" s="753">
        <v>0</v>
      </c>
    </row>
    <row r="49" spans="1:13" ht="13.5" x14ac:dyDescent="0.25">
      <c r="A49" s="766" t="s">
        <v>1133</v>
      </c>
      <c r="B49" s="944"/>
      <c r="C49" s="752">
        <v>793681150</v>
      </c>
      <c r="D49" s="751"/>
      <c r="E49" s="751"/>
      <c r="F49" s="751"/>
      <c r="G49" s="751"/>
      <c r="H49" s="751"/>
      <c r="I49" s="751"/>
      <c r="J49" s="75">
        <f t="shared" si="1"/>
        <v>0</v>
      </c>
      <c r="K49" s="75">
        <f t="shared" si="2"/>
        <v>793681150</v>
      </c>
      <c r="L49" s="751">
        <v>896859694.02547979</v>
      </c>
      <c r="M49" s="753">
        <v>1017935751.6089196</v>
      </c>
    </row>
    <row r="50" spans="1:13" ht="13.5" x14ac:dyDescent="0.25">
      <c r="A50" s="766" t="s">
        <v>1695</v>
      </c>
      <c r="B50" s="944"/>
      <c r="C50" s="752">
        <v>0</v>
      </c>
      <c r="D50" s="751"/>
      <c r="E50" s="751"/>
      <c r="F50" s="751"/>
      <c r="G50" s="751"/>
      <c r="H50" s="751"/>
      <c r="I50" s="751"/>
      <c r="J50" s="75">
        <f t="shared" si="1"/>
        <v>0</v>
      </c>
      <c r="K50" s="75">
        <f t="shared" si="2"/>
        <v>0</v>
      </c>
      <c r="L50" s="751">
        <v>0</v>
      </c>
      <c r="M50" s="753">
        <v>0</v>
      </c>
    </row>
    <row r="51" spans="1:13" ht="13.5" x14ac:dyDescent="0.25">
      <c r="A51" s="763" t="str">
        <f>'Org structure'!A6</f>
        <v>Vote 5 -  Community Services</v>
      </c>
      <c r="B51" s="943"/>
      <c r="C51" s="750">
        <f>SUM(C52:C61)</f>
        <v>113589832</v>
      </c>
      <c r="D51" s="749">
        <f t="shared" ref="D51:I51" si="6">SUM(D52:D61)</f>
        <v>0</v>
      </c>
      <c r="E51" s="749">
        <f t="shared" si="6"/>
        <v>0</v>
      </c>
      <c r="F51" s="749">
        <f t="shared" si="6"/>
        <v>0</v>
      </c>
      <c r="G51" s="749">
        <f t="shared" si="6"/>
        <v>0</v>
      </c>
      <c r="H51" s="749">
        <f t="shared" si="6"/>
        <v>0</v>
      </c>
      <c r="I51" s="749">
        <f t="shared" si="6"/>
        <v>1000</v>
      </c>
      <c r="J51" s="75">
        <f t="shared" si="1"/>
        <v>1000</v>
      </c>
      <c r="K51" s="75">
        <f t="shared" si="2"/>
        <v>113590832</v>
      </c>
      <c r="L51" s="749">
        <f>SUM(L52:L61)</f>
        <v>122554701.51500002</v>
      </c>
      <c r="M51" s="777">
        <f>SUM(M52:M61)</f>
        <v>131792667.505445</v>
      </c>
    </row>
    <row r="52" spans="1:13" ht="13.5" x14ac:dyDescent="0.25">
      <c r="A52" s="766" t="s">
        <v>1728</v>
      </c>
      <c r="B52" s="944"/>
      <c r="C52" s="752">
        <v>16607721</v>
      </c>
      <c r="D52" s="751"/>
      <c r="E52" s="751"/>
      <c r="F52" s="751"/>
      <c r="G52" s="751"/>
      <c r="H52" s="751"/>
      <c r="I52" s="751">
        <v>1000</v>
      </c>
      <c r="J52" s="75">
        <f t="shared" si="1"/>
        <v>1000</v>
      </c>
      <c r="K52" s="75">
        <f t="shared" si="2"/>
        <v>16608721</v>
      </c>
      <c r="L52" s="751">
        <v>17687221</v>
      </c>
      <c r="M52" s="753">
        <v>18801515.097999997</v>
      </c>
    </row>
    <row r="53" spans="1:13" ht="13.5" x14ac:dyDescent="0.25">
      <c r="A53" s="766" t="s">
        <v>1130</v>
      </c>
      <c r="B53" s="944"/>
      <c r="C53" s="752">
        <v>9293757</v>
      </c>
      <c r="D53" s="751"/>
      <c r="E53" s="751"/>
      <c r="F53" s="751"/>
      <c r="G53" s="751"/>
      <c r="H53" s="751"/>
      <c r="I53" s="751"/>
      <c r="J53" s="75">
        <f t="shared" si="1"/>
        <v>0</v>
      </c>
      <c r="K53" s="75">
        <f t="shared" si="2"/>
        <v>9293757</v>
      </c>
      <c r="L53" s="751">
        <v>9897848</v>
      </c>
      <c r="M53" s="753">
        <v>10521412.424000001</v>
      </c>
    </row>
    <row r="54" spans="1:13" ht="13.5" x14ac:dyDescent="0.25">
      <c r="A54" s="766" t="s">
        <v>1729</v>
      </c>
      <c r="B54" s="944"/>
      <c r="C54" s="752">
        <v>16861001</v>
      </c>
      <c r="D54" s="751"/>
      <c r="E54" s="751"/>
      <c r="F54" s="751"/>
      <c r="G54" s="751"/>
      <c r="H54" s="751"/>
      <c r="I54" s="751"/>
      <c r="J54" s="75">
        <f t="shared" si="1"/>
        <v>0</v>
      </c>
      <c r="K54" s="75">
        <f t="shared" si="2"/>
        <v>16861001</v>
      </c>
      <c r="L54" s="751">
        <v>17956961.994999997</v>
      </c>
      <c r="M54" s="753">
        <v>19088249.958684999</v>
      </c>
    </row>
    <row r="55" spans="1:13" ht="13.5" x14ac:dyDescent="0.25">
      <c r="A55" s="766" t="s">
        <v>1730</v>
      </c>
      <c r="B55" s="944"/>
      <c r="C55" s="752">
        <v>0</v>
      </c>
      <c r="D55" s="751"/>
      <c r="E55" s="751"/>
      <c r="F55" s="751"/>
      <c r="G55" s="751"/>
      <c r="H55" s="751"/>
      <c r="I55" s="751"/>
      <c r="J55" s="75">
        <f t="shared" si="1"/>
        <v>0</v>
      </c>
      <c r="K55" s="75">
        <f t="shared" si="2"/>
        <v>0</v>
      </c>
      <c r="L55" s="751">
        <v>0</v>
      </c>
      <c r="M55" s="753">
        <v>0</v>
      </c>
    </row>
    <row r="56" spans="1:13" ht="13.5" x14ac:dyDescent="0.25">
      <c r="A56" s="766" t="s">
        <v>1731</v>
      </c>
      <c r="B56" s="945"/>
      <c r="C56" s="752">
        <v>304167</v>
      </c>
      <c r="D56" s="751"/>
      <c r="E56" s="751"/>
      <c r="F56" s="751"/>
      <c r="G56" s="751"/>
      <c r="H56" s="751"/>
      <c r="I56" s="751"/>
      <c r="J56" s="75">
        <f t="shared" si="1"/>
        <v>0</v>
      </c>
      <c r="K56" s="75">
        <f t="shared" si="2"/>
        <v>304167</v>
      </c>
      <c r="L56" s="751">
        <v>323937.51999999996</v>
      </c>
      <c r="M56" s="753">
        <v>344347.18375999993</v>
      </c>
    </row>
    <row r="57" spans="1:13" ht="13.5" x14ac:dyDescent="0.25">
      <c r="A57" s="766" t="s">
        <v>511</v>
      </c>
      <c r="B57" s="944"/>
      <c r="C57" s="752">
        <v>890866</v>
      </c>
      <c r="D57" s="751"/>
      <c r="E57" s="751"/>
      <c r="F57" s="751"/>
      <c r="G57" s="751"/>
      <c r="H57" s="751"/>
      <c r="I57" s="751"/>
      <c r="J57" s="75">
        <f t="shared" si="1"/>
        <v>0</v>
      </c>
      <c r="K57" s="75">
        <f t="shared" si="2"/>
        <v>890866</v>
      </c>
      <c r="L57" s="751">
        <v>948771</v>
      </c>
      <c r="M57" s="753">
        <v>1008543.573</v>
      </c>
    </row>
    <row r="58" spans="1:13" ht="13.5" x14ac:dyDescent="0.25">
      <c r="A58" s="766" t="s">
        <v>1732</v>
      </c>
      <c r="B58" s="944"/>
      <c r="C58" s="752">
        <v>2255054</v>
      </c>
      <c r="D58" s="751"/>
      <c r="E58" s="751"/>
      <c r="F58" s="751"/>
      <c r="G58" s="751"/>
      <c r="H58" s="751"/>
      <c r="I58" s="751"/>
      <c r="J58" s="75">
        <f t="shared" si="1"/>
        <v>0</v>
      </c>
      <c r="K58" s="75">
        <f t="shared" si="2"/>
        <v>2255054</v>
      </c>
      <c r="L58" s="751">
        <v>2401629</v>
      </c>
      <c r="M58" s="753">
        <v>2552931.3049999992</v>
      </c>
    </row>
    <row r="59" spans="1:13" ht="13.5" x14ac:dyDescent="0.25">
      <c r="A59" s="766" t="s">
        <v>1733</v>
      </c>
      <c r="B59" s="944"/>
      <c r="C59" s="752">
        <v>157492</v>
      </c>
      <c r="D59" s="751"/>
      <c r="E59" s="751"/>
      <c r="F59" s="751"/>
      <c r="G59" s="751"/>
      <c r="H59" s="751"/>
      <c r="I59" s="751"/>
      <c r="J59" s="75">
        <f t="shared" si="1"/>
        <v>0</v>
      </c>
      <c r="K59" s="75">
        <f t="shared" si="2"/>
        <v>157492</v>
      </c>
      <c r="L59" s="751">
        <v>167727</v>
      </c>
      <c r="M59" s="753">
        <v>178293.16099999999</v>
      </c>
    </row>
    <row r="60" spans="1:13" ht="13.5" x14ac:dyDescent="0.25">
      <c r="A60" s="766" t="s">
        <v>1542</v>
      </c>
      <c r="B60" s="944"/>
      <c r="C60" s="752">
        <v>65083079</v>
      </c>
      <c r="D60" s="751"/>
      <c r="E60" s="751"/>
      <c r="F60" s="751"/>
      <c r="G60" s="751"/>
      <c r="H60" s="751"/>
      <c r="I60" s="751"/>
      <c r="J60" s="75">
        <f t="shared" si="1"/>
        <v>0</v>
      </c>
      <c r="K60" s="75">
        <f t="shared" si="2"/>
        <v>65083079</v>
      </c>
      <c r="L60" s="751">
        <v>70895027.000000015</v>
      </c>
      <c r="M60" s="753">
        <v>76878434.325000003</v>
      </c>
    </row>
    <row r="61" spans="1:13" ht="13.5" x14ac:dyDescent="0.25">
      <c r="A61" s="766" t="s">
        <v>1734</v>
      </c>
      <c r="B61" s="944"/>
      <c r="C61" s="752">
        <v>2136695</v>
      </c>
      <c r="D61" s="751"/>
      <c r="E61" s="751"/>
      <c r="F61" s="751"/>
      <c r="G61" s="751"/>
      <c r="H61" s="751"/>
      <c r="I61" s="751"/>
      <c r="J61" s="75">
        <f t="shared" si="1"/>
        <v>0</v>
      </c>
      <c r="K61" s="75">
        <f t="shared" si="2"/>
        <v>2136695</v>
      </c>
      <c r="L61" s="751">
        <v>2275579</v>
      </c>
      <c r="M61" s="753">
        <v>2418940.477</v>
      </c>
    </row>
    <row r="62" spans="1:13" ht="13.5" x14ac:dyDescent="0.25">
      <c r="A62" s="763" t="str">
        <f>'Org structure'!A7</f>
        <v>Vote 6 - Community Development</v>
      </c>
      <c r="B62" s="943"/>
      <c r="C62" s="750">
        <f>SUM(C63:C72)</f>
        <v>17187835</v>
      </c>
      <c r="D62" s="749">
        <f t="shared" ref="D62:I62" si="7">SUM(D63:D72)</f>
        <v>0</v>
      </c>
      <c r="E62" s="749">
        <f t="shared" si="7"/>
        <v>0</v>
      </c>
      <c r="F62" s="749">
        <f t="shared" si="7"/>
        <v>0</v>
      </c>
      <c r="G62" s="749">
        <f t="shared" si="7"/>
        <v>0</v>
      </c>
      <c r="H62" s="749">
        <f t="shared" si="7"/>
        <v>0</v>
      </c>
      <c r="I62" s="749">
        <f t="shared" si="7"/>
        <v>0</v>
      </c>
      <c r="J62" s="75">
        <f t="shared" si="1"/>
        <v>0</v>
      </c>
      <c r="K62" s="75">
        <f t="shared" si="2"/>
        <v>17187835</v>
      </c>
      <c r="L62" s="749">
        <f>SUM(L63:L72)</f>
        <v>18304366.079999998</v>
      </c>
      <c r="M62" s="777">
        <f>SUM(M63:M72)</f>
        <v>19457158.026039999</v>
      </c>
    </row>
    <row r="63" spans="1:13" ht="13.5" x14ac:dyDescent="0.25">
      <c r="A63" s="766" t="s">
        <v>268</v>
      </c>
      <c r="B63" s="944"/>
      <c r="C63" s="752">
        <v>2519757</v>
      </c>
      <c r="D63" s="751"/>
      <c r="E63" s="751"/>
      <c r="F63" s="751"/>
      <c r="G63" s="751"/>
      <c r="H63" s="751"/>
      <c r="I63" s="751"/>
      <c r="J63" s="75">
        <f t="shared" si="1"/>
        <v>0</v>
      </c>
      <c r="K63" s="75">
        <f t="shared" si="2"/>
        <v>2519757</v>
      </c>
      <c r="L63" s="751">
        <v>2683542.62</v>
      </c>
      <c r="M63" s="753">
        <v>2852611.4450599998</v>
      </c>
    </row>
    <row r="64" spans="1:13" ht="13.5" x14ac:dyDescent="0.25">
      <c r="A64" s="766" t="s">
        <v>1697</v>
      </c>
      <c r="B64" s="944"/>
      <c r="C64" s="752">
        <v>452043</v>
      </c>
      <c r="D64" s="751"/>
      <c r="E64" s="751"/>
      <c r="F64" s="751"/>
      <c r="G64" s="751"/>
      <c r="H64" s="751"/>
      <c r="I64" s="751"/>
      <c r="J64" s="75">
        <f t="shared" si="1"/>
        <v>0</v>
      </c>
      <c r="K64" s="75">
        <f t="shared" si="2"/>
        <v>452043</v>
      </c>
      <c r="L64" s="751">
        <v>481424</v>
      </c>
      <c r="M64" s="753">
        <v>511753.71199999994</v>
      </c>
    </row>
    <row r="65" spans="1:13" ht="13.5" x14ac:dyDescent="0.25">
      <c r="A65" s="766" t="s">
        <v>1698</v>
      </c>
      <c r="B65" s="944"/>
      <c r="C65" s="752">
        <v>12720000</v>
      </c>
      <c r="D65" s="751"/>
      <c r="E65" s="751"/>
      <c r="F65" s="751"/>
      <c r="G65" s="751"/>
      <c r="H65" s="751"/>
      <c r="I65" s="751"/>
      <c r="J65" s="75">
        <f t="shared" si="1"/>
        <v>0</v>
      </c>
      <c r="K65" s="75">
        <f t="shared" si="2"/>
        <v>12720000</v>
      </c>
      <c r="L65" s="751">
        <v>13546800</v>
      </c>
      <c r="M65" s="753">
        <v>14400248.399999999</v>
      </c>
    </row>
    <row r="66" spans="1:13" ht="13.5" x14ac:dyDescent="0.25">
      <c r="A66" s="766" t="s">
        <v>1652</v>
      </c>
      <c r="B66" s="944"/>
      <c r="C66" s="752">
        <v>0</v>
      </c>
      <c r="D66" s="751"/>
      <c r="E66" s="751"/>
      <c r="F66" s="751"/>
      <c r="G66" s="751"/>
      <c r="H66" s="751"/>
      <c r="I66" s="751"/>
      <c r="J66" s="75">
        <f t="shared" si="1"/>
        <v>0</v>
      </c>
      <c r="K66" s="75">
        <f t="shared" si="2"/>
        <v>0</v>
      </c>
      <c r="L66" s="751">
        <v>0</v>
      </c>
      <c r="M66" s="753">
        <v>0</v>
      </c>
    </row>
    <row r="67" spans="1:13" ht="13.5" x14ac:dyDescent="0.25">
      <c r="A67" s="766" t="s">
        <v>1139</v>
      </c>
      <c r="B67" s="944"/>
      <c r="C67" s="752">
        <v>0</v>
      </c>
      <c r="D67" s="751"/>
      <c r="E67" s="751"/>
      <c r="F67" s="751"/>
      <c r="G67" s="751"/>
      <c r="H67" s="751"/>
      <c r="I67" s="751"/>
      <c r="J67" s="75">
        <f t="shared" si="1"/>
        <v>0</v>
      </c>
      <c r="K67" s="75">
        <f t="shared" si="2"/>
        <v>0</v>
      </c>
      <c r="L67" s="751">
        <v>0</v>
      </c>
      <c r="M67" s="753">
        <v>0</v>
      </c>
    </row>
    <row r="68" spans="1:13" ht="13.5" x14ac:dyDescent="0.25">
      <c r="A68" s="766" t="s">
        <v>1699</v>
      </c>
      <c r="B68" s="944"/>
      <c r="C68" s="752">
        <v>941359</v>
      </c>
      <c r="D68" s="751"/>
      <c r="E68" s="751"/>
      <c r="F68" s="751"/>
      <c r="G68" s="751"/>
      <c r="H68" s="751"/>
      <c r="I68" s="751"/>
      <c r="J68" s="75">
        <f t="shared" si="1"/>
        <v>0</v>
      </c>
      <c r="K68" s="75">
        <f t="shared" si="2"/>
        <v>941359</v>
      </c>
      <c r="L68" s="751">
        <v>1002544</v>
      </c>
      <c r="M68" s="753">
        <v>1065704.2719999999</v>
      </c>
    </row>
    <row r="69" spans="1:13" ht="13.5" x14ac:dyDescent="0.25">
      <c r="A69" s="766" t="s">
        <v>1700</v>
      </c>
      <c r="B69" s="944"/>
      <c r="C69" s="752">
        <v>0</v>
      </c>
      <c r="D69" s="751"/>
      <c r="E69" s="751"/>
      <c r="F69" s="751"/>
      <c r="G69" s="751"/>
      <c r="H69" s="751"/>
      <c r="I69" s="751"/>
      <c r="J69" s="75">
        <f t="shared" si="1"/>
        <v>0</v>
      </c>
      <c r="K69" s="75">
        <f t="shared" si="2"/>
        <v>0</v>
      </c>
      <c r="L69" s="751">
        <v>9.2000000000000011</v>
      </c>
      <c r="M69" s="753">
        <v>18.679600000000001</v>
      </c>
    </row>
    <row r="70" spans="1:13" ht="13.5" x14ac:dyDescent="0.25">
      <c r="A70" s="766" t="s">
        <v>504</v>
      </c>
      <c r="B70" s="944"/>
      <c r="C70" s="752">
        <v>251714</v>
      </c>
      <c r="D70" s="751"/>
      <c r="E70" s="751"/>
      <c r="F70" s="751"/>
      <c r="G70" s="751"/>
      <c r="H70" s="751"/>
      <c r="I70" s="751"/>
      <c r="J70" s="75">
        <f t="shared" si="1"/>
        <v>0</v>
      </c>
      <c r="K70" s="75">
        <f t="shared" si="2"/>
        <v>251714</v>
      </c>
      <c r="L70" s="751">
        <v>267364.90000000002</v>
      </c>
      <c r="M70" s="753">
        <v>283782.50170000002</v>
      </c>
    </row>
    <row r="71" spans="1:13" ht="13.5" x14ac:dyDescent="0.25">
      <c r="A71" s="766" t="s">
        <v>1735</v>
      </c>
      <c r="B71" s="944"/>
      <c r="C71" s="752">
        <v>163504</v>
      </c>
      <c r="D71" s="751"/>
      <c r="E71" s="751"/>
      <c r="F71" s="751"/>
      <c r="G71" s="751"/>
      <c r="H71" s="751"/>
      <c r="I71" s="751"/>
      <c r="J71" s="75">
        <f t="shared" si="1"/>
        <v>0</v>
      </c>
      <c r="K71" s="75">
        <f t="shared" si="2"/>
        <v>163504</v>
      </c>
      <c r="L71" s="751">
        <v>174139.2</v>
      </c>
      <c r="M71" s="753">
        <v>185118.22959999999</v>
      </c>
    </row>
    <row r="72" spans="1:13" ht="13.5" x14ac:dyDescent="0.25">
      <c r="A72" s="766" t="s">
        <v>1702</v>
      </c>
      <c r="B72" s="944"/>
      <c r="C72" s="752">
        <v>139458</v>
      </c>
      <c r="D72" s="751"/>
      <c r="E72" s="751"/>
      <c r="F72" s="751"/>
      <c r="G72" s="751"/>
      <c r="H72" s="751"/>
      <c r="I72" s="751"/>
      <c r="J72" s="75">
        <f t="shared" ref="J72:J135" si="8">SUM(E72:I72)</f>
        <v>0</v>
      </c>
      <c r="K72" s="75">
        <f t="shared" ref="K72:K135" si="9">IF(D72=0,C72+J72,D72+J72)</f>
        <v>139458</v>
      </c>
      <c r="L72" s="751">
        <v>148542.16</v>
      </c>
      <c r="M72" s="753">
        <v>157920.78607999999</v>
      </c>
    </row>
    <row r="73" spans="1:13" ht="13.5" x14ac:dyDescent="0.25">
      <c r="A73" s="763" t="str">
        <f>'Org structure'!A8</f>
        <v>Vote 7 - Corporate  and Shared Services</v>
      </c>
      <c r="B73" s="943"/>
      <c r="C73" s="750">
        <f t="shared" ref="C73:I73" si="10">SUM(C74:C83)</f>
        <v>4479110</v>
      </c>
      <c r="D73" s="749">
        <f t="shared" si="10"/>
        <v>0</v>
      </c>
      <c r="E73" s="749">
        <f t="shared" si="10"/>
        <v>0</v>
      </c>
      <c r="F73" s="749">
        <f t="shared" si="10"/>
        <v>0</v>
      </c>
      <c r="G73" s="749">
        <f t="shared" si="10"/>
        <v>0</v>
      </c>
      <c r="H73" s="749">
        <f t="shared" si="10"/>
        <v>0</v>
      </c>
      <c r="I73" s="749">
        <f t="shared" si="10"/>
        <v>0</v>
      </c>
      <c r="J73" s="75">
        <f t="shared" si="8"/>
        <v>0</v>
      </c>
      <c r="K73" s="75">
        <f t="shared" si="9"/>
        <v>4479110</v>
      </c>
      <c r="L73" s="749">
        <f>SUM(L74:L83)</f>
        <v>4770255.12</v>
      </c>
      <c r="M73" s="777">
        <f>SUM(M74:M83)</f>
        <v>5070785.9875599993</v>
      </c>
    </row>
    <row r="74" spans="1:13" ht="13.5" x14ac:dyDescent="0.25">
      <c r="A74" s="766" t="s">
        <v>1703</v>
      </c>
      <c r="B74" s="944"/>
      <c r="C74" s="752">
        <v>1123</v>
      </c>
      <c r="D74" s="751"/>
      <c r="E74" s="751"/>
      <c r="F74" s="751"/>
      <c r="G74" s="751"/>
      <c r="H74" s="751"/>
      <c r="I74" s="751"/>
      <c r="J74" s="75">
        <f t="shared" si="8"/>
        <v>0</v>
      </c>
      <c r="K74" s="75">
        <f t="shared" si="9"/>
        <v>1123</v>
      </c>
      <c r="L74" s="751">
        <v>1195.0000000000002</v>
      </c>
      <c r="M74" s="753">
        <v>1270</v>
      </c>
    </row>
    <row r="75" spans="1:13" ht="13.5" x14ac:dyDescent="0.25">
      <c r="A75" s="766" t="s">
        <v>1704</v>
      </c>
      <c r="B75" s="944"/>
      <c r="C75" s="752">
        <v>0</v>
      </c>
      <c r="D75" s="751"/>
      <c r="E75" s="751"/>
      <c r="F75" s="751"/>
      <c r="G75" s="751"/>
      <c r="H75" s="751"/>
      <c r="I75" s="751"/>
      <c r="J75" s="75">
        <f t="shared" si="8"/>
        <v>0</v>
      </c>
      <c r="K75" s="75">
        <f t="shared" si="9"/>
        <v>0</v>
      </c>
      <c r="L75" s="751">
        <v>0</v>
      </c>
      <c r="M75" s="753">
        <v>0</v>
      </c>
    </row>
    <row r="76" spans="1:13" ht="13.5" x14ac:dyDescent="0.25">
      <c r="A76" s="766" t="s">
        <v>1705</v>
      </c>
      <c r="B76" s="944"/>
      <c r="C76" s="752">
        <v>0</v>
      </c>
      <c r="D76" s="751"/>
      <c r="E76" s="751"/>
      <c r="F76" s="751"/>
      <c r="G76" s="751"/>
      <c r="H76" s="751"/>
      <c r="I76" s="751"/>
      <c r="J76" s="75">
        <f t="shared" si="8"/>
        <v>0</v>
      </c>
      <c r="K76" s="75">
        <f t="shared" si="9"/>
        <v>0</v>
      </c>
      <c r="L76" s="751">
        <v>0</v>
      </c>
      <c r="M76" s="753">
        <v>0</v>
      </c>
    </row>
    <row r="77" spans="1:13" ht="13.5" x14ac:dyDescent="0.25">
      <c r="A77" s="766" t="s">
        <v>1706</v>
      </c>
      <c r="B77" s="944"/>
      <c r="C77" s="752">
        <v>4465186</v>
      </c>
      <c r="D77" s="751"/>
      <c r="E77" s="751"/>
      <c r="F77" s="751"/>
      <c r="G77" s="751"/>
      <c r="H77" s="751"/>
      <c r="I77" s="751"/>
      <c r="J77" s="75">
        <f t="shared" si="8"/>
        <v>0</v>
      </c>
      <c r="K77" s="75">
        <f t="shared" si="9"/>
        <v>4465186</v>
      </c>
      <c r="L77" s="751">
        <v>4755423</v>
      </c>
      <c r="M77" s="753">
        <v>5055014.6489999993</v>
      </c>
    </row>
    <row r="78" spans="1:13" ht="13.5" x14ac:dyDescent="0.25">
      <c r="A78" s="766" t="s">
        <v>1707</v>
      </c>
      <c r="B78" s="944"/>
      <c r="C78" s="752">
        <v>12801</v>
      </c>
      <c r="D78" s="751"/>
      <c r="E78" s="751"/>
      <c r="F78" s="751"/>
      <c r="G78" s="751"/>
      <c r="H78" s="751"/>
      <c r="I78" s="751"/>
      <c r="J78" s="75">
        <f t="shared" si="8"/>
        <v>0</v>
      </c>
      <c r="K78" s="75">
        <f t="shared" si="9"/>
        <v>12801</v>
      </c>
      <c r="L78" s="751">
        <v>13636.039999999999</v>
      </c>
      <c r="M78" s="753">
        <v>14498.310519999997</v>
      </c>
    </row>
    <row r="79" spans="1:13" ht="13.5" x14ac:dyDescent="0.25">
      <c r="A79" s="766" t="s">
        <v>1708</v>
      </c>
      <c r="B79" s="944"/>
      <c r="C79" s="752">
        <v>0</v>
      </c>
      <c r="D79" s="751"/>
      <c r="E79" s="751"/>
      <c r="F79" s="751"/>
      <c r="G79" s="751"/>
      <c r="H79" s="751"/>
      <c r="I79" s="751"/>
      <c r="J79" s="75">
        <f t="shared" si="8"/>
        <v>0</v>
      </c>
      <c r="K79" s="75">
        <f t="shared" si="9"/>
        <v>0</v>
      </c>
      <c r="L79" s="751">
        <v>0</v>
      </c>
      <c r="M79" s="753">
        <v>0</v>
      </c>
    </row>
    <row r="80" spans="1:13" ht="13.5" x14ac:dyDescent="0.25">
      <c r="A80" s="766" t="s">
        <v>1709</v>
      </c>
      <c r="B80" s="944"/>
      <c r="C80" s="752">
        <v>0</v>
      </c>
      <c r="D80" s="751"/>
      <c r="E80" s="751"/>
      <c r="F80" s="751"/>
      <c r="G80" s="751"/>
      <c r="H80" s="751"/>
      <c r="I80" s="751"/>
      <c r="J80" s="75">
        <f t="shared" si="8"/>
        <v>0</v>
      </c>
      <c r="K80" s="75">
        <f t="shared" si="9"/>
        <v>0</v>
      </c>
      <c r="L80" s="751">
        <v>1.08</v>
      </c>
      <c r="M80" s="753">
        <v>3.0280399999999998</v>
      </c>
    </row>
    <row r="81" spans="1:13" ht="13.5" x14ac:dyDescent="0.25">
      <c r="A81" s="766" t="s">
        <v>1736</v>
      </c>
      <c r="B81" s="944"/>
      <c r="C81" s="752">
        <v>0</v>
      </c>
      <c r="D81" s="751"/>
      <c r="E81" s="751"/>
      <c r="F81" s="751"/>
      <c r="G81" s="751"/>
      <c r="H81" s="751"/>
      <c r="I81" s="751"/>
      <c r="J81" s="75">
        <f t="shared" si="8"/>
        <v>0</v>
      </c>
      <c r="K81" s="75">
        <f t="shared" si="9"/>
        <v>0</v>
      </c>
      <c r="L81" s="751">
        <v>0</v>
      </c>
      <c r="M81" s="753">
        <v>0</v>
      </c>
    </row>
    <row r="82" spans="1:13" ht="13.5" x14ac:dyDescent="0.25">
      <c r="A82" s="766" t="s">
        <v>1711</v>
      </c>
      <c r="B82" s="944"/>
      <c r="C82" s="752">
        <v>0</v>
      </c>
      <c r="D82" s="751"/>
      <c r="E82" s="751"/>
      <c r="F82" s="751"/>
      <c r="G82" s="751"/>
      <c r="H82" s="751"/>
      <c r="I82" s="751"/>
      <c r="J82" s="75">
        <f t="shared" si="8"/>
        <v>0</v>
      </c>
      <c r="K82" s="75">
        <f t="shared" si="9"/>
        <v>0</v>
      </c>
      <c r="L82" s="751">
        <v>0</v>
      </c>
      <c r="M82" s="753">
        <v>0</v>
      </c>
    </row>
    <row r="83" spans="1:13" ht="13.5" x14ac:dyDescent="0.25">
      <c r="A83" s="766" t="s">
        <v>1712</v>
      </c>
      <c r="B83" s="944"/>
      <c r="C83" s="752">
        <v>0</v>
      </c>
      <c r="D83" s="751"/>
      <c r="E83" s="751"/>
      <c r="F83" s="751"/>
      <c r="G83" s="751"/>
      <c r="H83" s="751"/>
      <c r="I83" s="751"/>
      <c r="J83" s="75">
        <f t="shared" si="8"/>
        <v>0</v>
      </c>
      <c r="K83" s="75">
        <f t="shared" si="9"/>
        <v>0</v>
      </c>
      <c r="L83" s="751">
        <v>0</v>
      </c>
      <c r="M83" s="753">
        <v>0</v>
      </c>
    </row>
    <row r="84" spans="1:13" ht="13.5" x14ac:dyDescent="0.25">
      <c r="A84" s="763" t="str">
        <f>'Org structure'!A9</f>
        <v>Vote 8 - Planning and Economic Development</v>
      </c>
      <c r="B84" s="944"/>
      <c r="C84" s="750">
        <f>SUM(C85:C94)</f>
        <v>44608203</v>
      </c>
      <c r="D84" s="749">
        <f t="shared" ref="D84:I84" si="11">SUM(D85:D94)</f>
        <v>0</v>
      </c>
      <c r="E84" s="749">
        <f t="shared" si="11"/>
        <v>0</v>
      </c>
      <c r="F84" s="749">
        <f t="shared" si="11"/>
        <v>0</v>
      </c>
      <c r="G84" s="749">
        <f t="shared" si="11"/>
        <v>0</v>
      </c>
      <c r="H84" s="749">
        <f t="shared" si="11"/>
        <v>0</v>
      </c>
      <c r="I84" s="749">
        <f t="shared" si="11"/>
        <v>0</v>
      </c>
      <c r="J84" s="75">
        <f t="shared" si="8"/>
        <v>0</v>
      </c>
      <c r="K84" s="75">
        <f t="shared" si="9"/>
        <v>44608203</v>
      </c>
      <c r="L84" s="749">
        <f>SUM(L85:L94)</f>
        <v>47479855.310000002</v>
      </c>
      <c r="M84" s="777">
        <f>SUM(M85:M94)</f>
        <v>50450469.817530006</v>
      </c>
    </row>
    <row r="85" spans="1:13" ht="13.5" x14ac:dyDescent="0.25">
      <c r="A85" s="766" t="s">
        <v>1713</v>
      </c>
      <c r="B85" s="944"/>
      <c r="C85" s="752">
        <v>35894402</v>
      </c>
      <c r="D85" s="751"/>
      <c r="E85" s="751"/>
      <c r="F85" s="751"/>
      <c r="G85" s="751"/>
      <c r="H85" s="751"/>
      <c r="I85" s="751"/>
      <c r="J85" s="75">
        <f t="shared" si="8"/>
        <v>0</v>
      </c>
      <c r="K85" s="75">
        <f t="shared" si="9"/>
        <v>35894402</v>
      </c>
      <c r="L85" s="751">
        <v>38227548.07</v>
      </c>
      <c r="M85" s="753">
        <v>40635895.638410002</v>
      </c>
    </row>
    <row r="86" spans="1:13" ht="13.5" x14ac:dyDescent="0.25">
      <c r="A86" s="766" t="s">
        <v>1714</v>
      </c>
      <c r="B86" s="944"/>
      <c r="C86" s="752">
        <v>821137</v>
      </c>
      <c r="D86" s="751"/>
      <c r="E86" s="751"/>
      <c r="F86" s="751"/>
      <c r="G86" s="751"/>
      <c r="H86" s="751"/>
      <c r="I86" s="751"/>
      <c r="J86" s="75">
        <f t="shared" si="8"/>
        <v>0</v>
      </c>
      <c r="K86" s="75">
        <f t="shared" si="9"/>
        <v>821137</v>
      </c>
      <c r="L86" s="751">
        <v>874510.24</v>
      </c>
      <c r="M86" s="753">
        <v>929605.55512000003</v>
      </c>
    </row>
    <row r="87" spans="1:13" ht="13.5" x14ac:dyDescent="0.25">
      <c r="A87" s="766" t="s">
        <v>1715</v>
      </c>
      <c r="B87" s="944"/>
      <c r="C87" s="752">
        <v>0</v>
      </c>
      <c r="D87" s="751"/>
      <c r="E87" s="751"/>
      <c r="F87" s="751"/>
      <c r="G87" s="751"/>
      <c r="H87" s="751"/>
      <c r="I87" s="751"/>
      <c r="J87" s="75">
        <f t="shared" si="8"/>
        <v>0</v>
      </c>
      <c r="K87" s="75">
        <f t="shared" si="9"/>
        <v>0</v>
      </c>
      <c r="L87" s="751">
        <v>0</v>
      </c>
      <c r="M87" s="753">
        <v>0</v>
      </c>
    </row>
    <row r="88" spans="1:13" ht="13.5" x14ac:dyDescent="0.25">
      <c r="A88" s="766" t="s">
        <v>1716</v>
      </c>
      <c r="B88" s="944"/>
      <c r="C88" s="752">
        <v>43857</v>
      </c>
      <c r="D88" s="751"/>
      <c r="E88" s="751"/>
      <c r="F88" s="751"/>
      <c r="G88" s="751"/>
      <c r="H88" s="751"/>
      <c r="I88" s="751"/>
      <c r="J88" s="75">
        <f t="shared" si="8"/>
        <v>0</v>
      </c>
      <c r="K88" s="75">
        <f t="shared" si="9"/>
        <v>43857</v>
      </c>
      <c r="L88" s="751">
        <v>46707</v>
      </c>
      <c r="M88" s="753">
        <v>49649.540999999997</v>
      </c>
    </row>
    <row r="89" spans="1:13" ht="13.5" x14ac:dyDescent="0.25">
      <c r="A89" s="766" t="s">
        <v>660</v>
      </c>
      <c r="B89" s="944"/>
      <c r="C89" s="752">
        <v>6606367</v>
      </c>
      <c r="D89" s="751"/>
      <c r="E89" s="751"/>
      <c r="F89" s="751"/>
      <c r="G89" s="751"/>
      <c r="H89" s="751"/>
      <c r="I89" s="751"/>
      <c r="J89" s="75">
        <f t="shared" si="8"/>
        <v>0</v>
      </c>
      <c r="K89" s="75">
        <f t="shared" si="9"/>
        <v>6606367</v>
      </c>
      <c r="L89" s="751">
        <v>7007893.0000000019</v>
      </c>
      <c r="M89" s="753">
        <v>7428760.6720000021</v>
      </c>
    </row>
    <row r="90" spans="1:13" ht="13.5" x14ac:dyDescent="0.25">
      <c r="A90" s="766" t="s">
        <v>1717</v>
      </c>
      <c r="B90" s="944"/>
      <c r="C90" s="752">
        <v>1215474</v>
      </c>
      <c r="D90" s="751"/>
      <c r="E90" s="751"/>
      <c r="F90" s="751"/>
      <c r="G90" s="751"/>
      <c r="H90" s="751"/>
      <c r="I90" s="751"/>
      <c r="J90" s="75">
        <f t="shared" si="8"/>
        <v>0</v>
      </c>
      <c r="K90" s="75">
        <f t="shared" si="9"/>
        <v>1215474</v>
      </c>
      <c r="L90" s="751">
        <v>1294479.0000000002</v>
      </c>
      <c r="M90" s="753">
        <v>1376031.1770000001</v>
      </c>
    </row>
    <row r="91" spans="1:13" ht="13.5" x14ac:dyDescent="0.25">
      <c r="A91" s="766" t="s">
        <v>1737</v>
      </c>
      <c r="B91" s="944"/>
      <c r="C91" s="752">
        <v>0</v>
      </c>
      <c r="D91" s="751"/>
      <c r="E91" s="751"/>
      <c r="F91" s="751"/>
      <c r="G91" s="751"/>
      <c r="H91" s="751"/>
      <c r="I91" s="751"/>
      <c r="J91" s="75">
        <f t="shared" si="8"/>
        <v>0</v>
      </c>
      <c r="K91" s="75">
        <f t="shared" si="9"/>
        <v>0</v>
      </c>
      <c r="L91" s="751">
        <v>0</v>
      </c>
      <c r="M91" s="753">
        <v>0</v>
      </c>
    </row>
    <row r="92" spans="1:13" ht="13.5" x14ac:dyDescent="0.25">
      <c r="A92" s="766" t="s">
        <v>1719</v>
      </c>
      <c r="B92" s="944"/>
      <c r="C92" s="752">
        <v>0</v>
      </c>
      <c r="D92" s="751"/>
      <c r="E92" s="751"/>
      <c r="F92" s="751"/>
      <c r="G92" s="751"/>
      <c r="H92" s="751"/>
      <c r="I92" s="751"/>
      <c r="J92" s="75">
        <f t="shared" si="8"/>
        <v>0</v>
      </c>
      <c r="K92" s="75">
        <f t="shared" si="9"/>
        <v>0</v>
      </c>
      <c r="L92" s="751">
        <v>0</v>
      </c>
      <c r="M92" s="753">
        <v>0</v>
      </c>
    </row>
    <row r="93" spans="1:13" ht="13.5" x14ac:dyDescent="0.25">
      <c r="A93" s="766" t="s">
        <v>1720</v>
      </c>
      <c r="B93" s="944"/>
      <c r="C93" s="752">
        <v>0</v>
      </c>
      <c r="D93" s="751"/>
      <c r="E93" s="751"/>
      <c r="F93" s="751"/>
      <c r="G93" s="751"/>
      <c r="H93" s="751"/>
      <c r="I93" s="751"/>
      <c r="J93" s="75">
        <f t="shared" si="8"/>
        <v>0</v>
      </c>
      <c r="K93" s="75">
        <f t="shared" si="9"/>
        <v>0</v>
      </c>
      <c r="L93" s="751">
        <v>0</v>
      </c>
      <c r="M93" s="753">
        <v>0</v>
      </c>
    </row>
    <row r="94" spans="1:13" ht="13.5" x14ac:dyDescent="0.25">
      <c r="A94" s="766" t="s">
        <v>1721</v>
      </c>
      <c r="B94" s="944"/>
      <c r="C94" s="752">
        <v>26966</v>
      </c>
      <c r="D94" s="751"/>
      <c r="E94" s="751"/>
      <c r="F94" s="751"/>
      <c r="G94" s="751"/>
      <c r="H94" s="751"/>
      <c r="I94" s="751"/>
      <c r="J94" s="75">
        <f t="shared" si="8"/>
        <v>0</v>
      </c>
      <c r="K94" s="75">
        <f t="shared" si="9"/>
        <v>26966</v>
      </c>
      <c r="L94" s="751">
        <v>28717.999999999996</v>
      </c>
      <c r="M94" s="753">
        <v>30527.233999999993</v>
      </c>
    </row>
    <row r="95" spans="1:13" ht="13.5" x14ac:dyDescent="0.25">
      <c r="A95" s="763" t="str">
        <f>'Org structure'!A10</f>
        <v>Vote 9 - Budget and Treasury</v>
      </c>
      <c r="B95" s="944"/>
      <c r="C95" s="750">
        <f>SUM(C96:C105)</f>
        <v>1582612017</v>
      </c>
      <c r="D95" s="749">
        <f t="shared" ref="D95:I95" si="12">SUM(D96:D105)</f>
        <v>0</v>
      </c>
      <c r="E95" s="749">
        <f t="shared" si="12"/>
        <v>0</v>
      </c>
      <c r="F95" s="749">
        <f t="shared" si="12"/>
        <v>0</v>
      </c>
      <c r="G95" s="749">
        <f t="shared" si="12"/>
        <v>0</v>
      </c>
      <c r="H95" s="749">
        <f t="shared" si="12"/>
        <v>42808657</v>
      </c>
      <c r="I95" s="749">
        <f t="shared" si="12"/>
        <v>35909343</v>
      </c>
      <c r="J95" s="75">
        <f t="shared" si="8"/>
        <v>78718000</v>
      </c>
      <c r="K95" s="75">
        <f t="shared" si="9"/>
        <v>1661330017</v>
      </c>
      <c r="L95" s="749">
        <f>SUM(L96:L105)</f>
        <v>1521012683.96</v>
      </c>
      <c r="M95" s="777">
        <f>SUM(M96:M105)</f>
        <v>1592203601.3956001</v>
      </c>
    </row>
    <row r="96" spans="1:13" ht="13.5" x14ac:dyDescent="0.25">
      <c r="A96" s="766" t="s">
        <v>1422</v>
      </c>
      <c r="B96" s="944"/>
      <c r="C96" s="752">
        <v>0</v>
      </c>
      <c r="D96" s="751"/>
      <c r="E96" s="751"/>
      <c r="F96" s="751"/>
      <c r="G96" s="751"/>
      <c r="H96" s="751">
        <v>0</v>
      </c>
      <c r="I96" s="751">
        <v>0</v>
      </c>
      <c r="J96" s="75">
        <f t="shared" si="8"/>
        <v>0</v>
      </c>
      <c r="K96" s="75">
        <f t="shared" si="9"/>
        <v>0</v>
      </c>
      <c r="L96" s="751">
        <v>0</v>
      </c>
      <c r="M96" s="753">
        <v>0</v>
      </c>
    </row>
    <row r="97" spans="1:13" ht="13.5" x14ac:dyDescent="0.25">
      <c r="A97" s="766" t="s">
        <v>1722</v>
      </c>
      <c r="B97" s="944"/>
      <c r="C97" s="752">
        <v>1145148000</v>
      </c>
      <c r="D97" s="751"/>
      <c r="E97" s="751"/>
      <c r="F97" s="751"/>
      <c r="G97" s="751"/>
      <c r="H97" s="751">
        <v>42808657</v>
      </c>
      <c r="I97" s="751">
        <f>70886587+3500000</f>
        <v>74386587</v>
      </c>
      <c r="J97" s="75">
        <f t="shared" si="8"/>
        <v>117195244</v>
      </c>
      <c r="K97" s="75">
        <f t="shared" si="9"/>
        <v>1262343244</v>
      </c>
      <c r="L97" s="751">
        <v>1087291000</v>
      </c>
      <c r="M97" s="753">
        <v>1123197000</v>
      </c>
    </row>
    <row r="98" spans="1:13" ht="13.5" x14ac:dyDescent="0.25">
      <c r="A98" s="766" t="s">
        <v>1723</v>
      </c>
      <c r="B98" s="944"/>
      <c r="C98" s="752">
        <v>103410251</v>
      </c>
      <c r="D98" s="751"/>
      <c r="E98" s="751"/>
      <c r="F98" s="751"/>
      <c r="G98" s="751"/>
      <c r="H98" s="751">
        <v>0</v>
      </c>
      <c r="I98" s="751">
        <v>0</v>
      </c>
      <c r="J98" s="75">
        <f t="shared" si="8"/>
        <v>0</v>
      </c>
      <c r="K98" s="75">
        <f t="shared" si="9"/>
        <v>103410251</v>
      </c>
      <c r="L98" s="751">
        <v>69649375</v>
      </c>
      <c r="M98" s="753">
        <v>74029309.998999998</v>
      </c>
    </row>
    <row r="99" spans="1:13" ht="13.5" x14ac:dyDescent="0.25">
      <c r="A99" s="766" t="s">
        <v>1724</v>
      </c>
      <c r="B99" s="944"/>
      <c r="C99" s="752">
        <v>332477244</v>
      </c>
      <c r="D99" s="751"/>
      <c r="E99" s="751"/>
      <c r="F99" s="751"/>
      <c r="G99" s="751"/>
      <c r="H99" s="751">
        <v>0</v>
      </c>
      <c r="I99" s="751">
        <v>-38477244</v>
      </c>
      <c r="J99" s="75">
        <f t="shared" si="8"/>
        <v>-38477244</v>
      </c>
      <c r="K99" s="75">
        <f t="shared" si="9"/>
        <v>294000000</v>
      </c>
      <c r="L99" s="751">
        <v>362400195.96000004</v>
      </c>
      <c r="M99" s="753">
        <v>393204212.61660004</v>
      </c>
    </row>
    <row r="100" spans="1:13" ht="13.5" x14ac:dyDescent="0.25">
      <c r="A100" s="766" t="s">
        <v>1725</v>
      </c>
      <c r="B100" s="944"/>
      <c r="C100" s="752">
        <v>1576522</v>
      </c>
      <c r="D100" s="751"/>
      <c r="E100" s="751"/>
      <c r="F100" s="751"/>
      <c r="G100" s="751"/>
      <c r="H100" s="751"/>
      <c r="I100" s="751"/>
      <c r="J100" s="75">
        <f t="shared" si="8"/>
        <v>0</v>
      </c>
      <c r="K100" s="75">
        <f t="shared" si="9"/>
        <v>1576522</v>
      </c>
      <c r="L100" s="751">
        <v>1672113</v>
      </c>
      <c r="M100" s="753">
        <v>1773078.78</v>
      </c>
    </row>
    <row r="101" spans="1:13" ht="13.5" x14ac:dyDescent="0.25">
      <c r="A101" s="766">
        <f>'Org structure'!E96</f>
        <v>0</v>
      </c>
      <c r="B101" s="944"/>
      <c r="C101" s="752"/>
      <c r="D101" s="751"/>
      <c r="E101" s="751"/>
      <c r="F101" s="751"/>
      <c r="G101" s="751"/>
      <c r="H101" s="751"/>
      <c r="I101" s="751"/>
      <c r="J101" s="75">
        <f t="shared" si="8"/>
        <v>0</v>
      </c>
      <c r="K101" s="75">
        <f t="shared" si="9"/>
        <v>0</v>
      </c>
      <c r="L101" s="751"/>
      <c r="M101" s="753"/>
    </row>
    <row r="102" spans="1:13" ht="13.5" x14ac:dyDescent="0.25">
      <c r="A102" s="766">
        <f>'Org structure'!E97</f>
        <v>0</v>
      </c>
      <c r="B102" s="944"/>
      <c r="C102" s="752"/>
      <c r="D102" s="751"/>
      <c r="E102" s="751"/>
      <c r="F102" s="751"/>
      <c r="G102" s="751"/>
      <c r="H102" s="751"/>
      <c r="I102" s="751"/>
      <c r="J102" s="75">
        <f t="shared" si="8"/>
        <v>0</v>
      </c>
      <c r="K102" s="75">
        <f t="shared" si="9"/>
        <v>0</v>
      </c>
      <c r="L102" s="751"/>
      <c r="M102" s="753"/>
    </row>
    <row r="103" spans="1:13" ht="13.5" x14ac:dyDescent="0.25">
      <c r="A103" s="766">
        <f>'Org structure'!E98</f>
        <v>0</v>
      </c>
      <c r="B103" s="944"/>
      <c r="C103" s="752"/>
      <c r="D103" s="751"/>
      <c r="E103" s="751"/>
      <c r="F103" s="751"/>
      <c r="G103" s="751"/>
      <c r="H103" s="751"/>
      <c r="I103" s="751"/>
      <c r="J103" s="75">
        <f t="shared" si="8"/>
        <v>0</v>
      </c>
      <c r="K103" s="75">
        <f t="shared" si="9"/>
        <v>0</v>
      </c>
      <c r="L103" s="751"/>
      <c r="M103" s="753"/>
    </row>
    <row r="104" spans="1:13" ht="13.5" x14ac:dyDescent="0.25">
      <c r="A104" s="766">
        <f>'Org structure'!E99</f>
        <v>0</v>
      </c>
      <c r="B104" s="944"/>
      <c r="C104" s="752"/>
      <c r="D104" s="751"/>
      <c r="E104" s="751"/>
      <c r="F104" s="751"/>
      <c r="G104" s="751"/>
      <c r="H104" s="751"/>
      <c r="I104" s="751"/>
      <c r="J104" s="75">
        <f t="shared" si="8"/>
        <v>0</v>
      </c>
      <c r="K104" s="75">
        <f t="shared" si="9"/>
        <v>0</v>
      </c>
      <c r="L104" s="751"/>
      <c r="M104" s="753"/>
    </row>
    <row r="105" spans="1:13" ht="13.5" x14ac:dyDescent="0.25">
      <c r="A105" s="766">
        <f>'Org structure'!E100</f>
        <v>0</v>
      </c>
      <c r="B105" s="944"/>
      <c r="C105" s="752"/>
      <c r="D105" s="751"/>
      <c r="E105" s="751"/>
      <c r="F105" s="751"/>
      <c r="G105" s="751"/>
      <c r="H105" s="751"/>
      <c r="I105" s="751"/>
      <c r="J105" s="75">
        <f t="shared" si="8"/>
        <v>0</v>
      </c>
      <c r="K105" s="75">
        <f t="shared" si="9"/>
        <v>0</v>
      </c>
      <c r="L105" s="751"/>
      <c r="M105" s="753"/>
    </row>
    <row r="106" spans="1:13" ht="13.5" x14ac:dyDescent="0.25">
      <c r="A106" s="763" t="str">
        <f>'Org structure'!A11</f>
        <v>Vote 10 - Transport Operations</v>
      </c>
      <c r="B106" s="944"/>
      <c r="C106" s="750">
        <f>SUM(C107:C116)</f>
        <v>0</v>
      </c>
      <c r="D106" s="749">
        <f t="shared" ref="D106:I106" si="13">SUM(D107:D116)</f>
        <v>0</v>
      </c>
      <c r="E106" s="749">
        <f t="shared" si="13"/>
        <v>0</v>
      </c>
      <c r="F106" s="749">
        <f t="shared" si="13"/>
        <v>0</v>
      </c>
      <c r="G106" s="749">
        <f t="shared" si="13"/>
        <v>0</v>
      </c>
      <c r="H106" s="749">
        <f t="shared" si="13"/>
        <v>0</v>
      </c>
      <c r="I106" s="749">
        <f t="shared" si="13"/>
        <v>0</v>
      </c>
      <c r="J106" s="75">
        <f t="shared" si="8"/>
        <v>0</v>
      </c>
      <c r="K106" s="75">
        <f t="shared" si="9"/>
        <v>0</v>
      </c>
      <c r="L106" s="749">
        <f>SUM(L107:L116)</f>
        <v>0</v>
      </c>
      <c r="M106" s="777">
        <f>SUM(M107:M116)</f>
        <v>0</v>
      </c>
    </row>
    <row r="107" spans="1:13" ht="13.5" x14ac:dyDescent="0.25">
      <c r="A107" s="1280" t="s">
        <v>1716</v>
      </c>
      <c r="B107" s="944"/>
      <c r="C107" s="752"/>
      <c r="D107" s="751"/>
      <c r="E107" s="751"/>
      <c r="F107" s="751"/>
      <c r="G107" s="751"/>
      <c r="H107" s="751"/>
      <c r="I107" s="751"/>
      <c r="J107" s="75">
        <f t="shared" si="8"/>
        <v>0</v>
      </c>
      <c r="K107" s="75">
        <f t="shared" si="9"/>
        <v>0</v>
      </c>
      <c r="L107" s="751"/>
      <c r="M107" s="753"/>
    </row>
    <row r="108" spans="1:13" ht="13.5" x14ac:dyDescent="0.25">
      <c r="A108" s="766">
        <f>'Org structure'!E103</f>
        <v>0</v>
      </c>
      <c r="B108" s="944"/>
      <c r="C108" s="752"/>
      <c r="D108" s="751"/>
      <c r="E108" s="751"/>
      <c r="F108" s="751"/>
      <c r="G108" s="751"/>
      <c r="H108" s="751"/>
      <c r="I108" s="751"/>
      <c r="J108" s="75">
        <f t="shared" si="8"/>
        <v>0</v>
      </c>
      <c r="K108" s="75">
        <f t="shared" si="9"/>
        <v>0</v>
      </c>
      <c r="L108" s="751"/>
      <c r="M108" s="753"/>
    </row>
    <row r="109" spans="1:13" ht="13.5" x14ac:dyDescent="0.25">
      <c r="A109" s="766">
        <f>'Org structure'!E104</f>
        <v>0</v>
      </c>
      <c r="B109" s="944"/>
      <c r="C109" s="752"/>
      <c r="D109" s="751"/>
      <c r="E109" s="751"/>
      <c r="F109" s="751"/>
      <c r="G109" s="751"/>
      <c r="H109" s="751"/>
      <c r="I109" s="751"/>
      <c r="J109" s="75">
        <f t="shared" si="8"/>
        <v>0</v>
      </c>
      <c r="K109" s="75">
        <f t="shared" si="9"/>
        <v>0</v>
      </c>
      <c r="L109" s="751"/>
      <c r="M109" s="753"/>
    </row>
    <row r="110" spans="1:13" ht="13.5" x14ac:dyDescent="0.25">
      <c r="A110" s="766">
        <f>'Org structure'!E105</f>
        <v>0</v>
      </c>
      <c r="B110" s="944"/>
      <c r="C110" s="752"/>
      <c r="D110" s="751"/>
      <c r="E110" s="751"/>
      <c r="F110" s="751"/>
      <c r="G110" s="751"/>
      <c r="H110" s="751"/>
      <c r="I110" s="751"/>
      <c r="J110" s="75">
        <f t="shared" si="8"/>
        <v>0</v>
      </c>
      <c r="K110" s="75">
        <f t="shared" si="9"/>
        <v>0</v>
      </c>
      <c r="L110" s="751"/>
      <c r="M110" s="753"/>
    </row>
    <row r="111" spans="1:13" ht="13.5" x14ac:dyDescent="0.25">
      <c r="A111" s="766">
        <f>'Org structure'!E106</f>
        <v>0</v>
      </c>
      <c r="B111" s="944"/>
      <c r="C111" s="752"/>
      <c r="D111" s="751"/>
      <c r="E111" s="751"/>
      <c r="F111" s="751"/>
      <c r="G111" s="751"/>
      <c r="H111" s="751"/>
      <c r="I111" s="751"/>
      <c r="J111" s="75">
        <f t="shared" si="8"/>
        <v>0</v>
      </c>
      <c r="K111" s="75">
        <f t="shared" si="9"/>
        <v>0</v>
      </c>
      <c r="L111" s="751"/>
      <c r="M111" s="753"/>
    </row>
    <row r="112" spans="1:13" ht="13.5" x14ac:dyDescent="0.25">
      <c r="A112" s="766">
        <f>'Org structure'!E107</f>
        <v>0</v>
      </c>
      <c r="B112" s="944"/>
      <c r="C112" s="752"/>
      <c r="D112" s="751"/>
      <c r="E112" s="751"/>
      <c r="F112" s="751"/>
      <c r="G112" s="751"/>
      <c r="H112" s="751"/>
      <c r="I112" s="751"/>
      <c r="J112" s="75">
        <f t="shared" si="8"/>
        <v>0</v>
      </c>
      <c r="K112" s="75">
        <f t="shared" si="9"/>
        <v>0</v>
      </c>
      <c r="L112" s="751"/>
      <c r="M112" s="753"/>
    </row>
    <row r="113" spans="1:13" ht="13.5" x14ac:dyDescent="0.25">
      <c r="A113" s="766">
        <f>'Org structure'!E108</f>
        <v>0</v>
      </c>
      <c r="B113" s="944"/>
      <c r="C113" s="752"/>
      <c r="D113" s="751"/>
      <c r="E113" s="751"/>
      <c r="F113" s="751"/>
      <c r="G113" s="751"/>
      <c r="H113" s="751"/>
      <c r="I113" s="751"/>
      <c r="J113" s="75">
        <f t="shared" si="8"/>
        <v>0</v>
      </c>
      <c r="K113" s="75">
        <f t="shared" si="9"/>
        <v>0</v>
      </c>
      <c r="L113" s="751"/>
      <c r="M113" s="753"/>
    </row>
    <row r="114" spans="1:13" ht="13.5" x14ac:dyDescent="0.25">
      <c r="A114" s="766">
        <f>'Org structure'!E109</f>
        <v>0</v>
      </c>
      <c r="B114" s="944"/>
      <c r="C114" s="752"/>
      <c r="D114" s="751"/>
      <c r="E114" s="751"/>
      <c r="F114" s="751"/>
      <c r="G114" s="751"/>
      <c r="H114" s="751"/>
      <c r="I114" s="751"/>
      <c r="J114" s="75">
        <f t="shared" si="8"/>
        <v>0</v>
      </c>
      <c r="K114" s="75">
        <f t="shared" si="9"/>
        <v>0</v>
      </c>
      <c r="L114" s="751"/>
      <c r="M114" s="753"/>
    </row>
    <row r="115" spans="1:13" ht="13.5" x14ac:dyDescent="0.25">
      <c r="A115" s="766">
        <f>'Org structure'!E110</f>
        <v>0</v>
      </c>
      <c r="B115" s="944"/>
      <c r="C115" s="752"/>
      <c r="D115" s="751"/>
      <c r="E115" s="751"/>
      <c r="F115" s="751"/>
      <c r="G115" s="751"/>
      <c r="H115" s="751"/>
      <c r="I115" s="751"/>
      <c r="J115" s="75">
        <f t="shared" si="8"/>
        <v>0</v>
      </c>
      <c r="K115" s="75">
        <f t="shared" si="9"/>
        <v>0</v>
      </c>
      <c r="L115" s="751"/>
      <c r="M115" s="753"/>
    </row>
    <row r="116" spans="1:13" ht="13.5" x14ac:dyDescent="0.25">
      <c r="A116" s="766">
        <f>'Org structure'!E111</f>
        <v>0</v>
      </c>
      <c r="B116" s="944"/>
      <c r="C116" s="752"/>
      <c r="D116" s="751"/>
      <c r="E116" s="751"/>
      <c r="F116" s="751"/>
      <c r="G116" s="751"/>
      <c r="H116" s="751"/>
      <c r="I116" s="751"/>
      <c r="J116" s="75">
        <f t="shared" si="8"/>
        <v>0</v>
      </c>
      <c r="K116" s="75">
        <f t="shared" si="9"/>
        <v>0</v>
      </c>
      <c r="L116" s="751"/>
      <c r="M116" s="753"/>
    </row>
    <row r="117" spans="1:13" ht="13.5" x14ac:dyDescent="0.25">
      <c r="A117" s="763" t="str">
        <f>'Org structure'!A12</f>
        <v>Vote 11 - [NAME OF VOTE 11]</v>
      </c>
      <c r="B117" s="944"/>
      <c r="C117" s="750">
        <f>SUM(C118:C127)</f>
        <v>0</v>
      </c>
      <c r="D117" s="749">
        <f t="shared" ref="D117:I117" si="14">SUM(D118:D127)</f>
        <v>0</v>
      </c>
      <c r="E117" s="749">
        <f t="shared" si="14"/>
        <v>0</v>
      </c>
      <c r="F117" s="749">
        <f t="shared" si="14"/>
        <v>0</v>
      </c>
      <c r="G117" s="749">
        <f t="shared" si="14"/>
        <v>0</v>
      </c>
      <c r="H117" s="749">
        <f t="shared" si="14"/>
        <v>0</v>
      </c>
      <c r="I117" s="749">
        <f t="shared" si="14"/>
        <v>0</v>
      </c>
      <c r="J117" s="75">
        <f t="shared" si="8"/>
        <v>0</v>
      </c>
      <c r="K117" s="75">
        <f t="shared" si="9"/>
        <v>0</v>
      </c>
      <c r="L117" s="749">
        <f>SUM(L118:L127)</f>
        <v>0</v>
      </c>
      <c r="M117" s="777">
        <f>SUM(M118:M127)</f>
        <v>0</v>
      </c>
    </row>
    <row r="118" spans="1:13" ht="13.5" x14ac:dyDescent="0.25">
      <c r="A118" s="766" t="str">
        <f>'Org structure'!E113</f>
        <v>11.1 - [Name of sub-vote]</v>
      </c>
      <c r="B118" s="944"/>
      <c r="C118" s="752"/>
      <c r="D118" s="751"/>
      <c r="E118" s="751"/>
      <c r="F118" s="751"/>
      <c r="G118" s="751"/>
      <c r="H118" s="751"/>
      <c r="I118" s="751"/>
      <c r="J118" s="75">
        <f t="shared" si="8"/>
        <v>0</v>
      </c>
      <c r="K118" s="75">
        <f t="shared" si="9"/>
        <v>0</v>
      </c>
      <c r="L118" s="751"/>
      <c r="M118" s="753"/>
    </row>
    <row r="119" spans="1:13" ht="13.5" x14ac:dyDescent="0.25">
      <c r="A119" s="766">
        <f>'Org structure'!E114</f>
        <v>0</v>
      </c>
      <c r="B119" s="944"/>
      <c r="C119" s="752"/>
      <c r="D119" s="751"/>
      <c r="E119" s="751"/>
      <c r="F119" s="751"/>
      <c r="G119" s="751"/>
      <c r="H119" s="751"/>
      <c r="I119" s="751"/>
      <c r="J119" s="75">
        <f t="shared" si="8"/>
        <v>0</v>
      </c>
      <c r="K119" s="75">
        <f t="shared" si="9"/>
        <v>0</v>
      </c>
      <c r="L119" s="751"/>
      <c r="M119" s="753"/>
    </row>
    <row r="120" spans="1:13" ht="13.5" x14ac:dyDescent="0.25">
      <c r="A120" s="766">
        <f>'Org structure'!E115</f>
        <v>0</v>
      </c>
      <c r="B120" s="944"/>
      <c r="C120" s="752"/>
      <c r="D120" s="751"/>
      <c r="E120" s="751"/>
      <c r="F120" s="751"/>
      <c r="G120" s="751"/>
      <c r="H120" s="751"/>
      <c r="I120" s="751"/>
      <c r="J120" s="75">
        <f t="shared" si="8"/>
        <v>0</v>
      </c>
      <c r="K120" s="75">
        <f t="shared" si="9"/>
        <v>0</v>
      </c>
      <c r="L120" s="751"/>
      <c r="M120" s="753"/>
    </row>
    <row r="121" spans="1:13" ht="13.5" x14ac:dyDescent="0.25">
      <c r="A121" s="766">
        <f>'Org structure'!E116</f>
        <v>0</v>
      </c>
      <c r="B121" s="944"/>
      <c r="C121" s="752"/>
      <c r="D121" s="751"/>
      <c r="E121" s="751"/>
      <c r="F121" s="751"/>
      <c r="G121" s="751"/>
      <c r="H121" s="751"/>
      <c r="I121" s="751"/>
      <c r="J121" s="75">
        <f t="shared" si="8"/>
        <v>0</v>
      </c>
      <c r="K121" s="75">
        <f t="shared" si="9"/>
        <v>0</v>
      </c>
      <c r="L121" s="751"/>
      <c r="M121" s="753"/>
    </row>
    <row r="122" spans="1:13" ht="13.5" x14ac:dyDescent="0.25">
      <c r="A122" s="766">
        <f>'Org structure'!E117</f>
        <v>0</v>
      </c>
      <c r="B122" s="944"/>
      <c r="C122" s="752"/>
      <c r="D122" s="751"/>
      <c r="E122" s="751"/>
      <c r="F122" s="751"/>
      <c r="G122" s="751"/>
      <c r="H122" s="751"/>
      <c r="I122" s="751"/>
      <c r="J122" s="75">
        <f t="shared" si="8"/>
        <v>0</v>
      </c>
      <c r="K122" s="75">
        <f t="shared" si="9"/>
        <v>0</v>
      </c>
      <c r="L122" s="751"/>
      <c r="M122" s="753"/>
    </row>
    <row r="123" spans="1:13" ht="13.5" x14ac:dyDescent="0.25">
      <c r="A123" s="766">
        <f>'Org structure'!E118</f>
        <v>0</v>
      </c>
      <c r="B123" s="944"/>
      <c r="C123" s="752"/>
      <c r="D123" s="751"/>
      <c r="E123" s="751"/>
      <c r="F123" s="751"/>
      <c r="G123" s="751"/>
      <c r="H123" s="751"/>
      <c r="I123" s="751"/>
      <c r="J123" s="75">
        <f t="shared" si="8"/>
        <v>0</v>
      </c>
      <c r="K123" s="75">
        <f t="shared" si="9"/>
        <v>0</v>
      </c>
      <c r="L123" s="751"/>
      <c r="M123" s="753"/>
    </row>
    <row r="124" spans="1:13" ht="13.5" x14ac:dyDescent="0.25">
      <c r="A124" s="766">
        <f>'Org structure'!E119</f>
        <v>0</v>
      </c>
      <c r="B124" s="944"/>
      <c r="C124" s="752"/>
      <c r="D124" s="751"/>
      <c r="E124" s="751"/>
      <c r="F124" s="751"/>
      <c r="G124" s="751"/>
      <c r="H124" s="751"/>
      <c r="I124" s="751"/>
      <c r="J124" s="75">
        <f t="shared" si="8"/>
        <v>0</v>
      </c>
      <c r="K124" s="75">
        <f t="shared" si="9"/>
        <v>0</v>
      </c>
      <c r="L124" s="751"/>
      <c r="M124" s="753"/>
    </row>
    <row r="125" spans="1:13" ht="13.5" x14ac:dyDescent="0.25">
      <c r="A125" s="766">
        <f>'Org structure'!E120</f>
        <v>0</v>
      </c>
      <c r="B125" s="944"/>
      <c r="C125" s="752"/>
      <c r="D125" s="751"/>
      <c r="E125" s="751"/>
      <c r="F125" s="751"/>
      <c r="G125" s="751"/>
      <c r="H125" s="751"/>
      <c r="I125" s="751"/>
      <c r="J125" s="75">
        <f t="shared" si="8"/>
        <v>0</v>
      </c>
      <c r="K125" s="75">
        <f t="shared" si="9"/>
        <v>0</v>
      </c>
      <c r="L125" s="751"/>
      <c r="M125" s="753"/>
    </row>
    <row r="126" spans="1:13" ht="13.5" x14ac:dyDescent="0.25">
      <c r="A126" s="766">
        <f>'Org structure'!E121</f>
        <v>0</v>
      </c>
      <c r="B126" s="944"/>
      <c r="C126" s="752"/>
      <c r="D126" s="751"/>
      <c r="E126" s="751"/>
      <c r="F126" s="751"/>
      <c r="G126" s="751"/>
      <c r="H126" s="751"/>
      <c r="I126" s="751"/>
      <c r="J126" s="75">
        <f t="shared" si="8"/>
        <v>0</v>
      </c>
      <c r="K126" s="75">
        <f t="shared" si="9"/>
        <v>0</v>
      </c>
      <c r="L126" s="751"/>
      <c r="M126" s="753"/>
    </row>
    <row r="127" spans="1:13" ht="13.5" x14ac:dyDescent="0.25">
      <c r="A127" s="766">
        <f>'Org structure'!E122</f>
        <v>0</v>
      </c>
      <c r="B127" s="944"/>
      <c r="C127" s="752"/>
      <c r="D127" s="751"/>
      <c r="E127" s="751"/>
      <c r="F127" s="751"/>
      <c r="G127" s="751"/>
      <c r="H127" s="751"/>
      <c r="I127" s="751"/>
      <c r="J127" s="75">
        <f t="shared" si="8"/>
        <v>0</v>
      </c>
      <c r="K127" s="75">
        <f t="shared" si="9"/>
        <v>0</v>
      </c>
      <c r="L127" s="751"/>
      <c r="M127" s="753"/>
    </row>
    <row r="128" spans="1:13" ht="13.5" x14ac:dyDescent="0.25">
      <c r="A128" s="763" t="str">
        <f>'Org structure'!A13</f>
        <v>Vote 12 - [NAME OF VOTE 12]</v>
      </c>
      <c r="B128" s="944"/>
      <c r="C128" s="750">
        <f>SUM(C129:C138)</f>
        <v>0</v>
      </c>
      <c r="D128" s="749">
        <f t="shared" ref="D128:I128" si="15">SUM(D129:D138)</f>
        <v>0</v>
      </c>
      <c r="E128" s="749">
        <f t="shared" si="15"/>
        <v>0</v>
      </c>
      <c r="F128" s="749">
        <f t="shared" si="15"/>
        <v>0</v>
      </c>
      <c r="G128" s="749">
        <f t="shared" si="15"/>
        <v>0</v>
      </c>
      <c r="H128" s="749">
        <f t="shared" si="15"/>
        <v>0</v>
      </c>
      <c r="I128" s="749">
        <f t="shared" si="15"/>
        <v>0</v>
      </c>
      <c r="J128" s="75">
        <f t="shared" si="8"/>
        <v>0</v>
      </c>
      <c r="K128" s="75">
        <f t="shared" si="9"/>
        <v>0</v>
      </c>
      <c r="L128" s="749">
        <f>SUM(L129:L138)</f>
        <v>0</v>
      </c>
      <c r="M128" s="777">
        <f>SUM(M129:M138)</f>
        <v>0</v>
      </c>
    </row>
    <row r="129" spans="1:13" ht="13.5" x14ac:dyDescent="0.25">
      <c r="A129" s="766" t="str">
        <f>'Org structure'!E124</f>
        <v>12.1 - [Name of sub-vote]</v>
      </c>
      <c r="B129" s="944"/>
      <c r="C129" s="752"/>
      <c r="D129" s="751"/>
      <c r="E129" s="751"/>
      <c r="F129" s="751"/>
      <c r="G129" s="751"/>
      <c r="H129" s="751"/>
      <c r="I129" s="751"/>
      <c r="J129" s="75">
        <f t="shared" si="8"/>
        <v>0</v>
      </c>
      <c r="K129" s="75">
        <f t="shared" si="9"/>
        <v>0</v>
      </c>
      <c r="L129" s="751"/>
      <c r="M129" s="753"/>
    </row>
    <row r="130" spans="1:13" ht="13.5" x14ac:dyDescent="0.25">
      <c r="A130" s="766">
        <f>'Org structure'!E125</f>
        <v>0</v>
      </c>
      <c r="B130" s="944"/>
      <c r="C130" s="752"/>
      <c r="D130" s="751"/>
      <c r="E130" s="751"/>
      <c r="F130" s="751"/>
      <c r="G130" s="751"/>
      <c r="H130" s="751"/>
      <c r="I130" s="751"/>
      <c r="J130" s="75">
        <f t="shared" si="8"/>
        <v>0</v>
      </c>
      <c r="K130" s="75">
        <f t="shared" si="9"/>
        <v>0</v>
      </c>
      <c r="L130" s="751"/>
      <c r="M130" s="753"/>
    </row>
    <row r="131" spans="1:13" ht="13.5" x14ac:dyDescent="0.25">
      <c r="A131" s="766">
        <f>'Org structure'!E126</f>
        <v>0</v>
      </c>
      <c r="B131" s="944"/>
      <c r="C131" s="752"/>
      <c r="D131" s="751"/>
      <c r="E131" s="751"/>
      <c r="F131" s="751"/>
      <c r="G131" s="751"/>
      <c r="H131" s="751"/>
      <c r="I131" s="751"/>
      <c r="J131" s="75">
        <f t="shared" si="8"/>
        <v>0</v>
      </c>
      <c r="K131" s="75">
        <f t="shared" si="9"/>
        <v>0</v>
      </c>
      <c r="L131" s="751"/>
      <c r="M131" s="753"/>
    </row>
    <row r="132" spans="1:13" ht="13.5" x14ac:dyDescent="0.25">
      <c r="A132" s="766">
        <f>'Org structure'!E127</f>
        <v>0</v>
      </c>
      <c r="B132" s="944"/>
      <c r="C132" s="752"/>
      <c r="D132" s="751"/>
      <c r="E132" s="751"/>
      <c r="F132" s="751"/>
      <c r="G132" s="751"/>
      <c r="H132" s="751"/>
      <c r="I132" s="751"/>
      <c r="J132" s="75">
        <f t="shared" si="8"/>
        <v>0</v>
      </c>
      <c r="K132" s="75">
        <f t="shared" si="9"/>
        <v>0</v>
      </c>
      <c r="L132" s="751"/>
      <c r="M132" s="753"/>
    </row>
    <row r="133" spans="1:13" ht="13.5" x14ac:dyDescent="0.25">
      <c r="A133" s="766">
        <f>'Org structure'!E128</f>
        <v>0</v>
      </c>
      <c r="B133" s="944"/>
      <c r="C133" s="752"/>
      <c r="D133" s="751"/>
      <c r="E133" s="751"/>
      <c r="F133" s="751"/>
      <c r="G133" s="751"/>
      <c r="H133" s="751"/>
      <c r="I133" s="751"/>
      <c r="J133" s="75">
        <f t="shared" si="8"/>
        <v>0</v>
      </c>
      <c r="K133" s="75">
        <f t="shared" si="9"/>
        <v>0</v>
      </c>
      <c r="L133" s="751"/>
      <c r="M133" s="753"/>
    </row>
    <row r="134" spans="1:13" ht="13.5" x14ac:dyDescent="0.25">
      <c r="A134" s="766">
        <f>'Org structure'!E129</f>
        <v>0</v>
      </c>
      <c r="B134" s="944"/>
      <c r="C134" s="752"/>
      <c r="D134" s="751"/>
      <c r="E134" s="751"/>
      <c r="F134" s="751"/>
      <c r="G134" s="751"/>
      <c r="H134" s="751"/>
      <c r="I134" s="751"/>
      <c r="J134" s="75">
        <f t="shared" si="8"/>
        <v>0</v>
      </c>
      <c r="K134" s="75">
        <f t="shared" si="9"/>
        <v>0</v>
      </c>
      <c r="L134" s="751"/>
      <c r="M134" s="753"/>
    </row>
    <row r="135" spans="1:13" ht="13.5" x14ac:dyDescent="0.25">
      <c r="A135" s="766">
        <f>'Org structure'!E130</f>
        <v>0</v>
      </c>
      <c r="B135" s="944"/>
      <c r="C135" s="752"/>
      <c r="D135" s="751"/>
      <c r="E135" s="751"/>
      <c r="F135" s="751"/>
      <c r="G135" s="751"/>
      <c r="H135" s="751"/>
      <c r="I135" s="751"/>
      <c r="J135" s="75">
        <f t="shared" si="8"/>
        <v>0</v>
      </c>
      <c r="K135" s="75">
        <f t="shared" si="9"/>
        <v>0</v>
      </c>
      <c r="L135" s="751"/>
      <c r="M135" s="753"/>
    </row>
    <row r="136" spans="1:13" ht="13.5" x14ac:dyDescent="0.25">
      <c r="A136" s="766">
        <f>'Org structure'!E131</f>
        <v>0</v>
      </c>
      <c r="B136" s="944"/>
      <c r="C136" s="752"/>
      <c r="D136" s="751"/>
      <c r="E136" s="751"/>
      <c r="F136" s="751"/>
      <c r="G136" s="751"/>
      <c r="H136" s="751"/>
      <c r="I136" s="751"/>
      <c r="J136" s="75">
        <f t="shared" ref="J136:J171" si="16">SUM(E136:I136)</f>
        <v>0</v>
      </c>
      <c r="K136" s="75">
        <f t="shared" ref="K136:K171" si="17">IF(D136=0,C136+J136,D136+J136)</f>
        <v>0</v>
      </c>
      <c r="L136" s="751"/>
      <c r="M136" s="753"/>
    </row>
    <row r="137" spans="1:13" ht="13.5" x14ac:dyDescent="0.25">
      <c r="A137" s="766">
        <f>'Org structure'!E132</f>
        <v>0</v>
      </c>
      <c r="B137" s="944"/>
      <c r="C137" s="752"/>
      <c r="D137" s="751"/>
      <c r="E137" s="751"/>
      <c r="F137" s="751"/>
      <c r="G137" s="751"/>
      <c r="H137" s="751"/>
      <c r="I137" s="751"/>
      <c r="J137" s="75">
        <f t="shared" si="16"/>
        <v>0</v>
      </c>
      <c r="K137" s="75">
        <f t="shared" si="17"/>
        <v>0</v>
      </c>
      <c r="L137" s="751"/>
      <c r="M137" s="753"/>
    </row>
    <row r="138" spans="1:13" ht="13.5" x14ac:dyDescent="0.25">
      <c r="A138" s="766">
        <f>'Org structure'!E133</f>
        <v>0</v>
      </c>
      <c r="B138" s="944"/>
      <c r="C138" s="752"/>
      <c r="D138" s="751"/>
      <c r="E138" s="751"/>
      <c r="F138" s="751"/>
      <c r="G138" s="751"/>
      <c r="H138" s="751"/>
      <c r="I138" s="751"/>
      <c r="J138" s="75">
        <f t="shared" si="16"/>
        <v>0</v>
      </c>
      <c r="K138" s="75">
        <f t="shared" si="17"/>
        <v>0</v>
      </c>
      <c r="L138" s="751"/>
      <c r="M138" s="753"/>
    </row>
    <row r="139" spans="1:13" ht="13.5" x14ac:dyDescent="0.25">
      <c r="A139" s="763" t="str">
        <f>'Org structure'!A14</f>
        <v>Vote 13 - [NAME OF VOTE 13]</v>
      </c>
      <c r="B139" s="944"/>
      <c r="C139" s="750">
        <f>SUM(C140:C149)</f>
        <v>0</v>
      </c>
      <c r="D139" s="749">
        <f t="shared" ref="D139:I139" si="18">SUM(D140:D149)</f>
        <v>0</v>
      </c>
      <c r="E139" s="749">
        <f t="shared" si="18"/>
        <v>0</v>
      </c>
      <c r="F139" s="749">
        <f t="shared" si="18"/>
        <v>0</v>
      </c>
      <c r="G139" s="749">
        <f t="shared" si="18"/>
        <v>0</v>
      </c>
      <c r="H139" s="749">
        <f t="shared" si="18"/>
        <v>0</v>
      </c>
      <c r="I139" s="749">
        <f t="shared" si="18"/>
        <v>0</v>
      </c>
      <c r="J139" s="75">
        <f t="shared" si="16"/>
        <v>0</v>
      </c>
      <c r="K139" s="75">
        <f t="shared" si="17"/>
        <v>0</v>
      </c>
      <c r="L139" s="749">
        <f>SUM(L140:L149)</f>
        <v>0</v>
      </c>
      <c r="M139" s="777">
        <f>SUM(M140:M149)</f>
        <v>0</v>
      </c>
    </row>
    <row r="140" spans="1:13" ht="13.5" x14ac:dyDescent="0.25">
      <c r="A140" s="766" t="str">
        <f>'Org structure'!E135</f>
        <v>13.1 - [Name of sub-vote]</v>
      </c>
      <c r="B140" s="944"/>
      <c r="C140" s="752"/>
      <c r="D140" s="751"/>
      <c r="E140" s="751"/>
      <c r="F140" s="751"/>
      <c r="G140" s="751"/>
      <c r="H140" s="751"/>
      <c r="I140" s="751"/>
      <c r="J140" s="75">
        <f t="shared" si="16"/>
        <v>0</v>
      </c>
      <c r="K140" s="75">
        <f t="shared" si="17"/>
        <v>0</v>
      </c>
      <c r="L140" s="751"/>
      <c r="M140" s="753"/>
    </row>
    <row r="141" spans="1:13" ht="13.5" x14ac:dyDescent="0.25">
      <c r="A141" s="766">
        <f>'Org structure'!E136</f>
        <v>0</v>
      </c>
      <c r="B141" s="944"/>
      <c r="C141" s="752"/>
      <c r="D141" s="751"/>
      <c r="E141" s="751"/>
      <c r="F141" s="751"/>
      <c r="G141" s="751"/>
      <c r="H141" s="751"/>
      <c r="I141" s="751"/>
      <c r="J141" s="75">
        <f t="shared" si="16"/>
        <v>0</v>
      </c>
      <c r="K141" s="75">
        <f t="shared" si="17"/>
        <v>0</v>
      </c>
      <c r="L141" s="751"/>
      <c r="M141" s="753"/>
    </row>
    <row r="142" spans="1:13" ht="13.5" x14ac:dyDescent="0.25">
      <c r="A142" s="766">
        <f>'Org structure'!E137</f>
        <v>0</v>
      </c>
      <c r="B142" s="944"/>
      <c r="C142" s="752"/>
      <c r="D142" s="751"/>
      <c r="E142" s="751"/>
      <c r="F142" s="751"/>
      <c r="G142" s="751"/>
      <c r="H142" s="751"/>
      <c r="I142" s="751"/>
      <c r="J142" s="75">
        <f t="shared" si="16"/>
        <v>0</v>
      </c>
      <c r="K142" s="75">
        <f t="shared" si="17"/>
        <v>0</v>
      </c>
      <c r="L142" s="751"/>
      <c r="M142" s="753"/>
    </row>
    <row r="143" spans="1:13" ht="13.5" x14ac:dyDescent="0.25">
      <c r="A143" s="766">
        <f>'Org structure'!E138</f>
        <v>0</v>
      </c>
      <c r="B143" s="944"/>
      <c r="C143" s="752"/>
      <c r="D143" s="751"/>
      <c r="E143" s="751"/>
      <c r="F143" s="751"/>
      <c r="G143" s="751"/>
      <c r="H143" s="751"/>
      <c r="I143" s="751"/>
      <c r="J143" s="75">
        <f t="shared" si="16"/>
        <v>0</v>
      </c>
      <c r="K143" s="75">
        <f t="shared" si="17"/>
        <v>0</v>
      </c>
      <c r="L143" s="751"/>
      <c r="M143" s="753"/>
    </row>
    <row r="144" spans="1:13" ht="13.5" x14ac:dyDescent="0.25">
      <c r="A144" s="766">
        <f>'Org structure'!E139</f>
        <v>0</v>
      </c>
      <c r="B144" s="944"/>
      <c r="C144" s="752"/>
      <c r="D144" s="751"/>
      <c r="E144" s="751"/>
      <c r="F144" s="751"/>
      <c r="G144" s="751"/>
      <c r="H144" s="751"/>
      <c r="I144" s="751"/>
      <c r="J144" s="75">
        <f t="shared" si="16"/>
        <v>0</v>
      </c>
      <c r="K144" s="75">
        <f t="shared" si="17"/>
        <v>0</v>
      </c>
      <c r="L144" s="751"/>
      <c r="M144" s="753"/>
    </row>
    <row r="145" spans="1:13" ht="13.5" x14ac:dyDescent="0.25">
      <c r="A145" s="766">
        <f>'Org structure'!E140</f>
        <v>0</v>
      </c>
      <c r="B145" s="944"/>
      <c r="C145" s="752"/>
      <c r="D145" s="751"/>
      <c r="E145" s="751"/>
      <c r="F145" s="751"/>
      <c r="G145" s="751"/>
      <c r="H145" s="751"/>
      <c r="I145" s="751"/>
      <c r="J145" s="75">
        <f t="shared" si="16"/>
        <v>0</v>
      </c>
      <c r="K145" s="75">
        <f t="shared" si="17"/>
        <v>0</v>
      </c>
      <c r="L145" s="751"/>
      <c r="M145" s="753"/>
    </row>
    <row r="146" spans="1:13" ht="13.5" x14ac:dyDescent="0.25">
      <c r="A146" s="766">
        <f>'Org structure'!E141</f>
        <v>0</v>
      </c>
      <c r="B146" s="944"/>
      <c r="C146" s="752"/>
      <c r="D146" s="751"/>
      <c r="E146" s="751"/>
      <c r="F146" s="751"/>
      <c r="G146" s="751"/>
      <c r="H146" s="751"/>
      <c r="I146" s="751"/>
      <c r="J146" s="75">
        <f t="shared" si="16"/>
        <v>0</v>
      </c>
      <c r="K146" s="75">
        <f t="shared" si="17"/>
        <v>0</v>
      </c>
      <c r="L146" s="751"/>
      <c r="M146" s="753"/>
    </row>
    <row r="147" spans="1:13" ht="13.5" x14ac:dyDescent="0.25">
      <c r="A147" s="766">
        <f>'Org structure'!E142</f>
        <v>0</v>
      </c>
      <c r="B147" s="944"/>
      <c r="C147" s="752"/>
      <c r="D147" s="751"/>
      <c r="E147" s="751"/>
      <c r="F147" s="751"/>
      <c r="G147" s="751"/>
      <c r="H147" s="751"/>
      <c r="I147" s="751"/>
      <c r="J147" s="75">
        <f t="shared" si="16"/>
        <v>0</v>
      </c>
      <c r="K147" s="75">
        <f t="shared" si="17"/>
        <v>0</v>
      </c>
      <c r="L147" s="751"/>
      <c r="M147" s="753"/>
    </row>
    <row r="148" spans="1:13" ht="13.5" x14ac:dyDescent="0.25">
      <c r="A148" s="766">
        <f>'Org structure'!E143</f>
        <v>0</v>
      </c>
      <c r="B148" s="944"/>
      <c r="C148" s="752"/>
      <c r="D148" s="751"/>
      <c r="E148" s="751"/>
      <c r="F148" s="751"/>
      <c r="G148" s="751"/>
      <c r="H148" s="751"/>
      <c r="I148" s="751"/>
      <c r="J148" s="75">
        <f t="shared" si="16"/>
        <v>0</v>
      </c>
      <c r="K148" s="75">
        <f t="shared" si="17"/>
        <v>0</v>
      </c>
      <c r="L148" s="751"/>
      <c r="M148" s="753"/>
    </row>
    <row r="149" spans="1:13" ht="13.5" x14ac:dyDescent="0.25">
      <c r="A149" s="766">
        <f>'Org structure'!E144</f>
        <v>0</v>
      </c>
      <c r="B149" s="944"/>
      <c r="C149" s="752"/>
      <c r="D149" s="751"/>
      <c r="E149" s="751"/>
      <c r="F149" s="751"/>
      <c r="G149" s="751"/>
      <c r="H149" s="751"/>
      <c r="I149" s="751"/>
      <c r="J149" s="75">
        <f t="shared" si="16"/>
        <v>0</v>
      </c>
      <c r="K149" s="75">
        <f t="shared" si="17"/>
        <v>0</v>
      </c>
      <c r="L149" s="751"/>
      <c r="M149" s="753"/>
    </row>
    <row r="150" spans="1:13" ht="13.5" x14ac:dyDescent="0.25">
      <c r="A150" s="763" t="str">
        <f>'Org structure'!A15</f>
        <v>Vote 14 - [NAME OF VOTE 14]</v>
      </c>
      <c r="B150" s="944"/>
      <c r="C150" s="750">
        <f>SUM(C151:C160)</f>
        <v>0</v>
      </c>
      <c r="D150" s="749">
        <f t="shared" ref="D150:I150" si="19">SUM(D151:D160)</f>
        <v>0</v>
      </c>
      <c r="E150" s="749">
        <f t="shared" si="19"/>
        <v>0</v>
      </c>
      <c r="F150" s="749">
        <f t="shared" si="19"/>
        <v>0</v>
      </c>
      <c r="G150" s="749">
        <f t="shared" si="19"/>
        <v>0</v>
      </c>
      <c r="H150" s="749">
        <f t="shared" si="19"/>
        <v>0</v>
      </c>
      <c r="I150" s="749">
        <f t="shared" si="19"/>
        <v>0</v>
      </c>
      <c r="J150" s="75">
        <f t="shared" si="16"/>
        <v>0</v>
      </c>
      <c r="K150" s="75">
        <f t="shared" si="17"/>
        <v>0</v>
      </c>
      <c r="L150" s="749">
        <f>SUM(L151:L160)</f>
        <v>0</v>
      </c>
      <c r="M150" s="777">
        <f>SUM(M151:M160)</f>
        <v>0</v>
      </c>
    </row>
    <row r="151" spans="1:13" ht="13.5" x14ac:dyDescent="0.25">
      <c r="A151" s="766" t="str">
        <f>'Org structure'!E146</f>
        <v>14.1 - [Name of sub-vote]</v>
      </c>
      <c r="B151" s="944"/>
      <c r="C151" s="752"/>
      <c r="D151" s="751"/>
      <c r="E151" s="751"/>
      <c r="F151" s="751"/>
      <c r="G151" s="751"/>
      <c r="H151" s="751"/>
      <c r="I151" s="751"/>
      <c r="J151" s="75">
        <f t="shared" si="16"/>
        <v>0</v>
      </c>
      <c r="K151" s="75">
        <f t="shared" si="17"/>
        <v>0</v>
      </c>
      <c r="L151" s="751"/>
      <c r="M151" s="753"/>
    </row>
    <row r="152" spans="1:13" ht="13.5" x14ac:dyDescent="0.25">
      <c r="A152" s="766">
        <f>'Org structure'!E147</f>
        <v>0</v>
      </c>
      <c r="B152" s="944"/>
      <c r="C152" s="752"/>
      <c r="D152" s="751"/>
      <c r="E152" s="751"/>
      <c r="F152" s="751"/>
      <c r="G152" s="751"/>
      <c r="H152" s="751"/>
      <c r="I152" s="751"/>
      <c r="J152" s="75">
        <f t="shared" si="16"/>
        <v>0</v>
      </c>
      <c r="K152" s="75">
        <f t="shared" si="17"/>
        <v>0</v>
      </c>
      <c r="L152" s="751"/>
      <c r="M152" s="753"/>
    </row>
    <row r="153" spans="1:13" ht="13.5" x14ac:dyDescent="0.25">
      <c r="A153" s="766">
        <f>'Org structure'!E148</f>
        <v>0</v>
      </c>
      <c r="B153" s="944"/>
      <c r="C153" s="752"/>
      <c r="D153" s="751"/>
      <c r="E153" s="751"/>
      <c r="F153" s="751"/>
      <c r="G153" s="751"/>
      <c r="H153" s="751"/>
      <c r="I153" s="751"/>
      <c r="J153" s="75">
        <f t="shared" si="16"/>
        <v>0</v>
      </c>
      <c r="K153" s="75">
        <f t="shared" si="17"/>
        <v>0</v>
      </c>
      <c r="L153" s="751"/>
      <c r="M153" s="753"/>
    </row>
    <row r="154" spans="1:13" ht="13.5" x14ac:dyDescent="0.25">
      <c r="A154" s="766">
        <f>'Org structure'!E149</f>
        <v>0</v>
      </c>
      <c r="B154" s="944"/>
      <c r="C154" s="752"/>
      <c r="D154" s="751"/>
      <c r="E154" s="751"/>
      <c r="F154" s="751"/>
      <c r="G154" s="751"/>
      <c r="H154" s="751"/>
      <c r="I154" s="751"/>
      <c r="J154" s="75">
        <f t="shared" si="16"/>
        <v>0</v>
      </c>
      <c r="K154" s="75">
        <f t="shared" si="17"/>
        <v>0</v>
      </c>
      <c r="L154" s="751"/>
      <c r="M154" s="753"/>
    </row>
    <row r="155" spans="1:13" ht="13.5" x14ac:dyDescent="0.25">
      <c r="A155" s="766">
        <f>'Org structure'!E150</f>
        <v>0</v>
      </c>
      <c r="B155" s="944"/>
      <c r="C155" s="752"/>
      <c r="D155" s="751"/>
      <c r="E155" s="751"/>
      <c r="F155" s="751"/>
      <c r="G155" s="751"/>
      <c r="H155" s="751"/>
      <c r="I155" s="751"/>
      <c r="J155" s="75">
        <f t="shared" si="16"/>
        <v>0</v>
      </c>
      <c r="K155" s="75">
        <f t="shared" si="17"/>
        <v>0</v>
      </c>
      <c r="L155" s="751"/>
      <c r="M155" s="753"/>
    </row>
    <row r="156" spans="1:13" ht="13.5" x14ac:dyDescent="0.25">
      <c r="A156" s="766">
        <f>'Org structure'!E151</f>
        <v>0</v>
      </c>
      <c r="B156" s="944"/>
      <c r="C156" s="752"/>
      <c r="D156" s="751"/>
      <c r="E156" s="751"/>
      <c r="F156" s="751"/>
      <c r="G156" s="751"/>
      <c r="H156" s="751"/>
      <c r="I156" s="751"/>
      <c r="J156" s="75">
        <f t="shared" si="16"/>
        <v>0</v>
      </c>
      <c r="K156" s="75">
        <f t="shared" si="17"/>
        <v>0</v>
      </c>
      <c r="L156" s="751"/>
      <c r="M156" s="753"/>
    </row>
    <row r="157" spans="1:13" ht="13.5" x14ac:dyDescent="0.25">
      <c r="A157" s="766">
        <f>'Org structure'!E152</f>
        <v>0</v>
      </c>
      <c r="B157" s="944"/>
      <c r="C157" s="752"/>
      <c r="D157" s="751"/>
      <c r="E157" s="751"/>
      <c r="F157" s="751"/>
      <c r="G157" s="751"/>
      <c r="H157" s="751"/>
      <c r="I157" s="751"/>
      <c r="J157" s="75">
        <f t="shared" si="16"/>
        <v>0</v>
      </c>
      <c r="K157" s="75">
        <f t="shared" si="17"/>
        <v>0</v>
      </c>
      <c r="L157" s="751"/>
      <c r="M157" s="753"/>
    </row>
    <row r="158" spans="1:13" ht="13.5" x14ac:dyDescent="0.25">
      <c r="A158" s="766">
        <f>'Org structure'!E153</f>
        <v>0</v>
      </c>
      <c r="B158" s="944"/>
      <c r="C158" s="752"/>
      <c r="D158" s="751"/>
      <c r="E158" s="751"/>
      <c r="F158" s="751"/>
      <c r="G158" s="751"/>
      <c r="H158" s="751"/>
      <c r="I158" s="751"/>
      <c r="J158" s="75">
        <f t="shared" si="16"/>
        <v>0</v>
      </c>
      <c r="K158" s="75">
        <f t="shared" si="17"/>
        <v>0</v>
      </c>
      <c r="L158" s="751"/>
      <c r="M158" s="753"/>
    </row>
    <row r="159" spans="1:13" ht="13.5" x14ac:dyDescent="0.25">
      <c r="A159" s="766">
        <f>'Org structure'!E154</f>
        <v>0</v>
      </c>
      <c r="B159" s="944"/>
      <c r="C159" s="752"/>
      <c r="D159" s="751"/>
      <c r="E159" s="751"/>
      <c r="F159" s="751"/>
      <c r="G159" s="751"/>
      <c r="H159" s="751"/>
      <c r="I159" s="751"/>
      <c r="J159" s="75">
        <f t="shared" si="16"/>
        <v>0</v>
      </c>
      <c r="K159" s="75">
        <f t="shared" si="17"/>
        <v>0</v>
      </c>
      <c r="L159" s="751"/>
      <c r="M159" s="753"/>
    </row>
    <row r="160" spans="1:13" ht="13.5" x14ac:dyDescent="0.25">
      <c r="A160" s="766">
        <f>'Org structure'!E155</f>
        <v>0</v>
      </c>
      <c r="B160" s="944"/>
      <c r="C160" s="752"/>
      <c r="D160" s="751"/>
      <c r="E160" s="751"/>
      <c r="F160" s="751"/>
      <c r="G160" s="751"/>
      <c r="H160" s="751"/>
      <c r="I160" s="751"/>
      <c r="J160" s="75">
        <f t="shared" si="16"/>
        <v>0</v>
      </c>
      <c r="K160" s="75">
        <f t="shared" si="17"/>
        <v>0</v>
      </c>
      <c r="L160" s="751"/>
      <c r="M160" s="753"/>
    </row>
    <row r="161" spans="1:13" ht="13.5" x14ac:dyDescent="0.25">
      <c r="A161" s="763" t="str">
        <f>'Org structure'!A16</f>
        <v>Vote 15 - [NAME OF VOTE 15]</v>
      </c>
      <c r="B161" s="944"/>
      <c r="C161" s="750">
        <f>SUM(C162:C171)</f>
        <v>0</v>
      </c>
      <c r="D161" s="749">
        <f t="shared" ref="D161:I161" si="20">SUM(D162:D171)</f>
        <v>0</v>
      </c>
      <c r="E161" s="749">
        <f t="shared" si="20"/>
        <v>0</v>
      </c>
      <c r="F161" s="749">
        <f t="shared" si="20"/>
        <v>0</v>
      </c>
      <c r="G161" s="749">
        <f t="shared" si="20"/>
        <v>0</v>
      </c>
      <c r="H161" s="749">
        <f t="shared" si="20"/>
        <v>0</v>
      </c>
      <c r="I161" s="749">
        <f t="shared" si="20"/>
        <v>0</v>
      </c>
      <c r="J161" s="75">
        <f t="shared" si="16"/>
        <v>0</v>
      </c>
      <c r="K161" s="75">
        <f t="shared" si="17"/>
        <v>0</v>
      </c>
      <c r="L161" s="749">
        <f>SUM(L162:L171)</f>
        <v>0</v>
      </c>
      <c r="M161" s="777">
        <f>SUM(M162:M171)</f>
        <v>0</v>
      </c>
    </row>
    <row r="162" spans="1:13" ht="13.5" x14ac:dyDescent="0.25">
      <c r="A162" s="766" t="str">
        <f>'Org structure'!E157</f>
        <v>15.1 - [Name of sub-vote]</v>
      </c>
      <c r="B162" s="944"/>
      <c r="C162" s="752"/>
      <c r="D162" s="751"/>
      <c r="E162" s="751"/>
      <c r="F162" s="751"/>
      <c r="G162" s="751"/>
      <c r="H162" s="751"/>
      <c r="I162" s="751"/>
      <c r="J162" s="75">
        <f t="shared" si="16"/>
        <v>0</v>
      </c>
      <c r="K162" s="75">
        <f t="shared" si="17"/>
        <v>0</v>
      </c>
      <c r="L162" s="751"/>
      <c r="M162" s="753"/>
    </row>
    <row r="163" spans="1:13" ht="13.5" x14ac:dyDescent="0.25">
      <c r="A163" s="766">
        <f>'Org structure'!E158</f>
        <v>0</v>
      </c>
      <c r="B163" s="944"/>
      <c r="C163" s="752"/>
      <c r="D163" s="751"/>
      <c r="E163" s="751"/>
      <c r="F163" s="751"/>
      <c r="G163" s="751"/>
      <c r="H163" s="751"/>
      <c r="I163" s="751"/>
      <c r="J163" s="75">
        <f t="shared" si="16"/>
        <v>0</v>
      </c>
      <c r="K163" s="75">
        <f t="shared" si="17"/>
        <v>0</v>
      </c>
      <c r="L163" s="751"/>
      <c r="M163" s="753"/>
    </row>
    <row r="164" spans="1:13" ht="13.5" x14ac:dyDescent="0.25">
      <c r="A164" s="766">
        <f>'Org structure'!E159</f>
        <v>0</v>
      </c>
      <c r="B164" s="944"/>
      <c r="C164" s="752"/>
      <c r="D164" s="751"/>
      <c r="E164" s="751"/>
      <c r="F164" s="751"/>
      <c r="G164" s="751"/>
      <c r="H164" s="751"/>
      <c r="I164" s="751"/>
      <c r="J164" s="75">
        <f t="shared" si="16"/>
        <v>0</v>
      </c>
      <c r="K164" s="75">
        <f t="shared" si="17"/>
        <v>0</v>
      </c>
      <c r="L164" s="751"/>
      <c r="M164" s="753"/>
    </row>
    <row r="165" spans="1:13" ht="13.5" x14ac:dyDescent="0.25">
      <c r="A165" s="766">
        <f>'Org structure'!E160</f>
        <v>0</v>
      </c>
      <c r="B165" s="944"/>
      <c r="C165" s="752"/>
      <c r="D165" s="751"/>
      <c r="E165" s="751"/>
      <c r="F165" s="751"/>
      <c r="G165" s="751"/>
      <c r="H165" s="751"/>
      <c r="I165" s="751"/>
      <c r="J165" s="75">
        <f t="shared" si="16"/>
        <v>0</v>
      </c>
      <c r="K165" s="75">
        <f t="shared" si="17"/>
        <v>0</v>
      </c>
      <c r="L165" s="751"/>
      <c r="M165" s="753"/>
    </row>
    <row r="166" spans="1:13" ht="13.5" x14ac:dyDescent="0.25">
      <c r="A166" s="766">
        <f>'Org structure'!E161</f>
        <v>0</v>
      </c>
      <c r="B166" s="944"/>
      <c r="C166" s="752"/>
      <c r="D166" s="751"/>
      <c r="E166" s="751"/>
      <c r="F166" s="751"/>
      <c r="G166" s="751"/>
      <c r="H166" s="751"/>
      <c r="I166" s="751"/>
      <c r="J166" s="75">
        <f t="shared" si="16"/>
        <v>0</v>
      </c>
      <c r="K166" s="75">
        <f t="shared" si="17"/>
        <v>0</v>
      </c>
      <c r="L166" s="751"/>
      <c r="M166" s="753"/>
    </row>
    <row r="167" spans="1:13" ht="13.5" x14ac:dyDescent="0.25">
      <c r="A167" s="766">
        <f>'Org structure'!E162</f>
        <v>0</v>
      </c>
      <c r="B167" s="944"/>
      <c r="C167" s="752"/>
      <c r="D167" s="751"/>
      <c r="E167" s="751"/>
      <c r="F167" s="751"/>
      <c r="G167" s="751"/>
      <c r="H167" s="751"/>
      <c r="I167" s="751"/>
      <c r="J167" s="75">
        <f t="shared" si="16"/>
        <v>0</v>
      </c>
      <c r="K167" s="75">
        <f t="shared" si="17"/>
        <v>0</v>
      </c>
      <c r="L167" s="751"/>
      <c r="M167" s="753"/>
    </row>
    <row r="168" spans="1:13" ht="13.5" x14ac:dyDescent="0.25">
      <c r="A168" s="766">
        <f>'Org structure'!E163</f>
        <v>0</v>
      </c>
      <c r="B168" s="944"/>
      <c r="C168" s="752"/>
      <c r="D168" s="751"/>
      <c r="E168" s="751"/>
      <c r="F168" s="751"/>
      <c r="G168" s="751"/>
      <c r="H168" s="751"/>
      <c r="I168" s="751"/>
      <c r="J168" s="75">
        <f t="shared" si="16"/>
        <v>0</v>
      </c>
      <c r="K168" s="75">
        <f t="shared" si="17"/>
        <v>0</v>
      </c>
      <c r="L168" s="751"/>
      <c r="M168" s="753"/>
    </row>
    <row r="169" spans="1:13" ht="13.5" x14ac:dyDescent="0.25">
      <c r="A169" s="766">
        <f>'Org structure'!E164</f>
        <v>0</v>
      </c>
      <c r="B169" s="944"/>
      <c r="C169" s="752"/>
      <c r="D169" s="751"/>
      <c r="E169" s="751"/>
      <c r="F169" s="751"/>
      <c r="G169" s="751"/>
      <c r="H169" s="751"/>
      <c r="I169" s="751"/>
      <c r="J169" s="75">
        <f t="shared" si="16"/>
        <v>0</v>
      </c>
      <c r="K169" s="75">
        <f t="shared" si="17"/>
        <v>0</v>
      </c>
      <c r="L169" s="751"/>
      <c r="M169" s="753"/>
    </row>
    <row r="170" spans="1:13" ht="13.5" x14ac:dyDescent="0.25">
      <c r="A170" s="766">
        <f>'Org structure'!E165</f>
        <v>0</v>
      </c>
      <c r="B170" s="944"/>
      <c r="C170" s="752"/>
      <c r="D170" s="751"/>
      <c r="E170" s="751"/>
      <c r="F170" s="751"/>
      <c r="G170" s="751"/>
      <c r="H170" s="751"/>
      <c r="I170" s="751"/>
      <c r="J170" s="75">
        <f t="shared" si="16"/>
        <v>0</v>
      </c>
      <c r="K170" s="75">
        <f t="shared" si="17"/>
        <v>0</v>
      </c>
      <c r="L170" s="751"/>
      <c r="M170" s="753"/>
    </row>
    <row r="171" spans="1:13" ht="13.5" x14ac:dyDescent="0.25">
      <c r="A171" s="766">
        <f>'Org structure'!E166</f>
        <v>0</v>
      </c>
      <c r="B171" s="944"/>
      <c r="C171" s="752"/>
      <c r="D171" s="751"/>
      <c r="E171" s="751"/>
      <c r="F171" s="751"/>
      <c r="G171" s="751"/>
      <c r="H171" s="751"/>
      <c r="I171" s="751"/>
      <c r="J171" s="75">
        <f t="shared" si="16"/>
        <v>0</v>
      </c>
      <c r="K171" s="75">
        <f t="shared" si="17"/>
        <v>0</v>
      </c>
      <c r="L171" s="751"/>
      <c r="M171" s="753"/>
    </row>
    <row r="172" spans="1:13" ht="13.5" x14ac:dyDescent="0.25">
      <c r="A172" s="754" t="s">
        <v>643</v>
      </c>
      <c r="B172" s="942">
        <v>2</v>
      </c>
      <c r="C172" s="756">
        <f>C7+C18+C29+C40+C51+C62+C73+C84+C95+C106+C117+C128+C139+C150+C161</f>
        <v>2870751000</v>
      </c>
      <c r="D172" s="755">
        <f t="shared" ref="D172:I172" si="21">D7+D18+D29+D40+D51+D62+D73+D84+D95+D106+D117+D128+D139+D150+D161</f>
        <v>0</v>
      </c>
      <c r="E172" s="755">
        <f t="shared" si="21"/>
        <v>0</v>
      </c>
      <c r="F172" s="755">
        <f t="shared" si="21"/>
        <v>0</v>
      </c>
      <c r="G172" s="755">
        <f t="shared" si="21"/>
        <v>0</v>
      </c>
      <c r="H172" s="755">
        <f t="shared" si="21"/>
        <v>42808657</v>
      </c>
      <c r="I172" s="755">
        <f t="shared" si="21"/>
        <v>35910343</v>
      </c>
      <c r="J172" s="75">
        <f>SUM(E172:I172)</f>
        <v>78719000</v>
      </c>
      <c r="K172" s="75">
        <f>IF(D172=0,C172+J172,D172+J172)</f>
        <v>2949470000</v>
      </c>
      <c r="L172" s="755">
        <f>L7+L18+L29+L40+L51+L62+L73+L84+L95+L106+L117+L128+L139+L150+L161</f>
        <v>2953880956.00138</v>
      </c>
      <c r="M172" s="778">
        <f>M7+M18+M29+M40+M51+M62+M73+M84+M95+M106+M117+M128+M139+M150+M161</f>
        <v>3188949906.9282212</v>
      </c>
    </row>
    <row r="173" spans="1:13" ht="5.25" customHeight="1" x14ac:dyDescent="0.25">
      <c r="A173" s="757"/>
      <c r="B173" s="946"/>
      <c r="C173" s="759"/>
      <c r="D173" s="758"/>
      <c r="E173" s="758"/>
      <c r="F173" s="758"/>
      <c r="G173" s="758"/>
      <c r="H173" s="758"/>
      <c r="I173" s="758"/>
      <c r="J173" s="758"/>
      <c r="K173" s="758"/>
      <c r="L173" s="758"/>
      <c r="M173" s="779"/>
    </row>
    <row r="174" spans="1:13" ht="13.5" x14ac:dyDescent="0.25">
      <c r="A174" s="760" t="s">
        <v>644</v>
      </c>
      <c r="B174" s="947">
        <v>1</v>
      </c>
      <c r="C174" s="762"/>
      <c r="D174" s="761"/>
      <c r="E174" s="761"/>
      <c r="F174" s="761"/>
      <c r="G174" s="761"/>
      <c r="H174" s="761"/>
      <c r="I174" s="761"/>
      <c r="J174" s="761"/>
      <c r="K174" s="761"/>
      <c r="L174" s="761"/>
      <c r="M174" s="780"/>
    </row>
    <row r="175" spans="1:13" ht="13.5" x14ac:dyDescent="0.25">
      <c r="A175" s="763" t="str">
        <f>A7</f>
        <v>Vote 1 - COUNCIL</v>
      </c>
      <c r="B175" s="948"/>
      <c r="C175" s="765">
        <f t="shared" ref="C175:I175" si="22">SUM(C176:C185)</f>
        <v>125565066</v>
      </c>
      <c r="D175" s="764">
        <f t="shared" si="22"/>
        <v>0</v>
      </c>
      <c r="E175" s="764">
        <f t="shared" si="22"/>
        <v>0</v>
      </c>
      <c r="F175" s="764">
        <f t="shared" si="22"/>
        <v>0</v>
      </c>
      <c r="G175" s="764">
        <f t="shared" si="22"/>
        <v>0</v>
      </c>
      <c r="H175" s="764">
        <f t="shared" si="22"/>
        <v>0</v>
      </c>
      <c r="I175" s="764">
        <f t="shared" si="22"/>
        <v>10700000</v>
      </c>
      <c r="J175" s="75">
        <f>SUM(E175:I175)</f>
        <v>10700000</v>
      </c>
      <c r="K175" s="75">
        <f>IF(D175=0,C175+J175,D175+J175)</f>
        <v>136265066</v>
      </c>
      <c r="L175" s="764">
        <f>SUM(L176:L185)</f>
        <v>134978856.51820999</v>
      </c>
      <c r="M175" s="781">
        <f>SUM(M176:M185)</f>
        <v>143482517.20885724</v>
      </c>
    </row>
    <row r="176" spans="1:13" ht="13.5" x14ac:dyDescent="0.25">
      <c r="A176" s="766" t="str">
        <f t="shared" ref="A176:A185" si="23">A8</f>
        <v>Council</v>
      </c>
      <c r="B176" s="944"/>
      <c r="C176" s="391">
        <v>103638614</v>
      </c>
      <c r="D176" s="109"/>
      <c r="E176" s="109"/>
      <c r="F176" s="109"/>
      <c r="G176" s="109"/>
      <c r="H176" s="109"/>
      <c r="I176" s="109">
        <v>10700000</v>
      </c>
      <c r="J176" s="75">
        <f t="shared" ref="J176:J239" si="24">SUM(E176:I176)</f>
        <v>10700000</v>
      </c>
      <c r="K176" s="75">
        <f t="shared" ref="K176:K239" si="25">IF(D176=0,C176+J176,D176+J176)</f>
        <v>114338614</v>
      </c>
      <c r="L176" s="109">
        <v>110375123.29017</v>
      </c>
      <c r="M176" s="110">
        <v>117328756.05745071</v>
      </c>
    </row>
    <row r="177" spans="1:13" ht="13.5" x14ac:dyDescent="0.25">
      <c r="A177" s="766" t="str">
        <f t="shared" si="23"/>
        <v>Office of executive Mayor</v>
      </c>
      <c r="B177" s="944"/>
      <c r="C177" s="391">
        <v>8424639</v>
      </c>
      <c r="D177" s="109"/>
      <c r="E177" s="109"/>
      <c r="F177" s="109"/>
      <c r="G177" s="109"/>
      <c r="H177" s="109"/>
      <c r="I177" s="109"/>
      <c r="J177" s="75">
        <f t="shared" si="24"/>
        <v>0</v>
      </c>
      <c r="K177" s="75">
        <f t="shared" si="25"/>
        <v>8424639</v>
      </c>
      <c r="L177" s="109">
        <v>10217916.597679999</v>
      </c>
      <c r="M177" s="110">
        <v>10861643.513333838</v>
      </c>
    </row>
    <row r="178" spans="1:13" ht="13.5" x14ac:dyDescent="0.25">
      <c r="A178" s="766" t="str">
        <f t="shared" si="23"/>
        <v>Office of Speaker</v>
      </c>
      <c r="B178" s="944"/>
      <c r="C178" s="391">
        <v>13492088</v>
      </c>
      <c r="D178" s="109"/>
      <c r="E178" s="109"/>
      <c r="F178" s="109"/>
      <c r="G178" s="109"/>
      <c r="H178" s="109"/>
      <c r="I178" s="109"/>
      <c r="J178" s="75">
        <f t="shared" si="24"/>
        <v>0</v>
      </c>
      <c r="K178" s="75">
        <f t="shared" si="25"/>
        <v>13492088</v>
      </c>
      <c r="L178" s="109">
        <v>14375461.612679996</v>
      </c>
      <c r="M178" s="110">
        <v>15281112.974278841</v>
      </c>
    </row>
    <row r="179" spans="1:13" ht="13.5" x14ac:dyDescent="0.25">
      <c r="A179" s="766" t="str">
        <f t="shared" si="23"/>
        <v>Office of Chief Whip</v>
      </c>
      <c r="B179" s="944"/>
      <c r="C179" s="391">
        <v>9725</v>
      </c>
      <c r="D179" s="109"/>
      <c r="E179" s="109"/>
      <c r="F179" s="109"/>
      <c r="G179" s="109"/>
      <c r="H179" s="109"/>
      <c r="I179" s="109"/>
      <c r="J179" s="75">
        <f t="shared" si="24"/>
        <v>0</v>
      </c>
      <c r="K179" s="75">
        <f t="shared" si="25"/>
        <v>9725</v>
      </c>
      <c r="L179" s="109">
        <v>10355.017679999999</v>
      </c>
      <c r="M179" s="110">
        <v>11004.663793839998</v>
      </c>
    </row>
    <row r="180" spans="1:13" ht="13.5" x14ac:dyDescent="0.25">
      <c r="A180" s="766">
        <f t="shared" si="23"/>
        <v>0</v>
      </c>
      <c r="B180" s="944"/>
      <c r="C180" s="391">
        <v>0</v>
      </c>
      <c r="D180" s="109"/>
      <c r="E180" s="109"/>
      <c r="F180" s="109"/>
      <c r="G180" s="109"/>
      <c r="H180" s="109"/>
      <c r="I180" s="109"/>
      <c r="J180" s="75">
        <f t="shared" si="24"/>
        <v>0</v>
      </c>
      <c r="K180" s="75">
        <f t="shared" si="25"/>
        <v>0</v>
      </c>
      <c r="L180" s="109">
        <v>0</v>
      </c>
      <c r="M180" s="110">
        <v>0</v>
      </c>
    </row>
    <row r="181" spans="1:13" ht="13.5" x14ac:dyDescent="0.25">
      <c r="A181" s="766">
        <f t="shared" si="23"/>
        <v>0</v>
      </c>
      <c r="B181" s="944"/>
      <c r="C181" s="391">
        <v>0</v>
      </c>
      <c r="D181" s="109"/>
      <c r="E181" s="109"/>
      <c r="F181" s="109"/>
      <c r="G181" s="109"/>
      <c r="H181" s="109"/>
      <c r="I181" s="109"/>
      <c r="J181" s="75">
        <f t="shared" si="24"/>
        <v>0</v>
      </c>
      <c r="K181" s="75">
        <f t="shared" si="25"/>
        <v>0</v>
      </c>
      <c r="L181" s="109">
        <v>0</v>
      </c>
      <c r="M181" s="110">
        <v>0</v>
      </c>
    </row>
    <row r="182" spans="1:13" ht="13.5" x14ac:dyDescent="0.25">
      <c r="A182" s="766">
        <f t="shared" si="23"/>
        <v>0</v>
      </c>
      <c r="B182" s="944"/>
      <c r="C182" s="391">
        <v>0</v>
      </c>
      <c r="D182" s="109"/>
      <c r="E182" s="109"/>
      <c r="F182" s="109"/>
      <c r="G182" s="109"/>
      <c r="H182" s="109"/>
      <c r="I182" s="109"/>
      <c r="J182" s="75">
        <f t="shared" si="24"/>
        <v>0</v>
      </c>
      <c r="K182" s="75">
        <f t="shared" si="25"/>
        <v>0</v>
      </c>
      <c r="L182" s="109">
        <v>0</v>
      </c>
      <c r="M182" s="110">
        <v>0</v>
      </c>
    </row>
    <row r="183" spans="1:13" ht="13.5" x14ac:dyDescent="0.25">
      <c r="A183" s="766">
        <f t="shared" si="23"/>
        <v>0</v>
      </c>
      <c r="B183" s="944"/>
      <c r="C183" s="391">
        <v>0</v>
      </c>
      <c r="D183" s="109"/>
      <c r="E183" s="109"/>
      <c r="F183" s="109"/>
      <c r="G183" s="109"/>
      <c r="H183" s="109"/>
      <c r="I183" s="109"/>
      <c r="J183" s="75">
        <f t="shared" si="24"/>
        <v>0</v>
      </c>
      <c r="K183" s="75">
        <f t="shared" si="25"/>
        <v>0</v>
      </c>
      <c r="L183" s="109">
        <v>0</v>
      </c>
      <c r="M183" s="110">
        <v>0</v>
      </c>
    </row>
    <row r="184" spans="1:13" ht="13.5" x14ac:dyDescent="0.25">
      <c r="A184" s="766">
        <f t="shared" si="23"/>
        <v>0</v>
      </c>
      <c r="B184" s="944"/>
      <c r="C184" s="391">
        <v>0</v>
      </c>
      <c r="D184" s="109"/>
      <c r="E184" s="109"/>
      <c r="F184" s="109"/>
      <c r="G184" s="109"/>
      <c r="H184" s="109"/>
      <c r="I184" s="109"/>
      <c r="J184" s="75">
        <f t="shared" si="24"/>
        <v>0</v>
      </c>
      <c r="K184" s="75">
        <f t="shared" si="25"/>
        <v>0</v>
      </c>
      <c r="L184" s="109">
        <v>0</v>
      </c>
      <c r="M184" s="110">
        <v>0</v>
      </c>
    </row>
    <row r="185" spans="1:13" ht="13.5" x14ac:dyDescent="0.25">
      <c r="A185" s="766">
        <f t="shared" si="23"/>
        <v>0</v>
      </c>
      <c r="B185" s="944"/>
      <c r="C185" s="391"/>
      <c r="D185" s="109"/>
      <c r="E185" s="109"/>
      <c r="F185" s="109"/>
      <c r="G185" s="109"/>
      <c r="H185" s="109"/>
      <c r="I185" s="109"/>
      <c r="J185" s="75">
        <f t="shared" si="24"/>
        <v>0</v>
      </c>
      <c r="K185" s="75">
        <f t="shared" si="25"/>
        <v>0</v>
      </c>
      <c r="L185" s="109">
        <v>0</v>
      </c>
      <c r="M185" s="110">
        <v>0</v>
      </c>
    </row>
    <row r="186" spans="1:13" ht="13.5" x14ac:dyDescent="0.25">
      <c r="A186" s="763" t="str">
        <f>A18</f>
        <v>Vote 2 - Office of the Municipal Manger</v>
      </c>
      <c r="B186" s="943"/>
      <c r="C186" s="750">
        <f t="shared" ref="C186:I186" si="26">SUM(C187:C196)</f>
        <v>24189702</v>
      </c>
      <c r="D186" s="749">
        <f t="shared" si="26"/>
        <v>0</v>
      </c>
      <c r="E186" s="749">
        <f t="shared" si="26"/>
        <v>0</v>
      </c>
      <c r="F186" s="749">
        <f t="shared" si="26"/>
        <v>0</v>
      </c>
      <c r="G186" s="749">
        <f t="shared" si="26"/>
        <v>0</v>
      </c>
      <c r="H186" s="749">
        <f t="shared" si="26"/>
        <v>0</v>
      </c>
      <c r="I186" s="749">
        <f t="shared" si="26"/>
        <v>3506985</v>
      </c>
      <c r="J186" s="75">
        <f t="shared" si="24"/>
        <v>3506985</v>
      </c>
      <c r="K186" s="75">
        <f t="shared" si="25"/>
        <v>27696687</v>
      </c>
      <c r="L186" s="749">
        <f>SUM(L187:L196)</f>
        <v>25755628.876429997</v>
      </c>
      <c r="M186" s="777">
        <f>SUM(M187:M196)</f>
        <v>27378218.241799287</v>
      </c>
    </row>
    <row r="187" spans="1:13" ht="13.5" x14ac:dyDescent="0.25">
      <c r="A187" s="766" t="str">
        <f t="shared" ref="A187:A218" si="27">A19</f>
        <v>Office of the Municipal Manager</v>
      </c>
      <c r="B187" s="944"/>
      <c r="C187" s="391">
        <v>3915923</v>
      </c>
      <c r="D187" s="109"/>
      <c r="E187" s="109"/>
      <c r="F187" s="109"/>
      <c r="G187" s="109"/>
      <c r="H187" s="109"/>
      <c r="I187" s="109">
        <v>0</v>
      </c>
      <c r="J187" s="75">
        <f t="shared" si="24"/>
        <v>0</v>
      </c>
      <c r="K187" s="75">
        <f t="shared" si="25"/>
        <v>3915923</v>
      </c>
      <c r="L187" s="109">
        <v>4164065.5501600001</v>
      </c>
      <c r="M187" s="110">
        <v>4426399.0598200792</v>
      </c>
    </row>
    <row r="188" spans="1:13" ht="13.5" x14ac:dyDescent="0.25">
      <c r="A188" s="766" t="str">
        <f t="shared" si="27"/>
        <v>Communications and Marketing</v>
      </c>
      <c r="B188" s="944"/>
      <c r="C188" s="391">
        <v>7680640</v>
      </c>
      <c r="D188" s="109"/>
      <c r="E188" s="109"/>
      <c r="F188" s="109"/>
      <c r="G188" s="109"/>
      <c r="H188" s="109"/>
      <c r="I188" s="109">
        <v>1497200</v>
      </c>
      <c r="J188" s="75">
        <f t="shared" si="24"/>
        <v>1497200</v>
      </c>
      <c r="K188" s="75">
        <f t="shared" si="25"/>
        <v>9177840</v>
      </c>
      <c r="L188" s="109">
        <v>8179879.9419200001</v>
      </c>
      <c r="M188" s="110">
        <v>8695210.4982609581</v>
      </c>
    </row>
    <row r="189" spans="1:13" ht="13.5" x14ac:dyDescent="0.25">
      <c r="A189" s="766" t="str">
        <f t="shared" si="27"/>
        <v>Risk Management</v>
      </c>
      <c r="B189" s="944"/>
      <c r="C189" s="391">
        <v>3369870</v>
      </c>
      <c r="D189" s="109"/>
      <c r="E189" s="109"/>
      <c r="F189" s="109"/>
      <c r="G189" s="109"/>
      <c r="H189" s="109"/>
      <c r="I189" s="109">
        <v>264297</v>
      </c>
      <c r="J189" s="75">
        <f t="shared" si="24"/>
        <v>264297</v>
      </c>
      <c r="K189" s="75">
        <f t="shared" si="25"/>
        <v>3634167</v>
      </c>
      <c r="L189" s="109">
        <v>3588906.5495200008</v>
      </c>
      <c r="M189" s="110">
        <v>3815002.8621397601</v>
      </c>
    </row>
    <row r="190" spans="1:13" ht="13.5" x14ac:dyDescent="0.25">
      <c r="A190" s="766" t="str">
        <f t="shared" si="27"/>
        <v>Internal Audit</v>
      </c>
      <c r="B190" s="944"/>
      <c r="C190" s="391">
        <v>9223269</v>
      </c>
      <c r="D190" s="109"/>
      <c r="E190" s="109"/>
      <c r="F190" s="109"/>
      <c r="G190" s="109"/>
      <c r="H190" s="109"/>
      <c r="I190" s="109">
        <v>1745488</v>
      </c>
      <c r="J190" s="75">
        <f t="shared" si="24"/>
        <v>1745488</v>
      </c>
      <c r="K190" s="75">
        <f t="shared" si="25"/>
        <v>10968757</v>
      </c>
      <c r="L190" s="109">
        <v>9822776.8348299991</v>
      </c>
      <c r="M190" s="110">
        <v>10441605.82157849</v>
      </c>
    </row>
    <row r="191" spans="1:13" ht="13.5" x14ac:dyDescent="0.25">
      <c r="A191" s="766">
        <f t="shared" si="27"/>
        <v>0</v>
      </c>
      <c r="B191" s="944"/>
      <c r="C191" s="391">
        <v>0</v>
      </c>
      <c r="D191" s="109"/>
      <c r="E191" s="109"/>
      <c r="F191" s="109"/>
      <c r="G191" s="109"/>
      <c r="H191" s="109"/>
      <c r="I191" s="109">
        <v>0</v>
      </c>
      <c r="J191" s="75">
        <f t="shared" si="24"/>
        <v>0</v>
      </c>
      <c r="K191" s="75">
        <f t="shared" si="25"/>
        <v>0</v>
      </c>
      <c r="L191" s="109">
        <v>0</v>
      </c>
      <c r="M191" s="110">
        <v>0</v>
      </c>
    </row>
    <row r="192" spans="1:13" ht="13.5" x14ac:dyDescent="0.25">
      <c r="A192" s="766">
        <f t="shared" si="27"/>
        <v>0</v>
      </c>
      <c r="B192" s="944"/>
      <c r="C192" s="391">
        <v>0</v>
      </c>
      <c r="D192" s="109"/>
      <c r="E192" s="109"/>
      <c r="F192" s="109"/>
      <c r="G192" s="109"/>
      <c r="H192" s="109"/>
      <c r="I192" s="109">
        <v>0</v>
      </c>
      <c r="J192" s="75">
        <f t="shared" si="24"/>
        <v>0</v>
      </c>
      <c r="K192" s="75">
        <f t="shared" si="25"/>
        <v>0</v>
      </c>
      <c r="L192" s="109">
        <v>0</v>
      </c>
      <c r="M192" s="110">
        <v>0</v>
      </c>
    </row>
    <row r="193" spans="1:13" ht="13.5" x14ac:dyDescent="0.25">
      <c r="A193" s="766">
        <f t="shared" si="27"/>
        <v>0</v>
      </c>
      <c r="B193" s="944"/>
      <c r="C193" s="391">
        <v>0</v>
      </c>
      <c r="D193" s="109"/>
      <c r="E193" s="109"/>
      <c r="F193" s="109"/>
      <c r="G193" s="109"/>
      <c r="H193" s="109"/>
      <c r="I193" s="109">
        <v>0</v>
      </c>
      <c r="J193" s="75">
        <f t="shared" si="24"/>
        <v>0</v>
      </c>
      <c r="K193" s="75">
        <f t="shared" si="25"/>
        <v>0</v>
      </c>
      <c r="L193" s="109">
        <v>0</v>
      </c>
      <c r="M193" s="110">
        <v>0</v>
      </c>
    </row>
    <row r="194" spans="1:13" ht="13.5" x14ac:dyDescent="0.25">
      <c r="A194" s="766">
        <f t="shared" si="27"/>
        <v>0</v>
      </c>
      <c r="B194" s="944"/>
      <c r="C194" s="391">
        <v>0</v>
      </c>
      <c r="D194" s="109"/>
      <c r="E194" s="109"/>
      <c r="F194" s="109"/>
      <c r="G194" s="109"/>
      <c r="H194" s="109"/>
      <c r="I194" s="109">
        <v>0</v>
      </c>
      <c r="J194" s="75">
        <f t="shared" si="24"/>
        <v>0</v>
      </c>
      <c r="K194" s="75">
        <f t="shared" si="25"/>
        <v>0</v>
      </c>
      <c r="L194" s="109">
        <v>0</v>
      </c>
      <c r="M194" s="110">
        <v>0</v>
      </c>
    </row>
    <row r="195" spans="1:13" ht="13.5" x14ac:dyDescent="0.25">
      <c r="A195" s="766">
        <f t="shared" si="27"/>
        <v>0</v>
      </c>
      <c r="B195" s="944"/>
      <c r="C195" s="391">
        <v>0</v>
      </c>
      <c r="D195" s="109"/>
      <c r="E195" s="109"/>
      <c r="F195" s="109"/>
      <c r="G195" s="109"/>
      <c r="H195" s="109"/>
      <c r="I195" s="109"/>
      <c r="J195" s="75">
        <f t="shared" si="24"/>
        <v>0</v>
      </c>
      <c r="K195" s="75">
        <f t="shared" si="25"/>
        <v>0</v>
      </c>
      <c r="L195" s="109">
        <v>0</v>
      </c>
      <c r="M195" s="110">
        <v>0</v>
      </c>
    </row>
    <row r="196" spans="1:13" ht="13.5" x14ac:dyDescent="0.25">
      <c r="A196" s="766">
        <f t="shared" si="27"/>
        <v>0</v>
      </c>
      <c r="B196" s="944"/>
      <c r="C196" s="391">
        <v>0</v>
      </c>
      <c r="D196" s="109"/>
      <c r="E196" s="109"/>
      <c r="F196" s="109"/>
      <c r="G196" s="109"/>
      <c r="H196" s="109"/>
      <c r="I196" s="109"/>
      <c r="J196" s="75">
        <f t="shared" si="24"/>
        <v>0</v>
      </c>
      <c r="K196" s="75">
        <f t="shared" si="25"/>
        <v>0</v>
      </c>
      <c r="L196" s="109">
        <v>0</v>
      </c>
      <c r="M196" s="110">
        <v>0</v>
      </c>
    </row>
    <row r="197" spans="1:13" ht="13.5" x14ac:dyDescent="0.25">
      <c r="A197" s="763" t="str">
        <f t="shared" si="27"/>
        <v>Vote 3 - Strategic Planning Monitoring and Evaluation</v>
      </c>
      <c r="B197" s="943"/>
      <c r="C197" s="750">
        <f t="shared" ref="C197:I197" si="28">SUM(C198:C207)</f>
        <v>23466812</v>
      </c>
      <c r="D197" s="749">
        <f t="shared" si="28"/>
        <v>0</v>
      </c>
      <c r="E197" s="749">
        <f t="shared" si="28"/>
        <v>0</v>
      </c>
      <c r="F197" s="749">
        <f t="shared" si="28"/>
        <v>0</v>
      </c>
      <c r="G197" s="749">
        <f t="shared" si="28"/>
        <v>0</v>
      </c>
      <c r="H197" s="749">
        <f t="shared" si="28"/>
        <v>0</v>
      </c>
      <c r="I197" s="749">
        <f t="shared" si="28"/>
        <v>174500</v>
      </c>
      <c r="J197" s="75">
        <f t="shared" si="24"/>
        <v>174500</v>
      </c>
      <c r="K197" s="75">
        <f t="shared" si="25"/>
        <v>23641312</v>
      </c>
      <c r="L197" s="749">
        <f>SUM(L198:L207)</f>
        <v>24406394.140089996</v>
      </c>
      <c r="M197" s="777">
        <f>SUM(M198:M207)</f>
        <v>25943982.430915669</v>
      </c>
    </row>
    <row r="198" spans="1:13" ht="13.5" x14ac:dyDescent="0.25">
      <c r="A198" s="766" t="str">
        <f t="shared" si="27"/>
        <v>3.1 - Director Strategic Planning Monitoring and Evaluation</v>
      </c>
      <c r="B198" s="944"/>
      <c r="C198" s="391">
        <v>1426451</v>
      </c>
      <c r="D198" s="109"/>
      <c r="E198" s="109"/>
      <c r="F198" s="109"/>
      <c r="G198" s="109"/>
      <c r="H198" s="109"/>
      <c r="I198" s="109"/>
      <c r="J198" s="75">
        <f t="shared" si="24"/>
        <v>0</v>
      </c>
      <c r="K198" s="75">
        <f t="shared" si="25"/>
        <v>1426451</v>
      </c>
      <c r="L198" s="109">
        <v>1519167.2484000002</v>
      </c>
      <c r="M198" s="110">
        <v>1614870.8750491997</v>
      </c>
    </row>
    <row r="199" spans="1:13" ht="13.5" x14ac:dyDescent="0.25">
      <c r="A199" s="766" t="str">
        <f t="shared" si="27"/>
        <v>3.2 - Risk Management</v>
      </c>
      <c r="B199" s="944"/>
      <c r="C199" s="391">
        <v>0</v>
      </c>
      <c r="D199" s="109"/>
      <c r="E199" s="109"/>
      <c r="F199" s="109"/>
      <c r="G199" s="109"/>
      <c r="H199" s="109"/>
      <c r="I199" s="109"/>
      <c r="J199" s="75">
        <f t="shared" si="24"/>
        <v>0</v>
      </c>
      <c r="K199" s="75">
        <f t="shared" si="25"/>
        <v>0</v>
      </c>
      <c r="L199" s="109">
        <v>0</v>
      </c>
      <c r="M199" s="110">
        <v>0</v>
      </c>
    </row>
    <row r="200" spans="1:13" ht="13.5" x14ac:dyDescent="0.25">
      <c r="A200" s="766" t="str">
        <f t="shared" si="27"/>
        <v>3.3 - Internal Audit</v>
      </c>
      <c r="B200" s="944"/>
      <c r="C200" s="391">
        <v>0</v>
      </c>
      <c r="D200" s="109"/>
      <c r="E200" s="109"/>
      <c r="F200" s="109"/>
      <c r="G200" s="109"/>
      <c r="H200" s="109"/>
      <c r="I200" s="109"/>
      <c r="J200" s="75">
        <f t="shared" si="24"/>
        <v>0</v>
      </c>
      <c r="K200" s="75">
        <f t="shared" si="25"/>
        <v>0</v>
      </c>
      <c r="L200" s="109">
        <v>0</v>
      </c>
      <c r="M200" s="110">
        <v>0</v>
      </c>
    </row>
    <row r="201" spans="1:13" ht="13.5" x14ac:dyDescent="0.25">
      <c r="A201" s="766" t="str">
        <f t="shared" si="27"/>
        <v>3.4 - Project Management</v>
      </c>
      <c r="B201" s="944"/>
      <c r="C201" s="391">
        <v>5871180</v>
      </c>
      <c r="D201" s="109"/>
      <c r="E201" s="109"/>
      <c r="F201" s="109"/>
      <c r="G201" s="109"/>
      <c r="H201" s="109"/>
      <c r="I201" s="109">
        <v>0</v>
      </c>
      <c r="J201" s="75">
        <f t="shared" si="24"/>
        <v>0</v>
      </c>
      <c r="K201" s="75">
        <f t="shared" si="25"/>
        <v>5871180</v>
      </c>
      <c r="L201" s="109">
        <v>6306832.6145099998</v>
      </c>
      <c r="M201" s="110">
        <v>6704162.1792241288</v>
      </c>
    </row>
    <row r="202" spans="1:13" ht="13.5" x14ac:dyDescent="0.25">
      <c r="A202" s="766" t="str">
        <f t="shared" si="27"/>
        <v>3.5 - Perfomance Management</v>
      </c>
      <c r="B202" s="944"/>
      <c r="C202" s="391">
        <v>3376486</v>
      </c>
      <c r="D202" s="109"/>
      <c r="E202" s="109"/>
      <c r="F202" s="109"/>
      <c r="G202" s="109"/>
      <c r="H202" s="109"/>
      <c r="I202" s="109">
        <v>-24000</v>
      </c>
      <c r="J202" s="75">
        <f t="shared" si="24"/>
        <v>-24000</v>
      </c>
      <c r="K202" s="75">
        <f t="shared" si="25"/>
        <v>3352486</v>
      </c>
      <c r="L202" s="109">
        <v>2997143.5111600002</v>
      </c>
      <c r="M202" s="110">
        <v>3185961.8723630798</v>
      </c>
    </row>
    <row r="203" spans="1:13" ht="13.5" x14ac:dyDescent="0.25">
      <c r="A203" s="766" t="str">
        <f t="shared" si="27"/>
        <v>3.6 - IDP</v>
      </c>
      <c r="B203" s="944"/>
      <c r="C203" s="391">
        <v>7169846</v>
      </c>
      <c r="D203" s="109"/>
      <c r="E203" s="109"/>
      <c r="F203" s="109"/>
      <c r="G203" s="109"/>
      <c r="H203" s="109"/>
      <c r="I203" s="109">
        <v>350000</v>
      </c>
      <c r="J203" s="75">
        <f t="shared" si="24"/>
        <v>350000</v>
      </c>
      <c r="K203" s="75">
        <f t="shared" si="25"/>
        <v>7519846</v>
      </c>
      <c r="L203" s="109">
        <v>7635884.7995699998</v>
      </c>
      <c r="M203" s="110">
        <v>8116939.5019429093</v>
      </c>
    </row>
    <row r="204" spans="1:13" ht="13.5" x14ac:dyDescent="0.25">
      <c r="A204" s="766" t="str">
        <f t="shared" si="27"/>
        <v>3.7 - Cluster Offices</v>
      </c>
      <c r="B204" s="944"/>
      <c r="C204" s="391">
        <v>5622849</v>
      </c>
      <c r="D204" s="109"/>
      <c r="E204" s="109"/>
      <c r="F204" s="109"/>
      <c r="G204" s="109"/>
      <c r="H204" s="109"/>
      <c r="I204" s="109">
        <v>-151500</v>
      </c>
      <c r="J204" s="75">
        <f t="shared" si="24"/>
        <v>-151500</v>
      </c>
      <c r="K204" s="75">
        <f t="shared" si="25"/>
        <v>5471349</v>
      </c>
      <c r="L204" s="109">
        <v>5947365.9664500002</v>
      </c>
      <c r="M204" s="110">
        <v>6322048.0023363503</v>
      </c>
    </row>
    <row r="205" spans="1:13" ht="13.5" x14ac:dyDescent="0.25">
      <c r="A205" s="766">
        <f t="shared" si="27"/>
        <v>0</v>
      </c>
      <c r="B205" s="944"/>
      <c r="C205" s="391">
        <v>0</v>
      </c>
      <c r="D205" s="109"/>
      <c r="E205" s="109"/>
      <c r="F205" s="109"/>
      <c r="G205" s="109"/>
      <c r="H205" s="109"/>
      <c r="I205" s="109"/>
      <c r="J205" s="75">
        <f t="shared" si="24"/>
        <v>0</v>
      </c>
      <c r="K205" s="75">
        <f t="shared" si="25"/>
        <v>0</v>
      </c>
      <c r="L205" s="109">
        <v>0</v>
      </c>
      <c r="M205" s="110">
        <v>0</v>
      </c>
    </row>
    <row r="206" spans="1:13" ht="13.5" x14ac:dyDescent="0.25">
      <c r="A206" s="766">
        <f t="shared" si="27"/>
        <v>0</v>
      </c>
      <c r="B206" s="944"/>
      <c r="C206" s="391">
        <v>0</v>
      </c>
      <c r="D206" s="109"/>
      <c r="E206" s="109"/>
      <c r="F206" s="109"/>
      <c r="G206" s="109"/>
      <c r="H206" s="109"/>
      <c r="I206" s="109"/>
      <c r="J206" s="75">
        <f t="shared" si="24"/>
        <v>0</v>
      </c>
      <c r="K206" s="75">
        <f t="shared" si="25"/>
        <v>0</v>
      </c>
      <c r="L206" s="109">
        <v>0</v>
      </c>
      <c r="M206" s="110">
        <v>0</v>
      </c>
    </row>
    <row r="207" spans="1:13" ht="13.5" x14ac:dyDescent="0.25">
      <c r="A207" s="766">
        <f t="shared" si="27"/>
        <v>0</v>
      </c>
      <c r="B207" s="944"/>
      <c r="C207" s="391">
        <v>0</v>
      </c>
      <c r="D207" s="109"/>
      <c r="E207" s="109"/>
      <c r="F207" s="109"/>
      <c r="G207" s="109"/>
      <c r="H207" s="109"/>
      <c r="I207" s="109"/>
      <c r="J207" s="75">
        <f t="shared" si="24"/>
        <v>0</v>
      </c>
      <c r="K207" s="75">
        <f t="shared" si="25"/>
        <v>0</v>
      </c>
      <c r="L207" s="109">
        <v>0</v>
      </c>
      <c r="M207" s="110">
        <v>0</v>
      </c>
    </row>
    <row r="208" spans="1:13" ht="13.5" x14ac:dyDescent="0.25">
      <c r="A208" s="763" t="str">
        <f t="shared" si="27"/>
        <v>Vote 4 - Engineering Services</v>
      </c>
      <c r="B208" s="943"/>
      <c r="C208" s="750">
        <f t="shared" ref="C208:I208" si="29">SUM(C209:C218)</f>
        <v>1242834533</v>
      </c>
      <c r="D208" s="749">
        <f t="shared" si="29"/>
        <v>0</v>
      </c>
      <c r="E208" s="749">
        <f t="shared" si="29"/>
        <v>0</v>
      </c>
      <c r="F208" s="749">
        <f t="shared" si="29"/>
        <v>0</v>
      </c>
      <c r="G208" s="749">
        <f t="shared" si="29"/>
        <v>0</v>
      </c>
      <c r="H208" s="749">
        <f t="shared" si="29"/>
        <v>0</v>
      </c>
      <c r="I208" s="749">
        <f t="shared" si="29"/>
        <v>9690580</v>
      </c>
      <c r="J208" s="75">
        <f t="shared" si="24"/>
        <v>9690580</v>
      </c>
      <c r="K208" s="75">
        <f t="shared" si="25"/>
        <v>1252525113</v>
      </c>
      <c r="L208" s="749">
        <f>SUM(L209:L218)</f>
        <v>1252627007.0067997</v>
      </c>
      <c r="M208" s="777">
        <f>SUM(M209:M218)</f>
        <v>1301778486.5482287</v>
      </c>
    </row>
    <row r="209" spans="1:13" ht="13.5" x14ac:dyDescent="0.25">
      <c r="A209" s="766" t="str">
        <f t="shared" si="27"/>
        <v>Roads and streets</v>
      </c>
      <c r="B209" s="944"/>
      <c r="C209" s="391">
        <v>64992769</v>
      </c>
      <c r="D209" s="109"/>
      <c r="E209" s="109"/>
      <c r="F209" s="109"/>
      <c r="G209" s="109"/>
      <c r="H209" s="109"/>
      <c r="I209" s="109">
        <v>12722103</v>
      </c>
      <c r="J209" s="75">
        <f t="shared" si="24"/>
        <v>12722103</v>
      </c>
      <c r="K209" s="75">
        <f t="shared" si="25"/>
        <v>77714872</v>
      </c>
      <c r="L209" s="109">
        <v>69217294.366789967</v>
      </c>
      <c r="M209" s="110">
        <v>73577980.391897738</v>
      </c>
    </row>
    <row r="210" spans="1:13" ht="13.5" x14ac:dyDescent="0.25">
      <c r="A210" s="766" t="str">
        <f t="shared" si="27"/>
        <v>Stormwater</v>
      </c>
      <c r="B210" s="944"/>
      <c r="C210" s="391">
        <v>10364653</v>
      </c>
      <c r="D210" s="109"/>
      <c r="E210" s="109"/>
      <c r="F210" s="109"/>
      <c r="G210" s="109"/>
      <c r="H210" s="109"/>
      <c r="I210" s="109">
        <v>-55000</v>
      </c>
      <c r="J210" s="75">
        <f t="shared" si="24"/>
        <v>-55000</v>
      </c>
      <c r="K210" s="75">
        <f t="shared" si="25"/>
        <v>10309653</v>
      </c>
      <c r="L210" s="109">
        <v>11038355.628179999</v>
      </c>
      <c r="M210" s="110">
        <v>11733772.03275534</v>
      </c>
    </row>
    <row r="211" spans="1:13" ht="13.5" x14ac:dyDescent="0.25">
      <c r="A211" s="766" t="str">
        <f t="shared" si="27"/>
        <v>Sewer Purification</v>
      </c>
      <c r="B211" s="944"/>
      <c r="C211" s="391">
        <v>28335168</v>
      </c>
      <c r="D211" s="109"/>
      <c r="E211" s="109"/>
      <c r="F211" s="109"/>
      <c r="G211" s="109"/>
      <c r="H211" s="109"/>
      <c r="I211" s="109">
        <v>1487516</v>
      </c>
      <c r="J211" s="75">
        <f t="shared" si="24"/>
        <v>1487516</v>
      </c>
      <c r="K211" s="75">
        <f t="shared" si="25"/>
        <v>29822684</v>
      </c>
      <c r="L211" s="109">
        <v>30176952.832870007</v>
      </c>
      <c r="M211" s="110">
        <v>32078099.031340811</v>
      </c>
    </row>
    <row r="212" spans="1:13" ht="13.5" x14ac:dyDescent="0.25">
      <c r="A212" s="766" t="str">
        <f t="shared" si="27"/>
        <v>Sewer Reticulation</v>
      </c>
      <c r="B212" s="944"/>
      <c r="C212" s="391">
        <v>45796643</v>
      </c>
      <c r="D212" s="109"/>
      <c r="E212" s="109"/>
      <c r="F212" s="109"/>
      <c r="G212" s="109"/>
      <c r="H212" s="109"/>
      <c r="I212" s="109">
        <v>250000</v>
      </c>
      <c r="J212" s="75">
        <f t="shared" si="24"/>
        <v>250000</v>
      </c>
      <c r="K212" s="75">
        <f t="shared" si="25"/>
        <v>46046643</v>
      </c>
      <c r="L212" s="109">
        <v>48773423.487179995</v>
      </c>
      <c r="M212" s="110">
        <v>51846149.166872323</v>
      </c>
    </row>
    <row r="213" spans="1:13" ht="13.5" x14ac:dyDescent="0.25">
      <c r="A213" s="766" t="str">
        <f t="shared" si="27"/>
        <v>Water Distribution</v>
      </c>
      <c r="B213" s="944"/>
      <c r="C213" s="391">
        <v>103881389</v>
      </c>
      <c r="D213" s="109"/>
      <c r="E213" s="109"/>
      <c r="F213" s="109"/>
      <c r="G213" s="109"/>
      <c r="H213" s="109"/>
      <c r="I213" s="109">
        <v>1150000</v>
      </c>
      <c r="J213" s="75">
        <f t="shared" si="24"/>
        <v>1150000</v>
      </c>
      <c r="K213" s="75">
        <f t="shared" si="25"/>
        <v>105031389</v>
      </c>
      <c r="L213" s="109">
        <v>110633677.34948002</v>
      </c>
      <c r="M213" s="110">
        <v>117603597.33249722</v>
      </c>
    </row>
    <row r="214" spans="1:13" ht="13.5" x14ac:dyDescent="0.25">
      <c r="A214" s="766" t="str">
        <f t="shared" si="27"/>
        <v>Water Purification</v>
      </c>
      <c r="B214" s="944"/>
      <c r="C214" s="391">
        <v>10279696</v>
      </c>
      <c r="D214" s="109"/>
      <c r="E214" s="109"/>
      <c r="F214" s="109"/>
      <c r="G214" s="109"/>
      <c r="H214" s="109"/>
      <c r="I214" s="109">
        <v>940000</v>
      </c>
      <c r="J214" s="75">
        <f t="shared" si="24"/>
        <v>940000</v>
      </c>
      <c r="K214" s="75">
        <f t="shared" si="25"/>
        <v>11219696</v>
      </c>
      <c r="L214" s="109">
        <v>10947875.767549999</v>
      </c>
      <c r="M214" s="110">
        <v>11637591.140905648</v>
      </c>
    </row>
    <row r="215" spans="1:13" ht="13.5" x14ac:dyDescent="0.25">
      <c r="A215" s="766" t="str">
        <f t="shared" si="27"/>
        <v>Water Provision</v>
      </c>
      <c r="B215" s="944"/>
      <c r="C215" s="391">
        <v>179406853</v>
      </c>
      <c r="D215" s="109"/>
      <c r="E215" s="109"/>
      <c r="F215" s="109"/>
      <c r="G215" s="109"/>
      <c r="H215" s="109"/>
      <c r="I215" s="109">
        <v>-4569828</v>
      </c>
      <c r="J215" s="75">
        <f t="shared" si="24"/>
        <v>-4569828</v>
      </c>
      <c r="K215" s="75">
        <f t="shared" si="25"/>
        <v>174837025</v>
      </c>
      <c r="L215" s="109">
        <v>191068296.39715999</v>
      </c>
      <c r="M215" s="110">
        <v>203105597.24018106</v>
      </c>
    </row>
    <row r="216" spans="1:13" ht="13.5" x14ac:dyDescent="0.25">
      <c r="A216" s="766" t="str">
        <f t="shared" si="27"/>
        <v>Electrical Workshop</v>
      </c>
      <c r="B216" s="944"/>
      <c r="C216" s="391">
        <v>11981364</v>
      </c>
      <c r="D216" s="109"/>
      <c r="E216" s="109"/>
      <c r="F216" s="109"/>
      <c r="G216" s="109"/>
      <c r="H216" s="109"/>
      <c r="I216" s="109">
        <v>-31000</v>
      </c>
      <c r="J216" s="75">
        <f t="shared" si="24"/>
        <v>-31000</v>
      </c>
      <c r="K216" s="75">
        <f t="shared" si="25"/>
        <v>11950364</v>
      </c>
      <c r="L216" s="109">
        <v>12760148.521319998</v>
      </c>
      <c r="M216" s="110">
        <v>13564034.658163156</v>
      </c>
    </row>
    <row r="217" spans="1:13" ht="13.5" x14ac:dyDescent="0.25">
      <c r="A217" s="766" t="str">
        <f t="shared" si="27"/>
        <v>Electricity Distribution</v>
      </c>
      <c r="B217" s="944"/>
      <c r="C217" s="391">
        <v>780198205</v>
      </c>
      <c r="D217" s="109"/>
      <c r="E217" s="109"/>
      <c r="F217" s="109"/>
      <c r="G217" s="109"/>
      <c r="H217" s="109"/>
      <c r="I217" s="109">
        <v>-2208630</v>
      </c>
      <c r="J217" s="75">
        <f t="shared" si="24"/>
        <v>-2208630</v>
      </c>
      <c r="K217" s="75">
        <f t="shared" si="25"/>
        <v>777989575</v>
      </c>
      <c r="L217" s="109">
        <v>759919336.51849985</v>
      </c>
      <c r="M217" s="110">
        <v>778030249.4691658</v>
      </c>
    </row>
    <row r="218" spans="1:13" ht="13.5" x14ac:dyDescent="0.25">
      <c r="A218" s="766" t="str">
        <f t="shared" si="27"/>
        <v>Other Engineering services</v>
      </c>
      <c r="B218" s="944"/>
      <c r="C218" s="391">
        <v>7597793</v>
      </c>
      <c r="D218" s="109"/>
      <c r="E218" s="109"/>
      <c r="F218" s="109"/>
      <c r="G218" s="109"/>
      <c r="H218" s="109"/>
      <c r="I218" s="109">
        <v>5419</v>
      </c>
      <c r="J218" s="75">
        <f t="shared" si="24"/>
        <v>5419</v>
      </c>
      <c r="K218" s="75">
        <f t="shared" si="25"/>
        <v>7603212</v>
      </c>
      <c r="L218" s="109">
        <v>8091646.1377700027</v>
      </c>
      <c r="M218" s="110">
        <v>8601416.084449511</v>
      </c>
    </row>
    <row r="219" spans="1:13" ht="13.5" x14ac:dyDescent="0.25">
      <c r="A219" s="763" t="str">
        <f>A51</f>
        <v>Vote 5 -  Community Services</v>
      </c>
      <c r="B219" s="943"/>
      <c r="C219" s="750">
        <f t="shared" ref="C219:I219" si="30">SUM(C220:C229)</f>
        <v>287773835</v>
      </c>
      <c r="D219" s="749">
        <f t="shared" si="30"/>
        <v>0</v>
      </c>
      <c r="E219" s="749">
        <f t="shared" si="30"/>
        <v>0</v>
      </c>
      <c r="F219" s="749">
        <f t="shared" si="30"/>
        <v>0</v>
      </c>
      <c r="G219" s="749">
        <f t="shared" si="30"/>
        <v>0</v>
      </c>
      <c r="H219" s="749">
        <f t="shared" si="30"/>
        <v>0</v>
      </c>
      <c r="I219" s="749">
        <f t="shared" si="30"/>
        <v>445968</v>
      </c>
      <c r="J219" s="75">
        <f t="shared" si="24"/>
        <v>445968</v>
      </c>
      <c r="K219" s="75">
        <f t="shared" si="25"/>
        <v>288219803</v>
      </c>
      <c r="L219" s="749">
        <f>SUM(L220:L229)</f>
        <v>301878256.15729994</v>
      </c>
      <c r="M219" s="777">
        <f>SUM(M220:M229)</f>
        <v>320896498.47139841</v>
      </c>
    </row>
    <row r="220" spans="1:13" ht="13.5" x14ac:dyDescent="0.25">
      <c r="A220" s="766" t="str">
        <f t="shared" ref="A220:A229" si="31">A52</f>
        <v>Licensing</v>
      </c>
      <c r="B220" s="944"/>
      <c r="C220" s="391">
        <v>12021230</v>
      </c>
      <c r="D220" s="109"/>
      <c r="E220" s="109"/>
      <c r="F220" s="109"/>
      <c r="G220" s="109"/>
      <c r="H220" s="109"/>
      <c r="I220" s="109">
        <v>-64000</v>
      </c>
      <c r="J220" s="75">
        <f t="shared" si="24"/>
        <v>-64000</v>
      </c>
      <c r="K220" s="75">
        <f t="shared" si="25"/>
        <v>11957230</v>
      </c>
      <c r="L220" s="109">
        <v>12802607.986490004</v>
      </c>
      <c r="M220" s="110">
        <v>13609168.289638864</v>
      </c>
    </row>
    <row r="221" spans="1:13" ht="13.5" x14ac:dyDescent="0.25">
      <c r="A221" s="766" t="str">
        <f t="shared" si="31"/>
        <v>Vehicle Licensing and Testing</v>
      </c>
      <c r="B221" s="944"/>
      <c r="C221" s="391">
        <v>7956297</v>
      </c>
      <c r="D221" s="109"/>
      <c r="E221" s="109"/>
      <c r="F221" s="109"/>
      <c r="G221" s="109"/>
      <c r="H221" s="109"/>
      <c r="I221" s="109">
        <v>-17500</v>
      </c>
      <c r="J221" s="75">
        <f t="shared" si="24"/>
        <v>-17500</v>
      </c>
      <c r="K221" s="75">
        <f t="shared" si="25"/>
        <v>7938797</v>
      </c>
      <c r="L221" s="109">
        <v>8473456.826849997</v>
      </c>
      <c r="M221" s="110">
        <v>9007284.6069415491</v>
      </c>
    </row>
    <row r="222" spans="1:13" ht="13.5" x14ac:dyDescent="0.25">
      <c r="A222" s="766" t="str">
        <f t="shared" si="31"/>
        <v>Traffic</v>
      </c>
      <c r="B222" s="944"/>
      <c r="C222" s="391">
        <v>50421210</v>
      </c>
      <c r="D222" s="109"/>
      <c r="E222" s="109"/>
      <c r="F222" s="109"/>
      <c r="G222" s="109"/>
      <c r="H222" s="109"/>
      <c r="I222" s="109">
        <v>-278000</v>
      </c>
      <c r="J222" s="75">
        <f t="shared" si="24"/>
        <v>-278000</v>
      </c>
      <c r="K222" s="75">
        <f t="shared" si="25"/>
        <v>50143210</v>
      </c>
      <c r="L222" s="109">
        <v>49097788.513679981</v>
      </c>
      <c r="M222" s="110">
        <v>52190949.19004184</v>
      </c>
    </row>
    <row r="223" spans="1:13" ht="13.5" x14ac:dyDescent="0.25">
      <c r="A223" s="766" t="str">
        <f t="shared" si="31"/>
        <v>Security Services</v>
      </c>
      <c r="B223" s="944"/>
      <c r="C223" s="391">
        <v>54556760</v>
      </c>
      <c r="D223" s="109"/>
      <c r="E223" s="109"/>
      <c r="F223" s="109"/>
      <c r="G223" s="109"/>
      <c r="H223" s="109"/>
      <c r="I223" s="109">
        <v>-216000</v>
      </c>
      <c r="J223" s="75">
        <f t="shared" si="24"/>
        <v>-216000</v>
      </c>
      <c r="K223" s="75">
        <f t="shared" si="25"/>
        <v>54340760</v>
      </c>
      <c r="L223" s="109">
        <v>58102943.810089998</v>
      </c>
      <c r="M223" s="110">
        <v>61763424.650125682</v>
      </c>
    </row>
    <row r="224" spans="1:13" ht="13.5" x14ac:dyDescent="0.25">
      <c r="A224" s="766" t="str">
        <f t="shared" si="31"/>
        <v>Fire and Emergency Services</v>
      </c>
      <c r="B224" s="944"/>
      <c r="C224" s="391">
        <v>28437619</v>
      </c>
      <c r="D224" s="109"/>
      <c r="E224" s="109"/>
      <c r="F224" s="109"/>
      <c r="G224" s="109"/>
      <c r="H224" s="109"/>
      <c r="I224" s="109">
        <v>496500</v>
      </c>
      <c r="J224" s="75">
        <f t="shared" si="24"/>
        <v>496500</v>
      </c>
      <c r="K224" s="75">
        <f t="shared" si="25"/>
        <v>28934119</v>
      </c>
      <c r="L224" s="109">
        <v>30286040.958699938</v>
      </c>
      <c r="M224" s="110">
        <v>32194035.939098082</v>
      </c>
    </row>
    <row r="225" spans="1:13" ht="13.5" x14ac:dyDescent="0.25">
      <c r="A225" s="766" t="str">
        <f t="shared" si="31"/>
        <v>Cemeteries</v>
      </c>
      <c r="B225" s="944"/>
      <c r="C225" s="391">
        <v>6053445</v>
      </c>
      <c r="D225" s="109"/>
      <c r="E225" s="109"/>
      <c r="F225" s="109"/>
      <c r="G225" s="109"/>
      <c r="H225" s="109"/>
      <c r="I225" s="109">
        <v>-223000</v>
      </c>
      <c r="J225" s="75">
        <f t="shared" si="24"/>
        <v>-223000</v>
      </c>
      <c r="K225" s="75">
        <f t="shared" si="25"/>
        <v>5830445</v>
      </c>
      <c r="L225" s="109">
        <v>6446916.7596900016</v>
      </c>
      <c r="M225" s="110">
        <v>6853071.1255504685</v>
      </c>
    </row>
    <row r="226" spans="1:13" ht="13.5" x14ac:dyDescent="0.25">
      <c r="A226" s="766" t="str">
        <f t="shared" si="31"/>
        <v>Nature Reserve</v>
      </c>
      <c r="B226" s="944"/>
      <c r="C226" s="391">
        <v>9579123</v>
      </c>
      <c r="D226" s="109"/>
      <c r="E226" s="109"/>
      <c r="F226" s="109"/>
      <c r="G226" s="109"/>
      <c r="H226" s="109"/>
      <c r="I226" s="109">
        <v>-163774</v>
      </c>
      <c r="J226" s="75">
        <f t="shared" si="24"/>
        <v>-163774</v>
      </c>
      <c r="K226" s="75">
        <f t="shared" si="25"/>
        <v>9415349</v>
      </c>
      <c r="L226" s="109">
        <v>10201763.800919998</v>
      </c>
      <c r="M226" s="110">
        <v>10844471.160377953</v>
      </c>
    </row>
    <row r="227" spans="1:13" ht="13.5" x14ac:dyDescent="0.25">
      <c r="A227" s="766" t="str">
        <f t="shared" si="31"/>
        <v>Parks and Open Areas</v>
      </c>
      <c r="B227" s="944"/>
      <c r="C227" s="391">
        <v>29798228</v>
      </c>
      <c r="D227" s="109"/>
      <c r="E227" s="109"/>
      <c r="F227" s="109"/>
      <c r="G227" s="109"/>
      <c r="H227" s="109"/>
      <c r="I227" s="109">
        <v>770500</v>
      </c>
      <c r="J227" s="75">
        <f t="shared" si="24"/>
        <v>770500</v>
      </c>
      <c r="K227" s="75">
        <f t="shared" si="25"/>
        <v>30568728</v>
      </c>
      <c r="L227" s="109">
        <v>31735113.22298</v>
      </c>
      <c r="M227" s="110">
        <v>33734424.556027725</v>
      </c>
    </row>
    <row r="228" spans="1:13" ht="13.5" x14ac:dyDescent="0.25">
      <c r="A228" s="766" t="str">
        <f t="shared" si="31"/>
        <v>Waste Management</v>
      </c>
      <c r="B228" s="944"/>
      <c r="C228" s="391">
        <v>49682232</v>
      </c>
      <c r="D228" s="109"/>
      <c r="E228" s="109"/>
      <c r="F228" s="109"/>
      <c r="G228" s="109"/>
      <c r="H228" s="109"/>
      <c r="I228" s="109">
        <v>437600</v>
      </c>
      <c r="J228" s="75">
        <f t="shared" si="24"/>
        <v>437600</v>
      </c>
      <c r="K228" s="75">
        <f t="shared" si="25"/>
        <v>50119832</v>
      </c>
      <c r="L228" s="109">
        <v>52917961.848050006</v>
      </c>
      <c r="M228" s="110">
        <v>56251790.724477142</v>
      </c>
    </row>
    <row r="229" spans="1:13" ht="13.5" x14ac:dyDescent="0.25">
      <c r="A229" s="766" t="str">
        <f t="shared" si="31"/>
        <v>Other Community Services</v>
      </c>
      <c r="B229" s="944"/>
      <c r="C229" s="391">
        <v>39267691</v>
      </c>
      <c r="D229" s="109"/>
      <c r="E229" s="109"/>
      <c r="F229" s="109"/>
      <c r="G229" s="109"/>
      <c r="H229" s="109"/>
      <c r="I229" s="109">
        <v>-296358</v>
      </c>
      <c r="J229" s="75">
        <f t="shared" si="24"/>
        <v>-296358</v>
      </c>
      <c r="K229" s="75">
        <f t="shared" si="25"/>
        <v>38971333</v>
      </c>
      <c r="L229" s="109">
        <v>41813662.429850027</v>
      </c>
      <c r="M229" s="110">
        <v>44447878.229119122</v>
      </c>
    </row>
    <row r="230" spans="1:13" ht="13.5" x14ac:dyDescent="0.25">
      <c r="A230" s="763" t="str">
        <f>A62</f>
        <v>Vote 6 - Community Development</v>
      </c>
      <c r="B230" s="943"/>
      <c r="C230" s="750">
        <f t="shared" ref="C230:I230" si="32">SUM(C231:C240)</f>
        <v>178040475</v>
      </c>
      <c r="D230" s="749">
        <f t="shared" si="32"/>
        <v>0</v>
      </c>
      <c r="E230" s="749">
        <f t="shared" si="32"/>
        <v>0</v>
      </c>
      <c r="F230" s="749">
        <f t="shared" si="32"/>
        <v>0</v>
      </c>
      <c r="G230" s="749">
        <f t="shared" si="32"/>
        <v>0</v>
      </c>
      <c r="H230" s="749">
        <f t="shared" si="32"/>
        <v>0</v>
      </c>
      <c r="I230" s="749">
        <f t="shared" si="32"/>
        <v>4771918</v>
      </c>
      <c r="J230" s="75">
        <f t="shared" si="24"/>
        <v>4771918</v>
      </c>
      <c r="K230" s="75">
        <f t="shared" si="25"/>
        <v>182812393</v>
      </c>
      <c r="L230" s="749">
        <f>SUM(L231:L240)</f>
        <v>189182683.61579993</v>
      </c>
      <c r="M230" s="777">
        <f>SUM(M231:M240)</f>
        <v>201101029.67359552</v>
      </c>
    </row>
    <row r="231" spans="1:13" ht="13.5" x14ac:dyDescent="0.25">
      <c r="A231" s="766" t="str">
        <f t="shared" ref="A231:A240" si="33">A63</f>
        <v>Sport and Recreation</v>
      </c>
      <c r="B231" s="944"/>
      <c r="C231" s="391">
        <v>76572315</v>
      </c>
      <c r="D231" s="109"/>
      <c r="E231" s="109"/>
      <c r="F231" s="109"/>
      <c r="G231" s="109"/>
      <c r="H231" s="109"/>
      <c r="I231" s="109">
        <v>-599360</v>
      </c>
      <c r="J231" s="75">
        <f t="shared" si="24"/>
        <v>-599360</v>
      </c>
      <c r="K231" s="75">
        <f t="shared" si="25"/>
        <v>75972955</v>
      </c>
      <c r="L231" s="109">
        <v>81549487.282140076</v>
      </c>
      <c r="M231" s="110">
        <v>86687072.360914841</v>
      </c>
    </row>
    <row r="232" spans="1:13" ht="13.5" x14ac:dyDescent="0.25">
      <c r="A232" s="766" t="str">
        <f t="shared" si="33"/>
        <v>Swimming Pools</v>
      </c>
      <c r="B232" s="944"/>
      <c r="C232" s="391">
        <v>5606445</v>
      </c>
      <c r="D232" s="109"/>
      <c r="E232" s="109"/>
      <c r="F232" s="109"/>
      <c r="G232" s="109"/>
      <c r="H232" s="109"/>
      <c r="I232" s="109">
        <v>-29940</v>
      </c>
      <c r="J232" s="75">
        <f t="shared" si="24"/>
        <v>-29940</v>
      </c>
      <c r="K232" s="75">
        <f t="shared" si="25"/>
        <v>5576505</v>
      </c>
      <c r="L232" s="109">
        <v>5970857.0592500018</v>
      </c>
      <c r="M232" s="110">
        <v>6347014.9139827462</v>
      </c>
    </row>
    <row r="233" spans="1:13" ht="13.5" x14ac:dyDescent="0.25">
      <c r="A233" s="766" t="str">
        <f t="shared" si="33"/>
        <v>Facility commercialization</v>
      </c>
      <c r="B233" s="944"/>
      <c r="C233" s="391">
        <v>17340583</v>
      </c>
      <c r="D233" s="109"/>
      <c r="E233" s="109"/>
      <c r="F233" s="109"/>
      <c r="G233" s="109"/>
      <c r="H233" s="109"/>
      <c r="I233" s="109">
        <v>5024032</v>
      </c>
      <c r="J233" s="75">
        <f t="shared" si="24"/>
        <v>5024032</v>
      </c>
      <c r="K233" s="75">
        <f t="shared" si="25"/>
        <v>22364615</v>
      </c>
      <c r="L233" s="109">
        <v>18467713.206829991</v>
      </c>
      <c r="M233" s="110">
        <v>19631172.548860297</v>
      </c>
    </row>
    <row r="234" spans="1:13" ht="13.5" x14ac:dyDescent="0.25">
      <c r="A234" s="766" t="str">
        <f t="shared" si="33"/>
        <v>Civic Centre</v>
      </c>
      <c r="B234" s="944"/>
      <c r="C234" s="391">
        <v>28001986</v>
      </c>
      <c r="D234" s="109"/>
      <c r="E234" s="109"/>
      <c r="F234" s="109"/>
      <c r="G234" s="109"/>
      <c r="H234" s="109"/>
      <c r="I234" s="109">
        <v>-802550</v>
      </c>
      <c r="J234" s="75">
        <f t="shared" si="24"/>
        <v>-802550</v>
      </c>
      <c r="K234" s="75">
        <f t="shared" si="25"/>
        <v>27199436</v>
      </c>
      <c r="L234" s="109">
        <v>29822112.550449993</v>
      </c>
      <c r="M234" s="110">
        <v>31700902.031128358</v>
      </c>
    </row>
    <row r="235" spans="1:13" ht="13.5" x14ac:dyDescent="0.25">
      <c r="A235" s="766" t="str">
        <f t="shared" si="33"/>
        <v>Public Toilets</v>
      </c>
      <c r="B235" s="944"/>
      <c r="C235" s="391">
        <v>1871082</v>
      </c>
      <c r="D235" s="109"/>
      <c r="E235" s="109"/>
      <c r="F235" s="109"/>
      <c r="G235" s="109"/>
      <c r="H235" s="109"/>
      <c r="I235" s="109">
        <v>1500000</v>
      </c>
      <c r="J235" s="75">
        <f t="shared" si="24"/>
        <v>1500000</v>
      </c>
      <c r="K235" s="75">
        <f t="shared" si="25"/>
        <v>3371082</v>
      </c>
      <c r="L235" s="109">
        <v>1992701.87631</v>
      </c>
      <c r="M235" s="110">
        <v>2118242.0945175299</v>
      </c>
    </row>
    <row r="236" spans="1:13" ht="13.5" x14ac:dyDescent="0.25">
      <c r="A236" s="766" t="str">
        <f t="shared" si="33"/>
        <v>Community centres</v>
      </c>
      <c r="B236" s="944"/>
      <c r="C236" s="391">
        <v>475968</v>
      </c>
      <c r="D236" s="109"/>
      <c r="E236" s="109"/>
      <c r="F236" s="109"/>
      <c r="G236" s="109"/>
      <c r="H236" s="109"/>
      <c r="I236" s="109">
        <v>27096</v>
      </c>
      <c r="J236" s="75">
        <f t="shared" si="24"/>
        <v>27096</v>
      </c>
      <c r="K236" s="75">
        <f t="shared" si="25"/>
        <v>503064</v>
      </c>
      <c r="L236" s="109">
        <v>506895.80508000014</v>
      </c>
      <c r="M236" s="110">
        <v>538820.39080004068</v>
      </c>
    </row>
    <row r="237" spans="1:13" ht="13.5" x14ac:dyDescent="0.25">
      <c r="A237" s="766" t="str">
        <f t="shared" si="33"/>
        <v>Art Museum</v>
      </c>
      <c r="B237" s="944"/>
      <c r="C237" s="391">
        <v>1302994</v>
      </c>
      <c r="D237" s="109"/>
      <c r="E237" s="109"/>
      <c r="F237" s="109"/>
      <c r="G237" s="109"/>
      <c r="H237" s="109"/>
      <c r="I237" s="109">
        <v>-123000</v>
      </c>
      <c r="J237" s="75">
        <f t="shared" si="24"/>
        <v>-123000</v>
      </c>
      <c r="K237" s="75">
        <f t="shared" si="25"/>
        <v>1179994</v>
      </c>
      <c r="L237" s="109">
        <v>1387670.8544400015</v>
      </c>
      <c r="M237" s="110">
        <v>1475076.9682697214</v>
      </c>
    </row>
    <row r="238" spans="1:13" ht="13.5" x14ac:dyDescent="0.25">
      <c r="A238" s="766" t="str">
        <f t="shared" si="33"/>
        <v>Libraries</v>
      </c>
      <c r="B238" s="944"/>
      <c r="C238" s="391">
        <v>16294422</v>
      </c>
      <c r="D238" s="109"/>
      <c r="E238" s="109"/>
      <c r="F238" s="109"/>
      <c r="G238" s="109"/>
      <c r="H238" s="109"/>
      <c r="I238" s="109">
        <v>-154812</v>
      </c>
      <c r="J238" s="75">
        <f t="shared" si="24"/>
        <v>-154812</v>
      </c>
      <c r="K238" s="75">
        <f t="shared" si="25"/>
        <v>16139610</v>
      </c>
      <c r="L238" s="109">
        <v>17142670.212069962</v>
      </c>
      <c r="M238" s="110">
        <v>18222638.755430426</v>
      </c>
    </row>
    <row r="239" spans="1:13" ht="13.5" x14ac:dyDescent="0.25">
      <c r="A239" s="766" t="str">
        <f t="shared" si="33"/>
        <v>Museums</v>
      </c>
      <c r="B239" s="944"/>
      <c r="C239" s="391">
        <v>6238802</v>
      </c>
      <c r="D239" s="109"/>
      <c r="E239" s="109"/>
      <c r="F239" s="109"/>
      <c r="G239" s="109"/>
      <c r="H239" s="109"/>
      <c r="I239" s="109">
        <v>37320</v>
      </c>
      <c r="J239" s="75">
        <f t="shared" si="24"/>
        <v>37320</v>
      </c>
      <c r="K239" s="75">
        <f t="shared" si="25"/>
        <v>6276122</v>
      </c>
      <c r="L239" s="109">
        <v>6424915.6585700028</v>
      </c>
      <c r="M239" s="110">
        <v>6829668.4750599014</v>
      </c>
    </row>
    <row r="240" spans="1:13" ht="13.5" x14ac:dyDescent="0.25">
      <c r="A240" s="766" t="str">
        <f t="shared" si="33"/>
        <v>Other Community Development</v>
      </c>
      <c r="B240" s="944"/>
      <c r="C240" s="391">
        <v>24335878</v>
      </c>
      <c r="D240" s="109"/>
      <c r="E240" s="109"/>
      <c r="F240" s="109"/>
      <c r="G240" s="109"/>
      <c r="H240" s="109"/>
      <c r="I240" s="109">
        <v>-106868</v>
      </c>
      <c r="J240" s="75">
        <f t="shared" ref="J240:J303" si="34">SUM(E240:I240)</f>
        <v>-106868</v>
      </c>
      <c r="K240" s="75">
        <f t="shared" ref="K240:K303" si="35">IF(D240=0,C240+J240,D240+J240)</f>
        <v>24229010</v>
      </c>
      <c r="L240" s="109">
        <v>25917659.110659923</v>
      </c>
      <c r="M240" s="110">
        <v>27550421.13463166</v>
      </c>
    </row>
    <row r="241" spans="1:13" ht="13.5" x14ac:dyDescent="0.25">
      <c r="A241" s="763" t="str">
        <f>A73</f>
        <v>Vote 7 - Corporate  and Shared Services</v>
      </c>
      <c r="B241" s="943"/>
      <c r="C241" s="750">
        <f t="shared" ref="C241:I241" si="36">SUM(C242:C251)</f>
        <v>151665401</v>
      </c>
      <c r="D241" s="749">
        <f t="shared" si="36"/>
        <v>0</v>
      </c>
      <c r="E241" s="749">
        <f t="shared" si="36"/>
        <v>0</v>
      </c>
      <c r="F241" s="749">
        <f t="shared" si="36"/>
        <v>0</v>
      </c>
      <c r="G241" s="749">
        <f t="shared" si="36"/>
        <v>0</v>
      </c>
      <c r="H241" s="749">
        <f t="shared" si="36"/>
        <v>0</v>
      </c>
      <c r="I241" s="749">
        <f t="shared" si="36"/>
        <v>2980609</v>
      </c>
      <c r="J241" s="75">
        <f t="shared" si="34"/>
        <v>2980609</v>
      </c>
      <c r="K241" s="75">
        <f t="shared" si="35"/>
        <v>154646010</v>
      </c>
      <c r="L241" s="749">
        <f>SUM(L242:L251)</f>
        <v>161505499.66576001</v>
      </c>
      <c r="M241" s="777">
        <f>SUM(M242:M251)</f>
        <v>171680271.7147029</v>
      </c>
    </row>
    <row r="242" spans="1:13" ht="13.5" x14ac:dyDescent="0.25">
      <c r="A242" s="766" t="str">
        <f t="shared" ref="A242:A251" si="37">A74</f>
        <v>Information Services</v>
      </c>
      <c r="B242" s="944"/>
      <c r="C242" s="391">
        <v>35336608</v>
      </c>
      <c r="D242" s="109"/>
      <c r="E242" s="109"/>
      <c r="F242" s="109"/>
      <c r="G242" s="109"/>
      <c r="H242" s="109"/>
      <c r="I242" s="109">
        <v>2713429</v>
      </c>
      <c r="J242" s="75">
        <f t="shared" si="34"/>
        <v>2713429</v>
      </c>
      <c r="K242" s="75">
        <f t="shared" si="35"/>
        <v>38050037</v>
      </c>
      <c r="L242" s="109">
        <v>37640451.029050007</v>
      </c>
      <c r="M242" s="110">
        <v>40011798.553880148</v>
      </c>
    </row>
    <row r="243" spans="1:13" ht="13.5" x14ac:dyDescent="0.25">
      <c r="A243" s="766" t="str">
        <f t="shared" si="37"/>
        <v>Organisational Development</v>
      </c>
      <c r="B243" s="944"/>
      <c r="C243" s="391">
        <v>2181020</v>
      </c>
      <c r="D243" s="109"/>
      <c r="E243" s="109"/>
      <c r="F243" s="109"/>
      <c r="G243" s="109"/>
      <c r="H243" s="109"/>
      <c r="I243" s="109">
        <v>-35000</v>
      </c>
      <c r="J243" s="75">
        <f t="shared" si="34"/>
        <v>-35000</v>
      </c>
      <c r="K243" s="75">
        <f t="shared" si="35"/>
        <v>2146020</v>
      </c>
      <c r="L243" s="109">
        <v>2322782.7918000007</v>
      </c>
      <c r="M243" s="110">
        <v>2469110.4776834003</v>
      </c>
    </row>
    <row r="244" spans="1:13" ht="13.5" x14ac:dyDescent="0.25">
      <c r="A244" s="766" t="str">
        <f t="shared" si="37"/>
        <v>Personnel</v>
      </c>
      <c r="B244" s="944"/>
      <c r="C244" s="391">
        <v>16026884</v>
      </c>
      <c r="D244" s="109"/>
      <c r="E244" s="109"/>
      <c r="F244" s="109"/>
      <c r="G244" s="109"/>
      <c r="H244" s="109"/>
      <c r="I244" s="109">
        <v>-2013860</v>
      </c>
      <c r="J244" s="75">
        <f t="shared" si="34"/>
        <v>-2013860</v>
      </c>
      <c r="K244" s="75">
        <f t="shared" si="35"/>
        <v>14013024</v>
      </c>
      <c r="L244" s="109">
        <v>17068619.357769977</v>
      </c>
      <c r="M244" s="110">
        <v>18143928.32730953</v>
      </c>
    </row>
    <row r="245" spans="1:13" ht="13.5" x14ac:dyDescent="0.25">
      <c r="A245" s="766" t="str">
        <f t="shared" si="37"/>
        <v>Training and Skills Development</v>
      </c>
      <c r="B245" s="944"/>
      <c r="C245" s="391">
        <v>19429723</v>
      </c>
      <c r="D245" s="109"/>
      <c r="E245" s="109"/>
      <c r="F245" s="109"/>
      <c r="G245" s="109"/>
      <c r="H245" s="109"/>
      <c r="I245" s="109">
        <v>-232000</v>
      </c>
      <c r="J245" s="75">
        <f t="shared" si="34"/>
        <v>-232000</v>
      </c>
      <c r="K245" s="75">
        <f t="shared" si="35"/>
        <v>19197723</v>
      </c>
      <c r="L245" s="109">
        <v>20692651.928750005</v>
      </c>
      <c r="M245" s="110">
        <v>21996287.320261247</v>
      </c>
    </row>
    <row r="246" spans="1:13" ht="13.5" x14ac:dyDescent="0.25">
      <c r="A246" s="766" t="str">
        <f t="shared" si="37"/>
        <v>Occupational Health and Safety</v>
      </c>
      <c r="B246" s="944"/>
      <c r="C246" s="391">
        <v>5726907</v>
      </c>
      <c r="D246" s="109"/>
      <c r="E246" s="109"/>
      <c r="F246" s="109"/>
      <c r="G246" s="109"/>
      <c r="H246" s="109"/>
      <c r="I246" s="109">
        <v>-67460</v>
      </c>
      <c r="J246" s="75">
        <f t="shared" si="34"/>
        <v>-67460</v>
      </c>
      <c r="K246" s="75">
        <f t="shared" si="35"/>
        <v>5659447</v>
      </c>
      <c r="L246" s="109">
        <v>6099151.9203300001</v>
      </c>
      <c r="M246" s="110">
        <v>6483388.7613107879</v>
      </c>
    </row>
    <row r="247" spans="1:13" ht="13.5" x14ac:dyDescent="0.25">
      <c r="A247" s="766" t="str">
        <f t="shared" si="37"/>
        <v>Legal Services</v>
      </c>
      <c r="B247" s="944"/>
      <c r="C247" s="391">
        <v>9722698</v>
      </c>
      <c r="D247" s="109"/>
      <c r="E247" s="109"/>
      <c r="F247" s="109"/>
      <c r="G247" s="109"/>
      <c r="H247" s="109"/>
      <c r="I247" s="109">
        <v>1754000</v>
      </c>
      <c r="J247" s="75">
        <f t="shared" si="34"/>
        <v>1754000</v>
      </c>
      <c r="K247" s="75">
        <f t="shared" si="35"/>
        <v>11476698</v>
      </c>
      <c r="L247" s="109">
        <v>10354671.34437</v>
      </c>
      <c r="M247" s="110">
        <v>11007008.819065312</v>
      </c>
    </row>
    <row r="248" spans="1:13" ht="13.5" x14ac:dyDescent="0.25">
      <c r="A248" s="766" t="str">
        <f t="shared" si="37"/>
        <v>Secretariat</v>
      </c>
      <c r="B248" s="944"/>
      <c r="C248" s="391">
        <v>10719525</v>
      </c>
      <c r="D248" s="109"/>
      <c r="E248" s="109"/>
      <c r="F248" s="109"/>
      <c r="G248" s="109"/>
      <c r="H248" s="109"/>
      <c r="I248" s="109">
        <v>-128000</v>
      </c>
      <c r="J248" s="75">
        <f t="shared" si="34"/>
        <v>-128000</v>
      </c>
      <c r="K248" s="75">
        <f t="shared" si="35"/>
        <v>10591525</v>
      </c>
      <c r="L248" s="109">
        <v>11416289.514280001</v>
      </c>
      <c r="M248" s="110">
        <v>12135513.173679633</v>
      </c>
    </row>
    <row r="249" spans="1:13" ht="13.5" x14ac:dyDescent="0.25">
      <c r="A249" s="766" t="str">
        <f t="shared" si="37"/>
        <v>Mechanical Workshop</v>
      </c>
      <c r="B249" s="944"/>
      <c r="C249" s="391">
        <v>7368787</v>
      </c>
      <c r="D249" s="109"/>
      <c r="E249" s="109"/>
      <c r="F249" s="109"/>
      <c r="G249" s="109"/>
      <c r="H249" s="109"/>
      <c r="I249" s="109">
        <v>0</v>
      </c>
      <c r="J249" s="75">
        <f t="shared" si="34"/>
        <v>0</v>
      </c>
      <c r="K249" s="75">
        <f t="shared" si="35"/>
        <v>7368787</v>
      </c>
      <c r="L249" s="109">
        <v>7847756.671860001</v>
      </c>
      <c r="M249" s="110">
        <v>8342163.60218718</v>
      </c>
    </row>
    <row r="250" spans="1:13" ht="13.5" x14ac:dyDescent="0.25">
      <c r="A250" s="766" t="str">
        <f t="shared" si="37"/>
        <v>Fleet Management</v>
      </c>
      <c r="B250" s="944"/>
      <c r="C250" s="391">
        <v>36335332</v>
      </c>
      <c r="D250" s="109"/>
      <c r="E250" s="109"/>
      <c r="F250" s="109"/>
      <c r="G250" s="109"/>
      <c r="H250" s="109"/>
      <c r="I250" s="109">
        <v>-6000</v>
      </c>
      <c r="J250" s="75">
        <f t="shared" si="34"/>
        <v>-6000</v>
      </c>
      <c r="K250" s="75">
        <f t="shared" si="35"/>
        <v>36329332</v>
      </c>
      <c r="L250" s="109">
        <v>38697128.350979999</v>
      </c>
      <c r="M250" s="110">
        <v>41135046.49709174</v>
      </c>
    </row>
    <row r="251" spans="1:13" ht="13.5" x14ac:dyDescent="0.25">
      <c r="A251" s="766" t="str">
        <f t="shared" si="37"/>
        <v>Other Corporate and Shared services</v>
      </c>
      <c r="B251" s="944"/>
      <c r="C251" s="391">
        <v>8817917</v>
      </c>
      <c r="D251" s="109"/>
      <c r="E251" s="109"/>
      <c r="F251" s="109"/>
      <c r="G251" s="109"/>
      <c r="H251" s="109"/>
      <c r="I251" s="109">
        <v>995500</v>
      </c>
      <c r="J251" s="75">
        <f t="shared" si="34"/>
        <v>995500</v>
      </c>
      <c r="K251" s="75">
        <f t="shared" si="35"/>
        <v>9813417</v>
      </c>
      <c r="L251" s="109">
        <v>9365996.7565699983</v>
      </c>
      <c r="M251" s="110">
        <v>9956026.1822339129</v>
      </c>
    </row>
    <row r="252" spans="1:13" ht="13.5" x14ac:dyDescent="0.25">
      <c r="A252" s="763" t="str">
        <f>A84</f>
        <v>Vote 8 - Planning and Economic Development</v>
      </c>
      <c r="B252" s="944"/>
      <c r="C252" s="750">
        <f t="shared" ref="C252:I252" si="38">SUM(C253:C262)</f>
        <v>83301271</v>
      </c>
      <c r="D252" s="749">
        <f t="shared" si="38"/>
        <v>0</v>
      </c>
      <c r="E252" s="749">
        <f t="shared" si="38"/>
        <v>0</v>
      </c>
      <c r="F252" s="749">
        <f t="shared" si="38"/>
        <v>0</v>
      </c>
      <c r="G252" s="749">
        <f t="shared" si="38"/>
        <v>0</v>
      </c>
      <c r="H252" s="749">
        <f t="shared" si="38"/>
        <v>0</v>
      </c>
      <c r="I252" s="749">
        <f t="shared" si="38"/>
        <v>-180560</v>
      </c>
      <c r="J252" s="75">
        <f t="shared" si="34"/>
        <v>-180560</v>
      </c>
      <c r="K252" s="75">
        <f t="shared" si="35"/>
        <v>83120711</v>
      </c>
      <c r="L252" s="749">
        <f>SUM(L253:L262)</f>
        <v>85107611.052139983</v>
      </c>
      <c r="M252" s="777">
        <f>SUM(M253:M262)</f>
        <v>90469369.528434828</v>
      </c>
    </row>
    <row r="253" spans="1:13" ht="13.5" x14ac:dyDescent="0.25">
      <c r="A253" s="766" t="str">
        <f t="shared" ref="A253:A273" si="39">A85</f>
        <v>Landuse Management</v>
      </c>
      <c r="B253" s="944"/>
      <c r="C253" s="391">
        <v>6910614</v>
      </c>
      <c r="D253" s="109"/>
      <c r="E253" s="109"/>
      <c r="F253" s="109"/>
      <c r="G253" s="109"/>
      <c r="H253" s="109"/>
      <c r="I253" s="109">
        <v>-5000</v>
      </c>
      <c r="J253" s="75">
        <f t="shared" si="34"/>
        <v>-5000</v>
      </c>
      <c r="K253" s="75">
        <f t="shared" si="35"/>
        <v>6905614</v>
      </c>
      <c r="L253" s="109">
        <v>6081802.7013800004</v>
      </c>
      <c r="M253" s="110">
        <v>6464954.4415669376</v>
      </c>
    </row>
    <row r="254" spans="1:13" ht="13.5" x14ac:dyDescent="0.25">
      <c r="A254" s="766" t="str">
        <f t="shared" si="39"/>
        <v>Spatial Planning</v>
      </c>
      <c r="B254" s="944"/>
      <c r="C254" s="391">
        <v>15758543</v>
      </c>
      <c r="D254" s="109"/>
      <c r="E254" s="109"/>
      <c r="F254" s="109"/>
      <c r="G254" s="109"/>
      <c r="H254" s="109"/>
      <c r="I254" s="109">
        <v>-22000</v>
      </c>
      <c r="J254" s="75">
        <f t="shared" si="34"/>
        <v>-22000</v>
      </c>
      <c r="K254" s="75">
        <f t="shared" si="35"/>
        <v>15736543</v>
      </c>
      <c r="L254" s="109">
        <v>16516595.752349999</v>
      </c>
      <c r="M254" s="110">
        <v>17557139.594748054</v>
      </c>
    </row>
    <row r="255" spans="1:13" ht="13.5" x14ac:dyDescent="0.25">
      <c r="A255" s="766" t="str">
        <f t="shared" si="39"/>
        <v>Property Management</v>
      </c>
      <c r="B255" s="944"/>
      <c r="C255" s="391">
        <v>31487203</v>
      </c>
      <c r="D255" s="109"/>
      <c r="E255" s="109"/>
      <c r="F255" s="109"/>
      <c r="G255" s="109"/>
      <c r="H255" s="109"/>
      <c r="I255" s="109">
        <v>0</v>
      </c>
      <c r="J255" s="75">
        <f t="shared" si="34"/>
        <v>0</v>
      </c>
      <c r="K255" s="75">
        <f t="shared" si="35"/>
        <v>31487203</v>
      </c>
      <c r="L255" s="109">
        <v>33533871.194999997</v>
      </c>
      <c r="M255" s="110">
        <v>35646505.080284998</v>
      </c>
    </row>
    <row r="256" spans="1:13" ht="13.5" x14ac:dyDescent="0.25">
      <c r="A256" s="766" t="str">
        <f t="shared" si="39"/>
        <v>Transport Operations</v>
      </c>
      <c r="B256" s="944"/>
      <c r="C256" s="391">
        <v>9260737</v>
      </c>
      <c r="D256" s="109"/>
      <c r="E256" s="109"/>
      <c r="F256" s="109"/>
      <c r="G256" s="109"/>
      <c r="H256" s="109"/>
      <c r="I256" s="109">
        <v>-29060</v>
      </c>
      <c r="J256" s="75">
        <f t="shared" si="34"/>
        <v>-29060</v>
      </c>
      <c r="K256" s="75">
        <f t="shared" si="35"/>
        <v>9231677</v>
      </c>
      <c r="L256" s="109">
        <v>8584678.8876299988</v>
      </c>
      <c r="M256" s="110">
        <v>9125509.3175606877</v>
      </c>
    </row>
    <row r="257" spans="1:13" ht="13.5" x14ac:dyDescent="0.25">
      <c r="A257" s="766" t="str">
        <f t="shared" si="39"/>
        <v>Housing</v>
      </c>
      <c r="B257" s="944"/>
      <c r="C257" s="391">
        <v>4939450</v>
      </c>
      <c r="D257" s="109"/>
      <c r="E257" s="109"/>
      <c r="F257" s="109"/>
      <c r="G257" s="109"/>
      <c r="H257" s="109"/>
      <c r="I257" s="109">
        <v>-25000</v>
      </c>
      <c r="J257" s="75">
        <f t="shared" si="34"/>
        <v>-25000</v>
      </c>
      <c r="K257" s="75">
        <f t="shared" si="35"/>
        <v>4914450</v>
      </c>
      <c r="L257" s="109">
        <v>5260513.9773599971</v>
      </c>
      <c r="M257" s="110">
        <v>5591926.3579336796</v>
      </c>
    </row>
    <row r="258" spans="1:13" ht="13.5" x14ac:dyDescent="0.25">
      <c r="A258" s="766" t="str">
        <f t="shared" si="39"/>
        <v>Building Inspectorate</v>
      </c>
      <c r="B258" s="944"/>
      <c r="C258" s="391">
        <v>4706556</v>
      </c>
      <c r="D258" s="109"/>
      <c r="E258" s="109"/>
      <c r="F258" s="109"/>
      <c r="G258" s="109"/>
      <c r="H258" s="109"/>
      <c r="I258" s="109">
        <v>-16000</v>
      </c>
      <c r="J258" s="75">
        <f t="shared" si="34"/>
        <v>-16000</v>
      </c>
      <c r="K258" s="75">
        <f t="shared" si="35"/>
        <v>4690556</v>
      </c>
      <c r="L258" s="109">
        <v>5012479.2861199994</v>
      </c>
      <c r="M258" s="110">
        <v>5328263.7011455605</v>
      </c>
    </row>
    <row r="259" spans="1:13" ht="13.5" x14ac:dyDescent="0.25">
      <c r="A259" s="766" t="str">
        <f t="shared" si="39"/>
        <v>Enterprise Development</v>
      </c>
      <c r="B259" s="944"/>
      <c r="C259" s="391">
        <v>3761007</v>
      </c>
      <c r="D259" s="109"/>
      <c r="E259" s="109"/>
      <c r="F259" s="109"/>
      <c r="G259" s="109"/>
      <c r="H259" s="109"/>
      <c r="I259" s="109">
        <v>-10500</v>
      </c>
      <c r="J259" s="75">
        <f t="shared" si="34"/>
        <v>-10500</v>
      </c>
      <c r="K259" s="75">
        <f t="shared" si="35"/>
        <v>3750507</v>
      </c>
      <c r="L259" s="109">
        <v>4231250.8228399996</v>
      </c>
      <c r="M259" s="110">
        <v>4497817.0546789188</v>
      </c>
    </row>
    <row r="260" spans="1:13" ht="13.5" x14ac:dyDescent="0.25">
      <c r="A260" s="766" t="str">
        <f t="shared" si="39"/>
        <v>Investment Promotion and Tourism</v>
      </c>
      <c r="B260" s="944"/>
      <c r="C260" s="391">
        <v>2706255</v>
      </c>
      <c r="D260" s="109"/>
      <c r="E260" s="109"/>
      <c r="F260" s="109"/>
      <c r="G260" s="109"/>
      <c r="H260" s="109"/>
      <c r="I260" s="109">
        <v>-22000</v>
      </c>
      <c r="J260" s="75">
        <f t="shared" si="34"/>
        <v>-22000</v>
      </c>
      <c r="K260" s="75">
        <f t="shared" si="35"/>
        <v>2684255</v>
      </c>
      <c r="L260" s="109">
        <v>1870408.37319</v>
      </c>
      <c r="M260" s="110">
        <v>1988240.2307009702</v>
      </c>
    </row>
    <row r="261" spans="1:13" ht="13.5" x14ac:dyDescent="0.25">
      <c r="A261" s="766" t="str">
        <f t="shared" si="39"/>
        <v>Economic Planning and Development</v>
      </c>
      <c r="B261" s="944"/>
      <c r="C261" s="391">
        <v>1888357</v>
      </c>
      <c r="D261" s="109"/>
      <c r="E261" s="109"/>
      <c r="F261" s="109"/>
      <c r="G261" s="109"/>
      <c r="H261" s="109"/>
      <c r="I261" s="109">
        <v>-31000</v>
      </c>
      <c r="J261" s="75">
        <f t="shared" si="34"/>
        <v>-31000</v>
      </c>
      <c r="K261" s="75">
        <f t="shared" si="35"/>
        <v>1857357</v>
      </c>
      <c r="L261" s="109">
        <v>2011098.8792300001</v>
      </c>
      <c r="M261" s="110">
        <v>2137796.2786214901</v>
      </c>
    </row>
    <row r="262" spans="1:13" ht="13.5" x14ac:dyDescent="0.25">
      <c r="A262" s="766" t="str">
        <f t="shared" si="39"/>
        <v>Other Planning and Economic Development</v>
      </c>
      <c r="B262" s="944"/>
      <c r="C262" s="391">
        <v>1882549</v>
      </c>
      <c r="D262" s="109"/>
      <c r="E262" s="109"/>
      <c r="F262" s="109"/>
      <c r="G262" s="109"/>
      <c r="H262" s="109"/>
      <c r="I262" s="109">
        <v>-20000</v>
      </c>
      <c r="J262" s="75">
        <f t="shared" si="34"/>
        <v>-20000</v>
      </c>
      <c r="K262" s="75">
        <f t="shared" si="35"/>
        <v>1862549</v>
      </c>
      <c r="L262" s="109">
        <v>2004911.1770400002</v>
      </c>
      <c r="M262" s="110">
        <v>2131217.4711935199</v>
      </c>
    </row>
    <row r="263" spans="1:13" ht="13.5" x14ac:dyDescent="0.25">
      <c r="A263" s="763" t="str">
        <f t="shared" si="39"/>
        <v>Vote 9 - Budget and Treasury</v>
      </c>
      <c r="B263" s="944"/>
      <c r="C263" s="750">
        <f t="shared" ref="C263:I263" si="40">SUM(C264:C273)</f>
        <v>154398374</v>
      </c>
      <c r="D263" s="749">
        <f t="shared" si="40"/>
        <v>0</v>
      </c>
      <c r="E263" s="749">
        <f t="shared" si="40"/>
        <v>0</v>
      </c>
      <c r="F263" s="749">
        <f t="shared" si="40"/>
        <v>0</v>
      </c>
      <c r="G263" s="749">
        <f t="shared" si="40"/>
        <v>0</v>
      </c>
      <c r="H263" s="749">
        <f t="shared" si="40"/>
        <v>0</v>
      </c>
      <c r="I263" s="749">
        <f t="shared" si="40"/>
        <v>1428000</v>
      </c>
      <c r="J263" s="75">
        <f t="shared" si="34"/>
        <v>1428000</v>
      </c>
      <c r="K263" s="75">
        <f t="shared" si="35"/>
        <v>155826374</v>
      </c>
      <c r="L263" s="749">
        <f>SUM(L264:L273)</f>
        <v>164466883.70933995</v>
      </c>
      <c r="M263" s="777">
        <f>SUM(M264:M273)</f>
        <v>174816969.56902838</v>
      </c>
    </row>
    <row r="264" spans="1:13" ht="13.5" x14ac:dyDescent="0.25">
      <c r="A264" s="766" t="str">
        <f t="shared" si="39"/>
        <v>Chief Financial Officer</v>
      </c>
      <c r="B264" s="944"/>
      <c r="C264" s="391">
        <v>3940102</v>
      </c>
      <c r="D264" s="109"/>
      <c r="E264" s="109"/>
      <c r="F264" s="109"/>
      <c r="G264" s="109"/>
      <c r="H264" s="109"/>
      <c r="I264" s="109">
        <v>0</v>
      </c>
      <c r="J264" s="75">
        <f t="shared" si="34"/>
        <v>0</v>
      </c>
      <c r="K264" s="75">
        <f t="shared" si="35"/>
        <v>3940102</v>
      </c>
      <c r="L264" s="109">
        <v>4182938.9479999994</v>
      </c>
      <c r="M264" s="110">
        <v>4445808.261723998</v>
      </c>
    </row>
    <row r="265" spans="1:13" ht="13.5" x14ac:dyDescent="0.25">
      <c r="A265" s="766" t="str">
        <f t="shared" si="39"/>
        <v>Inter Govenmental Transfers</v>
      </c>
      <c r="B265" s="944"/>
      <c r="C265" s="391">
        <v>0</v>
      </c>
      <c r="D265" s="109"/>
      <c r="E265" s="109"/>
      <c r="F265" s="109"/>
      <c r="G265" s="109"/>
      <c r="H265" s="109"/>
      <c r="I265" s="109">
        <v>0</v>
      </c>
      <c r="J265" s="75">
        <f t="shared" si="34"/>
        <v>0</v>
      </c>
      <c r="K265" s="75">
        <f t="shared" si="35"/>
        <v>0</v>
      </c>
      <c r="L265" s="109">
        <v>0</v>
      </c>
      <c r="M265" s="110">
        <v>0</v>
      </c>
    </row>
    <row r="266" spans="1:13" ht="13.5" x14ac:dyDescent="0.25">
      <c r="A266" s="766" t="str">
        <f t="shared" si="39"/>
        <v>Budget and Treasury</v>
      </c>
      <c r="B266" s="944"/>
      <c r="C266" s="391">
        <v>127418339</v>
      </c>
      <c r="D266" s="109"/>
      <c r="E266" s="109"/>
      <c r="F266" s="109"/>
      <c r="G266" s="109"/>
      <c r="H266" s="109"/>
      <c r="I266" s="109">
        <v>1428000</v>
      </c>
      <c r="J266" s="75">
        <f t="shared" si="34"/>
        <v>1428000</v>
      </c>
      <c r="K266" s="75">
        <f t="shared" si="35"/>
        <v>128846339</v>
      </c>
      <c r="L266" s="109">
        <v>128294501.87473997</v>
      </c>
      <c r="M266" s="110">
        <v>136369640.30884868</v>
      </c>
    </row>
    <row r="267" spans="1:13" ht="13.5" x14ac:dyDescent="0.25">
      <c r="A267" s="766" t="str">
        <f t="shared" si="39"/>
        <v>Assesment Rates</v>
      </c>
      <c r="B267" s="944"/>
      <c r="C267" s="391">
        <v>4100000</v>
      </c>
      <c r="D267" s="109"/>
      <c r="E267" s="109"/>
      <c r="F267" s="109"/>
      <c r="G267" s="109"/>
      <c r="H267" s="109"/>
      <c r="I267" s="109">
        <v>0</v>
      </c>
      <c r="J267" s="75">
        <f t="shared" si="34"/>
        <v>0</v>
      </c>
      <c r="K267" s="75">
        <f t="shared" si="35"/>
        <v>4100000</v>
      </c>
      <c r="L267" s="109">
        <v>11821500</v>
      </c>
      <c r="M267" s="110">
        <v>12566254.5</v>
      </c>
    </row>
    <row r="268" spans="1:13" ht="13.5" x14ac:dyDescent="0.25">
      <c r="A268" s="766" t="str">
        <f t="shared" si="39"/>
        <v>Supply Chain Management</v>
      </c>
      <c r="B268" s="944"/>
      <c r="C268" s="391">
        <v>18939933</v>
      </c>
      <c r="D268" s="109"/>
      <c r="E268" s="109"/>
      <c r="F268" s="109"/>
      <c r="G268" s="109"/>
      <c r="H268" s="109"/>
      <c r="I268" s="109"/>
      <c r="J268" s="75">
        <f t="shared" si="34"/>
        <v>0</v>
      </c>
      <c r="K268" s="75">
        <f t="shared" si="35"/>
        <v>18939933</v>
      </c>
      <c r="L268" s="109">
        <v>20167927.866599996</v>
      </c>
      <c r="M268" s="110">
        <v>21435234.992195796</v>
      </c>
    </row>
    <row r="269" spans="1:13" ht="13.5" x14ac:dyDescent="0.25">
      <c r="A269" s="766">
        <f t="shared" si="39"/>
        <v>0</v>
      </c>
      <c r="B269" s="944"/>
      <c r="C269" s="391"/>
      <c r="D269" s="109"/>
      <c r="E269" s="109"/>
      <c r="F269" s="109"/>
      <c r="G269" s="109"/>
      <c r="H269" s="109"/>
      <c r="I269" s="109"/>
      <c r="J269" s="75">
        <f t="shared" si="34"/>
        <v>0</v>
      </c>
      <c r="K269" s="75">
        <f t="shared" si="35"/>
        <v>0</v>
      </c>
      <c r="L269" s="109">
        <v>15.019999980926499</v>
      </c>
      <c r="M269" s="110">
        <v>31.506259918212798</v>
      </c>
    </row>
    <row r="270" spans="1:13" ht="13.5" x14ac:dyDescent="0.25">
      <c r="A270" s="766">
        <f t="shared" si="39"/>
        <v>0</v>
      </c>
      <c r="B270" s="944"/>
      <c r="C270" s="391"/>
      <c r="D270" s="109"/>
      <c r="E270" s="109"/>
      <c r="F270" s="109"/>
      <c r="G270" s="109"/>
      <c r="H270" s="109"/>
      <c r="I270" s="109"/>
      <c r="J270" s="75">
        <f t="shared" si="34"/>
        <v>0</v>
      </c>
      <c r="K270" s="75">
        <f t="shared" si="35"/>
        <v>0</v>
      </c>
      <c r="L270" s="109">
        <v>0</v>
      </c>
      <c r="M270" s="110">
        <v>0</v>
      </c>
    </row>
    <row r="271" spans="1:13" ht="13.5" x14ac:dyDescent="0.25">
      <c r="A271" s="766">
        <f t="shared" si="39"/>
        <v>0</v>
      </c>
      <c r="B271" s="944"/>
      <c r="C271" s="391"/>
      <c r="D271" s="109"/>
      <c r="E271" s="109"/>
      <c r="F271" s="109"/>
      <c r="G271" s="109"/>
      <c r="H271" s="109"/>
      <c r="I271" s="109"/>
      <c r="J271" s="75">
        <f t="shared" si="34"/>
        <v>0</v>
      </c>
      <c r="K271" s="75">
        <f t="shared" si="35"/>
        <v>0</v>
      </c>
      <c r="L271" s="109">
        <v>0</v>
      </c>
      <c r="M271" s="110">
        <v>0</v>
      </c>
    </row>
    <row r="272" spans="1:13" ht="13.5" x14ac:dyDescent="0.25">
      <c r="A272" s="766">
        <f t="shared" si="39"/>
        <v>0</v>
      </c>
      <c r="B272" s="944"/>
      <c r="C272" s="391"/>
      <c r="D272" s="109"/>
      <c r="E272" s="109"/>
      <c r="F272" s="109"/>
      <c r="G272" s="109"/>
      <c r="H272" s="109"/>
      <c r="I272" s="109"/>
      <c r="J272" s="75">
        <f t="shared" si="34"/>
        <v>0</v>
      </c>
      <c r="K272" s="75">
        <f t="shared" si="35"/>
        <v>0</v>
      </c>
      <c r="L272" s="109">
        <v>0</v>
      </c>
      <c r="M272" s="110">
        <v>0</v>
      </c>
    </row>
    <row r="273" spans="1:13" ht="13.5" x14ac:dyDescent="0.25">
      <c r="A273" s="766">
        <f t="shared" si="39"/>
        <v>0</v>
      </c>
      <c r="B273" s="944"/>
      <c r="C273" s="391"/>
      <c r="D273" s="109"/>
      <c r="E273" s="109"/>
      <c r="F273" s="109"/>
      <c r="G273" s="109"/>
      <c r="H273" s="109"/>
      <c r="I273" s="109"/>
      <c r="J273" s="75">
        <f t="shared" si="34"/>
        <v>0</v>
      </c>
      <c r="K273" s="75">
        <f t="shared" si="35"/>
        <v>0</v>
      </c>
      <c r="L273" s="109">
        <v>0</v>
      </c>
      <c r="M273" s="110">
        <v>0</v>
      </c>
    </row>
    <row r="274" spans="1:13" ht="13.5" x14ac:dyDescent="0.25">
      <c r="A274" s="763" t="str">
        <f>A106</f>
        <v>Vote 10 - Transport Operations</v>
      </c>
      <c r="B274" s="944"/>
      <c r="C274" s="750">
        <f t="shared" ref="C274:I274" si="41">SUM(C275:C284)</f>
        <v>17324531</v>
      </c>
      <c r="D274" s="749">
        <f t="shared" si="41"/>
        <v>0</v>
      </c>
      <c r="E274" s="749">
        <f t="shared" si="41"/>
        <v>0</v>
      </c>
      <c r="F274" s="749">
        <f t="shared" si="41"/>
        <v>0</v>
      </c>
      <c r="G274" s="749">
        <f t="shared" si="41"/>
        <v>0</v>
      </c>
      <c r="H274" s="749">
        <f t="shared" si="41"/>
        <v>0</v>
      </c>
      <c r="I274" s="749">
        <f t="shared" si="41"/>
        <v>-108000</v>
      </c>
      <c r="J274" s="75">
        <f t="shared" si="34"/>
        <v>-108000</v>
      </c>
      <c r="K274" s="75">
        <f t="shared" si="35"/>
        <v>17216531</v>
      </c>
      <c r="L274" s="749">
        <f>SUM(L275:L284)</f>
        <v>18214193.957499001</v>
      </c>
      <c r="M274" s="777">
        <f>SUM(M275:M284)</f>
        <v>19361687.306827102</v>
      </c>
    </row>
    <row r="275" spans="1:13" ht="13.5" x14ac:dyDescent="0.25">
      <c r="A275" s="766" t="str">
        <f>A107</f>
        <v>Transport Operations</v>
      </c>
      <c r="B275" s="944"/>
      <c r="C275" s="391">
        <v>17324531</v>
      </c>
      <c r="D275" s="109"/>
      <c r="E275" s="109"/>
      <c r="F275" s="109"/>
      <c r="G275" s="109"/>
      <c r="H275" s="109">
        <v>0</v>
      </c>
      <c r="I275" s="109">
        <v>-108000</v>
      </c>
      <c r="J275" s="75">
        <f t="shared" si="34"/>
        <v>-108000</v>
      </c>
      <c r="K275" s="75">
        <f t="shared" si="35"/>
        <v>17216531</v>
      </c>
      <c r="L275" s="109">
        <v>18214193.957499001</v>
      </c>
      <c r="M275" s="110">
        <v>19361687.306827102</v>
      </c>
    </row>
    <row r="276" spans="1:13" ht="13.5" x14ac:dyDescent="0.25">
      <c r="A276" s="766">
        <f t="shared" ref="A276:A283" si="42">A108</f>
        <v>0</v>
      </c>
      <c r="B276" s="944"/>
      <c r="C276" s="391"/>
      <c r="D276" s="109"/>
      <c r="E276" s="109"/>
      <c r="F276" s="109"/>
      <c r="G276" s="109"/>
      <c r="H276" s="109"/>
      <c r="I276" s="109"/>
      <c r="J276" s="75">
        <f t="shared" si="34"/>
        <v>0</v>
      </c>
      <c r="K276" s="75">
        <f t="shared" si="35"/>
        <v>0</v>
      </c>
      <c r="L276" s="109">
        <v>0</v>
      </c>
      <c r="M276" s="110">
        <v>0</v>
      </c>
    </row>
    <row r="277" spans="1:13" ht="13.5" x14ac:dyDescent="0.25">
      <c r="A277" s="766">
        <f t="shared" si="42"/>
        <v>0</v>
      </c>
      <c r="B277" s="944"/>
      <c r="C277" s="391"/>
      <c r="D277" s="109"/>
      <c r="E277" s="109"/>
      <c r="F277" s="109"/>
      <c r="G277" s="109"/>
      <c r="H277" s="109"/>
      <c r="I277" s="109"/>
      <c r="J277" s="75">
        <f t="shared" si="34"/>
        <v>0</v>
      </c>
      <c r="K277" s="75">
        <f t="shared" si="35"/>
        <v>0</v>
      </c>
      <c r="L277" s="109">
        <v>0</v>
      </c>
      <c r="M277" s="110">
        <v>0</v>
      </c>
    </row>
    <row r="278" spans="1:13" ht="13.5" x14ac:dyDescent="0.25">
      <c r="A278" s="766">
        <f t="shared" si="42"/>
        <v>0</v>
      </c>
      <c r="B278" s="944"/>
      <c r="C278" s="391"/>
      <c r="D278" s="109"/>
      <c r="E278" s="109"/>
      <c r="F278" s="109"/>
      <c r="G278" s="109"/>
      <c r="H278" s="109"/>
      <c r="I278" s="109"/>
      <c r="J278" s="75">
        <f t="shared" si="34"/>
        <v>0</v>
      </c>
      <c r="K278" s="75">
        <f t="shared" si="35"/>
        <v>0</v>
      </c>
      <c r="L278" s="109">
        <v>0</v>
      </c>
      <c r="M278" s="110">
        <v>0</v>
      </c>
    </row>
    <row r="279" spans="1:13" ht="13.5" x14ac:dyDescent="0.25">
      <c r="A279" s="766">
        <f t="shared" si="42"/>
        <v>0</v>
      </c>
      <c r="B279" s="944"/>
      <c r="C279" s="391"/>
      <c r="D279" s="109"/>
      <c r="E279" s="109"/>
      <c r="F279" s="109"/>
      <c r="G279" s="109"/>
      <c r="H279" s="109"/>
      <c r="I279" s="109"/>
      <c r="J279" s="75">
        <f t="shared" si="34"/>
        <v>0</v>
      </c>
      <c r="K279" s="75">
        <f t="shared" si="35"/>
        <v>0</v>
      </c>
      <c r="L279" s="109">
        <v>0</v>
      </c>
      <c r="M279" s="110">
        <v>0</v>
      </c>
    </row>
    <row r="280" spans="1:13" ht="13.5" x14ac:dyDescent="0.25">
      <c r="A280" s="766">
        <f t="shared" si="42"/>
        <v>0</v>
      </c>
      <c r="B280" s="944"/>
      <c r="C280" s="391"/>
      <c r="D280" s="109"/>
      <c r="E280" s="109"/>
      <c r="F280" s="109"/>
      <c r="G280" s="109"/>
      <c r="H280" s="109"/>
      <c r="I280" s="109"/>
      <c r="J280" s="75">
        <f t="shared" si="34"/>
        <v>0</v>
      </c>
      <c r="K280" s="75">
        <f t="shared" si="35"/>
        <v>0</v>
      </c>
      <c r="L280" s="109">
        <v>0</v>
      </c>
      <c r="M280" s="110">
        <v>0</v>
      </c>
    </row>
    <row r="281" spans="1:13" ht="13.5" x14ac:dyDescent="0.25">
      <c r="A281" s="766">
        <f t="shared" si="42"/>
        <v>0</v>
      </c>
      <c r="B281" s="944"/>
      <c r="C281" s="391"/>
      <c r="D281" s="109"/>
      <c r="E281" s="109"/>
      <c r="F281" s="109"/>
      <c r="G281" s="109"/>
      <c r="H281" s="109"/>
      <c r="I281" s="109"/>
      <c r="J281" s="75">
        <f t="shared" si="34"/>
        <v>0</v>
      </c>
      <c r="K281" s="75">
        <f t="shared" si="35"/>
        <v>0</v>
      </c>
      <c r="L281" s="109">
        <v>0</v>
      </c>
      <c r="M281" s="110">
        <v>0</v>
      </c>
    </row>
    <row r="282" spans="1:13" ht="13.5" x14ac:dyDescent="0.25">
      <c r="A282" s="766">
        <f t="shared" si="42"/>
        <v>0</v>
      </c>
      <c r="B282" s="944"/>
      <c r="C282" s="391"/>
      <c r="D282" s="109"/>
      <c r="E282" s="109"/>
      <c r="F282" s="109"/>
      <c r="G282" s="109"/>
      <c r="H282" s="109"/>
      <c r="I282" s="109"/>
      <c r="J282" s="75">
        <f t="shared" si="34"/>
        <v>0</v>
      </c>
      <c r="K282" s="75">
        <f t="shared" si="35"/>
        <v>0</v>
      </c>
      <c r="L282" s="109">
        <v>0</v>
      </c>
      <c r="M282" s="110">
        <v>0</v>
      </c>
    </row>
    <row r="283" spans="1:13" ht="13.5" x14ac:dyDescent="0.25">
      <c r="A283" s="766">
        <f t="shared" si="42"/>
        <v>0</v>
      </c>
      <c r="B283" s="944"/>
      <c r="C283" s="391"/>
      <c r="D283" s="109"/>
      <c r="E283" s="109"/>
      <c r="F283" s="109"/>
      <c r="G283" s="109"/>
      <c r="H283" s="109"/>
      <c r="I283" s="109"/>
      <c r="J283" s="75">
        <f t="shared" si="34"/>
        <v>0</v>
      </c>
      <c r="K283" s="75">
        <f t="shared" si="35"/>
        <v>0</v>
      </c>
      <c r="L283" s="109">
        <v>0</v>
      </c>
      <c r="M283" s="110">
        <v>0</v>
      </c>
    </row>
    <row r="284" spans="1:13" ht="13.5" x14ac:dyDescent="0.25">
      <c r="A284" s="766">
        <f>A116</f>
        <v>0</v>
      </c>
      <c r="B284" s="944"/>
      <c r="C284" s="391"/>
      <c r="D284" s="109"/>
      <c r="E284" s="109"/>
      <c r="F284" s="109"/>
      <c r="G284" s="109"/>
      <c r="H284" s="109"/>
      <c r="I284" s="109"/>
      <c r="J284" s="75">
        <f t="shared" si="34"/>
        <v>0</v>
      </c>
      <c r="K284" s="75">
        <f t="shared" si="35"/>
        <v>0</v>
      </c>
      <c r="L284" s="109">
        <v>0</v>
      </c>
      <c r="M284" s="110">
        <v>0</v>
      </c>
    </row>
    <row r="285" spans="1:13" ht="13.5" x14ac:dyDescent="0.25">
      <c r="A285" s="763" t="str">
        <f>A117</f>
        <v>Vote 11 - [NAME OF VOTE 11]</v>
      </c>
      <c r="B285" s="944"/>
      <c r="C285" s="750">
        <f t="shared" ref="C285:I285" si="43">SUM(C286:C295)</f>
        <v>0</v>
      </c>
      <c r="D285" s="749">
        <f t="shared" si="43"/>
        <v>0</v>
      </c>
      <c r="E285" s="749">
        <f t="shared" si="43"/>
        <v>0</v>
      </c>
      <c r="F285" s="749">
        <f t="shared" si="43"/>
        <v>0</v>
      </c>
      <c r="G285" s="749">
        <f t="shared" si="43"/>
        <v>0</v>
      </c>
      <c r="H285" s="749">
        <f t="shared" si="43"/>
        <v>0</v>
      </c>
      <c r="I285" s="749">
        <f t="shared" si="43"/>
        <v>0</v>
      </c>
      <c r="J285" s="75">
        <f t="shared" si="34"/>
        <v>0</v>
      </c>
      <c r="K285" s="75">
        <f t="shared" si="35"/>
        <v>0</v>
      </c>
      <c r="L285" s="749">
        <f>SUM(L286:L295)</f>
        <v>0</v>
      </c>
      <c r="M285" s="777">
        <f>SUM(M286:M295)</f>
        <v>0</v>
      </c>
    </row>
    <row r="286" spans="1:13" ht="13.5" x14ac:dyDescent="0.25">
      <c r="A286" s="766" t="str">
        <f>A118</f>
        <v>11.1 - [Name of sub-vote]</v>
      </c>
      <c r="B286" s="944"/>
      <c r="C286" s="391"/>
      <c r="D286" s="109"/>
      <c r="E286" s="109"/>
      <c r="F286" s="109"/>
      <c r="G286" s="109"/>
      <c r="H286" s="109"/>
      <c r="I286" s="109"/>
      <c r="J286" s="75">
        <f t="shared" si="34"/>
        <v>0</v>
      </c>
      <c r="K286" s="75">
        <f t="shared" si="35"/>
        <v>0</v>
      </c>
      <c r="L286" s="109"/>
      <c r="M286" s="110"/>
    </row>
    <row r="287" spans="1:13" ht="13.5" x14ac:dyDescent="0.25">
      <c r="A287" s="766">
        <f t="shared" ref="A287:A339" si="44">A119</f>
        <v>0</v>
      </c>
      <c r="B287" s="944"/>
      <c r="C287" s="391"/>
      <c r="D287" s="109"/>
      <c r="E287" s="109"/>
      <c r="F287" s="109"/>
      <c r="G287" s="109"/>
      <c r="H287" s="109"/>
      <c r="I287" s="109"/>
      <c r="J287" s="75">
        <f t="shared" si="34"/>
        <v>0</v>
      </c>
      <c r="K287" s="75">
        <f t="shared" si="35"/>
        <v>0</v>
      </c>
      <c r="L287" s="109"/>
      <c r="M287" s="110"/>
    </row>
    <row r="288" spans="1:13" ht="13.5" x14ac:dyDescent="0.25">
      <c r="A288" s="766">
        <f t="shared" si="44"/>
        <v>0</v>
      </c>
      <c r="B288" s="944"/>
      <c r="C288" s="391"/>
      <c r="D288" s="109"/>
      <c r="E288" s="109"/>
      <c r="F288" s="109"/>
      <c r="G288" s="109"/>
      <c r="H288" s="109"/>
      <c r="I288" s="109"/>
      <c r="J288" s="75">
        <f t="shared" si="34"/>
        <v>0</v>
      </c>
      <c r="K288" s="75">
        <f t="shared" si="35"/>
        <v>0</v>
      </c>
      <c r="L288" s="109"/>
      <c r="M288" s="110"/>
    </row>
    <row r="289" spans="1:13" ht="13.5" x14ac:dyDescent="0.25">
      <c r="A289" s="766">
        <f t="shared" si="44"/>
        <v>0</v>
      </c>
      <c r="B289" s="944"/>
      <c r="C289" s="391"/>
      <c r="D289" s="109"/>
      <c r="E289" s="109"/>
      <c r="F289" s="109"/>
      <c r="G289" s="109"/>
      <c r="H289" s="109"/>
      <c r="I289" s="109"/>
      <c r="J289" s="75">
        <f t="shared" si="34"/>
        <v>0</v>
      </c>
      <c r="K289" s="75">
        <f t="shared" si="35"/>
        <v>0</v>
      </c>
      <c r="L289" s="109"/>
      <c r="M289" s="110"/>
    </row>
    <row r="290" spans="1:13" ht="13.5" x14ac:dyDescent="0.25">
      <c r="A290" s="766">
        <f t="shared" si="44"/>
        <v>0</v>
      </c>
      <c r="B290" s="944"/>
      <c r="C290" s="391"/>
      <c r="D290" s="109"/>
      <c r="E290" s="109"/>
      <c r="F290" s="109"/>
      <c r="G290" s="109"/>
      <c r="H290" s="109"/>
      <c r="I290" s="109"/>
      <c r="J290" s="75">
        <f t="shared" si="34"/>
        <v>0</v>
      </c>
      <c r="K290" s="75">
        <f t="shared" si="35"/>
        <v>0</v>
      </c>
      <c r="L290" s="109"/>
      <c r="M290" s="110"/>
    </row>
    <row r="291" spans="1:13" ht="13.5" x14ac:dyDescent="0.25">
      <c r="A291" s="766">
        <f t="shared" si="44"/>
        <v>0</v>
      </c>
      <c r="B291" s="944"/>
      <c r="C291" s="391"/>
      <c r="D291" s="109"/>
      <c r="E291" s="109"/>
      <c r="F291" s="109"/>
      <c r="G291" s="109"/>
      <c r="H291" s="109"/>
      <c r="I291" s="109"/>
      <c r="J291" s="75">
        <f t="shared" si="34"/>
        <v>0</v>
      </c>
      <c r="K291" s="75">
        <f t="shared" si="35"/>
        <v>0</v>
      </c>
      <c r="L291" s="109"/>
      <c r="M291" s="110"/>
    </row>
    <row r="292" spans="1:13" ht="13.5" x14ac:dyDescent="0.25">
      <c r="A292" s="766">
        <f t="shared" si="44"/>
        <v>0</v>
      </c>
      <c r="B292" s="944"/>
      <c r="C292" s="391"/>
      <c r="D292" s="109"/>
      <c r="E292" s="109"/>
      <c r="F292" s="109"/>
      <c r="G292" s="109"/>
      <c r="H292" s="109"/>
      <c r="I292" s="109"/>
      <c r="J292" s="75">
        <f t="shared" si="34"/>
        <v>0</v>
      </c>
      <c r="K292" s="75">
        <f t="shared" si="35"/>
        <v>0</v>
      </c>
      <c r="L292" s="109"/>
      <c r="M292" s="110"/>
    </row>
    <row r="293" spans="1:13" ht="13.5" x14ac:dyDescent="0.25">
      <c r="A293" s="766">
        <f t="shared" si="44"/>
        <v>0</v>
      </c>
      <c r="B293" s="944"/>
      <c r="C293" s="391"/>
      <c r="D293" s="109"/>
      <c r="E293" s="109"/>
      <c r="F293" s="109"/>
      <c r="G293" s="109"/>
      <c r="H293" s="109"/>
      <c r="I293" s="109"/>
      <c r="J293" s="75">
        <f t="shared" si="34"/>
        <v>0</v>
      </c>
      <c r="K293" s="75">
        <f t="shared" si="35"/>
        <v>0</v>
      </c>
      <c r="L293" s="109"/>
      <c r="M293" s="110"/>
    </row>
    <row r="294" spans="1:13" ht="13.5" x14ac:dyDescent="0.25">
      <c r="A294" s="766">
        <f t="shared" si="44"/>
        <v>0</v>
      </c>
      <c r="B294" s="944"/>
      <c r="C294" s="391"/>
      <c r="D294" s="109"/>
      <c r="E294" s="109"/>
      <c r="F294" s="109"/>
      <c r="G294" s="109"/>
      <c r="H294" s="109"/>
      <c r="I294" s="109"/>
      <c r="J294" s="75">
        <f t="shared" si="34"/>
        <v>0</v>
      </c>
      <c r="K294" s="75">
        <f t="shared" si="35"/>
        <v>0</v>
      </c>
      <c r="L294" s="109"/>
      <c r="M294" s="110"/>
    </row>
    <row r="295" spans="1:13" ht="13.5" x14ac:dyDescent="0.25">
      <c r="A295" s="766">
        <f t="shared" si="44"/>
        <v>0</v>
      </c>
      <c r="B295" s="944"/>
      <c r="C295" s="391"/>
      <c r="D295" s="109"/>
      <c r="E295" s="109"/>
      <c r="F295" s="109"/>
      <c r="G295" s="109"/>
      <c r="H295" s="109"/>
      <c r="I295" s="109"/>
      <c r="J295" s="75">
        <f t="shared" si="34"/>
        <v>0</v>
      </c>
      <c r="K295" s="75">
        <f t="shared" si="35"/>
        <v>0</v>
      </c>
      <c r="L295" s="109"/>
      <c r="M295" s="110"/>
    </row>
    <row r="296" spans="1:13" ht="13.5" x14ac:dyDescent="0.25">
      <c r="A296" s="763" t="str">
        <f t="shared" si="44"/>
        <v>Vote 12 - [NAME OF VOTE 12]</v>
      </c>
      <c r="B296" s="944"/>
      <c r="C296" s="750">
        <f t="shared" ref="C296:I296" si="45">SUM(C297:C306)</f>
        <v>0</v>
      </c>
      <c r="D296" s="749">
        <f t="shared" si="45"/>
        <v>0</v>
      </c>
      <c r="E296" s="749">
        <f t="shared" si="45"/>
        <v>0</v>
      </c>
      <c r="F296" s="749">
        <f t="shared" si="45"/>
        <v>0</v>
      </c>
      <c r="G296" s="749">
        <f t="shared" si="45"/>
        <v>0</v>
      </c>
      <c r="H296" s="749">
        <f t="shared" si="45"/>
        <v>0</v>
      </c>
      <c r="I296" s="749">
        <f t="shared" si="45"/>
        <v>0</v>
      </c>
      <c r="J296" s="75">
        <f t="shared" si="34"/>
        <v>0</v>
      </c>
      <c r="K296" s="75">
        <f t="shared" si="35"/>
        <v>0</v>
      </c>
      <c r="L296" s="749">
        <f>SUM(L297:L306)</f>
        <v>0</v>
      </c>
      <c r="M296" s="777">
        <f>SUM(M297:M306)</f>
        <v>0</v>
      </c>
    </row>
    <row r="297" spans="1:13" ht="13.5" x14ac:dyDescent="0.25">
      <c r="A297" s="766" t="str">
        <f t="shared" si="44"/>
        <v>12.1 - [Name of sub-vote]</v>
      </c>
      <c r="B297" s="944"/>
      <c r="C297" s="391"/>
      <c r="D297" s="109"/>
      <c r="E297" s="109"/>
      <c r="F297" s="109"/>
      <c r="G297" s="109"/>
      <c r="H297" s="109"/>
      <c r="I297" s="109"/>
      <c r="J297" s="75">
        <f t="shared" si="34"/>
        <v>0</v>
      </c>
      <c r="K297" s="75">
        <f t="shared" si="35"/>
        <v>0</v>
      </c>
      <c r="L297" s="109"/>
      <c r="M297" s="110"/>
    </row>
    <row r="298" spans="1:13" ht="13.5" x14ac:dyDescent="0.25">
      <c r="A298" s="766">
        <f t="shared" si="44"/>
        <v>0</v>
      </c>
      <c r="B298" s="944"/>
      <c r="C298" s="391"/>
      <c r="D298" s="109"/>
      <c r="E298" s="109"/>
      <c r="F298" s="109"/>
      <c r="G298" s="109"/>
      <c r="H298" s="109"/>
      <c r="I298" s="109"/>
      <c r="J298" s="75">
        <f t="shared" si="34"/>
        <v>0</v>
      </c>
      <c r="K298" s="75">
        <f t="shared" si="35"/>
        <v>0</v>
      </c>
      <c r="L298" s="109"/>
      <c r="M298" s="110"/>
    </row>
    <row r="299" spans="1:13" ht="13.5" x14ac:dyDescent="0.25">
      <c r="A299" s="766">
        <f t="shared" si="44"/>
        <v>0</v>
      </c>
      <c r="B299" s="944"/>
      <c r="C299" s="391"/>
      <c r="D299" s="109"/>
      <c r="E299" s="109"/>
      <c r="F299" s="109"/>
      <c r="G299" s="109"/>
      <c r="H299" s="109"/>
      <c r="I299" s="109"/>
      <c r="J299" s="75">
        <f t="shared" si="34"/>
        <v>0</v>
      </c>
      <c r="K299" s="75">
        <f t="shared" si="35"/>
        <v>0</v>
      </c>
      <c r="L299" s="109"/>
      <c r="M299" s="110"/>
    </row>
    <row r="300" spans="1:13" ht="13.5" x14ac:dyDescent="0.25">
      <c r="A300" s="766">
        <f t="shared" si="44"/>
        <v>0</v>
      </c>
      <c r="B300" s="944"/>
      <c r="C300" s="391"/>
      <c r="D300" s="109"/>
      <c r="E300" s="109"/>
      <c r="F300" s="109"/>
      <c r="G300" s="109"/>
      <c r="H300" s="109"/>
      <c r="I300" s="109"/>
      <c r="J300" s="75">
        <f t="shared" si="34"/>
        <v>0</v>
      </c>
      <c r="K300" s="75">
        <f t="shared" si="35"/>
        <v>0</v>
      </c>
      <c r="L300" s="109"/>
      <c r="M300" s="110"/>
    </row>
    <row r="301" spans="1:13" ht="13.5" x14ac:dyDescent="0.25">
      <c r="A301" s="766">
        <f t="shared" si="44"/>
        <v>0</v>
      </c>
      <c r="B301" s="944"/>
      <c r="C301" s="391"/>
      <c r="D301" s="109"/>
      <c r="E301" s="109"/>
      <c r="F301" s="109"/>
      <c r="G301" s="109"/>
      <c r="H301" s="109"/>
      <c r="I301" s="109"/>
      <c r="J301" s="75">
        <f t="shared" si="34"/>
        <v>0</v>
      </c>
      <c r="K301" s="75">
        <f t="shared" si="35"/>
        <v>0</v>
      </c>
      <c r="L301" s="109"/>
      <c r="M301" s="110"/>
    </row>
    <row r="302" spans="1:13" ht="13.5" x14ac:dyDescent="0.25">
      <c r="A302" s="766">
        <f t="shared" si="44"/>
        <v>0</v>
      </c>
      <c r="B302" s="944"/>
      <c r="C302" s="391"/>
      <c r="D302" s="109"/>
      <c r="E302" s="109"/>
      <c r="F302" s="109"/>
      <c r="G302" s="109"/>
      <c r="H302" s="109"/>
      <c r="I302" s="109"/>
      <c r="J302" s="75">
        <f t="shared" si="34"/>
        <v>0</v>
      </c>
      <c r="K302" s="75">
        <f t="shared" si="35"/>
        <v>0</v>
      </c>
      <c r="L302" s="109"/>
      <c r="M302" s="110"/>
    </row>
    <row r="303" spans="1:13" ht="13.5" x14ac:dyDescent="0.25">
      <c r="A303" s="766">
        <f t="shared" si="44"/>
        <v>0</v>
      </c>
      <c r="B303" s="944"/>
      <c r="C303" s="391"/>
      <c r="D303" s="109"/>
      <c r="E303" s="109"/>
      <c r="F303" s="109"/>
      <c r="G303" s="109"/>
      <c r="H303" s="109"/>
      <c r="I303" s="109"/>
      <c r="J303" s="75">
        <f t="shared" si="34"/>
        <v>0</v>
      </c>
      <c r="K303" s="75">
        <f t="shared" si="35"/>
        <v>0</v>
      </c>
      <c r="L303" s="109"/>
      <c r="M303" s="110"/>
    </row>
    <row r="304" spans="1:13" ht="13.5" x14ac:dyDescent="0.25">
      <c r="A304" s="766">
        <f t="shared" si="44"/>
        <v>0</v>
      </c>
      <c r="B304" s="944"/>
      <c r="C304" s="391"/>
      <c r="D304" s="109"/>
      <c r="E304" s="109"/>
      <c r="F304" s="109"/>
      <c r="G304" s="109"/>
      <c r="H304" s="109"/>
      <c r="I304" s="109"/>
      <c r="J304" s="75">
        <f t="shared" ref="J304:J339" si="46">SUM(E304:I304)</f>
        <v>0</v>
      </c>
      <c r="K304" s="75">
        <f t="shared" ref="K304:K339" si="47">IF(D304=0,C304+J304,D304+J304)</f>
        <v>0</v>
      </c>
      <c r="L304" s="109"/>
      <c r="M304" s="110"/>
    </row>
    <row r="305" spans="1:13" ht="13.5" x14ac:dyDescent="0.25">
      <c r="A305" s="766">
        <f t="shared" si="44"/>
        <v>0</v>
      </c>
      <c r="B305" s="944"/>
      <c r="C305" s="391"/>
      <c r="D305" s="109"/>
      <c r="E305" s="109"/>
      <c r="F305" s="109"/>
      <c r="G305" s="109"/>
      <c r="H305" s="109"/>
      <c r="I305" s="109"/>
      <c r="J305" s="75">
        <f t="shared" si="46"/>
        <v>0</v>
      </c>
      <c r="K305" s="75">
        <f t="shared" si="47"/>
        <v>0</v>
      </c>
      <c r="L305" s="109"/>
      <c r="M305" s="110"/>
    </row>
    <row r="306" spans="1:13" ht="13.5" x14ac:dyDescent="0.25">
      <c r="A306" s="766">
        <f t="shared" si="44"/>
        <v>0</v>
      </c>
      <c r="B306" s="944"/>
      <c r="C306" s="391"/>
      <c r="D306" s="109"/>
      <c r="E306" s="109"/>
      <c r="F306" s="109"/>
      <c r="G306" s="109"/>
      <c r="H306" s="109"/>
      <c r="I306" s="109"/>
      <c r="J306" s="75">
        <f t="shared" si="46"/>
        <v>0</v>
      </c>
      <c r="K306" s="75">
        <f t="shared" si="47"/>
        <v>0</v>
      </c>
      <c r="L306" s="109"/>
      <c r="M306" s="110"/>
    </row>
    <row r="307" spans="1:13" ht="13.5" x14ac:dyDescent="0.25">
      <c r="A307" s="763" t="str">
        <f t="shared" si="44"/>
        <v>Vote 13 - [NAME OF VOTE 13]</v>
      </c>
      <c r="B307" s="944"/>
      <c r="C307" s="750">
        <f t="shared" ref="C307:I307" si="48">SUM(C308:C317)</f>
        <v>0</v>
      </c>
      <c r="D307" s="749">
        <f t="shared" si="48"/>
        <v>0</v>
      </c>
      <c r="E307" s="749">
        <f t="shared" si="48"/>
        <v>0</v>
      </c>
      <c r="F307" s="749">
        <f t="shared" si="48"/>
        <v>0</v>
      </c>
      <c r="G307" s="749">
        <f t="shared" si="48"/>
        <v>0</v>
      </c>
      <c r="H307" s="749">
        <f t="shared" si="48"/>
        <v>0</v>
      </c>
      <c r="I307" s="749">
        <f t="shared" si="48"/>
        <v>0</v>
      </c>
      <c r="J307" s="75">
        <f t="shared" si="46"/>
        <v>0</v>
      </c>
      <c r="K307" s="75">
        <f t="shared" si="47"/>
        <v>0</v>
      </c>
      <c r="L307" s="749">
        <f>SUM(L308:L317)</f>
        <v>0</v>
      </c>
      <c r="M307" s="777">
        <f>SUM(M308:M317)</f>
        <v>0</v>
      </c>
    </row>
    <row r="308" spans="1:13" ht="13.5" x14ac:dyDescent="0.25">
      <c r="A308" s="766" t="str">
        <f t="shared" si="44"/>
        <v>13.1 - [Name of sub-vote]</v>
      </c>
      <c r="B308" s="944"/>
      <c r="C308" s="391"/>
      <c r="D308" s="109"/>
      <c r="E308" s="109"/>
      <c r="F308" s="109"/>
      <c r="G308" s="109"/>
      <c r="H308" s="109"/>
      <c r="I308" s="109"/>
      <c r="J308" s="75">
        <f t="shared" si="46"/>
        <v>0</v>
      </c>
      <c r="K308" s="75">
        <f t="shared" si="47"/>
        <v>0</v>
      </c>
      <c r="L308" s="109"/>
      <c r="M308" s="110"/>
    </row>
    <row r="309" spans="1:13" ht="13.5" x14ac:dyDescent="0.25">
      <c r="A309" s="766">
        <f t="shared" si="44"/>
        <v>0</v>
      </c>
      <c r="B309" s="944"/>
      <c r="C309" s="391"/>
      <c r="D309" s="109"/>
      <c r="E309" s="109"/>
      <c r="F309" s="109"/>
      <c r="G309" s="109"/>
      <c r="H309" s="109"/>
      <c r="I309" s="109"/>
      <c r="J309" s="75">
        <f t="shared" si="46"/>
        <v>0</v>
      </c>
      <c r="K309" s="75">
        <f t="shared" si="47"/>
        <v>0</v>
      </c>
      <c r="L309" s="109"/>
      <c r="M309" s="110"/>
    </row>
    <row r="310" spans="1:13" ht="13.5" x14ac:dyDescent="0.25">
      <c r="A310" s="766">
        <f t="shared" si="44"/>
        <v>0</v>
      </c>
      <c r="B310" s="944"/>
      <c r="C310" s="391"/>
      <c r="D310" s="109"/>
      <c r="E310" s="109"/>
      <c r="F310" s="109"/>
      <c r="G310" s="109"/>
      <c r="H310" s="109"/>
      <c r="I310" s="109"/>
      <c r="J310" s="75">
        <f t="shared" si="46"/>
        <v>0</v>
      </c>
      <c r="K310" s="75">
        <f t="shared" si="47"/>
        <v>0</v>
      </c>
      <c r="L310" s="109"/>
      <c r="M310" s="110"/>
    </row>
    <row r="311" spans="1:13" ht="13.5" x14ac:dyDescent="0.25">
      <c r="A311" s="766">
        <f t="shared" si="44"/>
        <v>0</v>
      </c>
      <c r="B311" s="944"/>
      <c r="C311" s="391"/>
      <c r="D311" s="109"/>
      <c r="E311" s="109"/>
      <c r="F311" s="109"/>
      <c r="G311" s="109"/>
      <c r="H311" s="109"/>
      <c r="I311" s="109"/>
      <c r="J311" s="75">
        <f t="shared" si="46"/>
        <v>0</v>
      </c>
      <c r="K311" s="75">
        <f t="shared" si="47"/>
        <v>0</v>
      </c>
      <c r="L311" s="109"/>
      <c r="M311" s="110"/>
    </row>
    <row r="312" spans="1:13" ht="13.5" x14ac:dyDescent="0.25">
      <c r="A312" s="766">
        <f t="shared" si="44"/>
        <v>0</v>
      </c>
      <c r="B312" s="944"/>
      <c r="C312" s="391"/>
      <c r="D312" s="109"/>
      <c r="E312" s="109"/>
      <c r="F312" s="109"/>
      <c r="G312" s="109"/>
      <c r="H312" s="109"/>
      <c r="I312" s="109"/>
      <c r="J312" s="75">
        <f t="shared" si="46"/>
        <v>0</v>
      </c>
      <c r="K312" s="75">
        <f t="shared" si="47"/>
        <v>0</v>
      </c>
      <c r="L312" s="109"/>
      <c r="M312" s="110"/>
    </row>
    <row r="313" spans="1:13" ht="13.5" x14ac:dyDescent="0.25">
      <c r="A313" s="766">
        <f t="shared" si="44"/>
        <v>0</v>
      </c>
      <c r="B313" s="944"/>
      <c r="C313" s="391"/>
      <c r="D313" s="109"/>
      <c r="E313" s="109"/>
      <c r="F313" s="109"/>
      <c r="G313" s="109"/>
      <c r="H313" s="109"/>
      <c r="I313" s="109"/>
      <c r="J313" s="75">
        <f t="shared" si="46"/>
        <v>0</v>
      </c>
      <c r="K313" s="75">
        <f t="shared" si="47"/>
        <v>0</v>
      </c>
      <c r="L313" s="109"/>
      <c r="M313" s="110"/>
    </row>
    <row r="314" spans="1:13" ht="13.5" x14ac:dyDescent="0.25">
      <c r="A314" s="766">
        <f t="shared" si="44"/>
        <v>0</v>
      </c>
      <c r="B314" s="944"/>
      <c r="C314" s="391"/>
      <c r="D314" s="109"/>
      <c r="E314" s="109"/>
      <c r="F314" s="109"/>
      <c r="G314" s="109"/>
      <c r="H314" s="109"/>
      <c r="I314" s="109"/>
      <c r="J314" s="75">
        <f t="shared" si="46"/>
        <v>0</v>
      </c>
      <c r="K314" s="75">
        <f t="shared" si="47"/>
        <v>0</v>
      </c>
      <c r="L314" s="109"/>
      <c r="M314" s="110"/>
    </row>
    <row r="315" spans="1:13" ht="13.5" x14ac:dyDescent="0.25">
      <c r="A315" s="766">
        <f t="shared" si="44"/>
        <v>0</v>
      </c>
      <c r="B315" s="944"/>
      <c r="C315" s="391"/>
      <c r="D315" s="109"/>
      <c r="E315" s="109"/>
      <c r="F315" s="109"/>
      <c r="G315" s="109"/>
      <c r="H315" s="109"/>
      <c r="I315" s="109"/>
      <c r="J315" s="75">
        <f t="shared" si="46"/>
        <v>0</v>
      </c>
      <c r="K315" s="75">
        <f t="shared" si="47"/>
        <v>0</v>
      </c>
      <c r="L315" s="109"/>
      <c r="M315" s="110"/>
    </row>
    <row r="316" spans="1:13" ht="13.5" x14ac:dyDescent="0.25">
      <c r="A316" s="766">
        <f t="shared" si="44"/>
        <v>0</v>
      </c>
      <c r="B316" s="944"/>
      <c r="C316" s="391"/>
      <c r="D316" s="109"/>
      <c r="E316" s="109"/>
      <c r="F316" s="109"/>
      <c r="G316" s="109"/>
      <c r="H316" s="109"/>
      <c r="I316" s="109"/>
      <c r="J316" s="75">
        <f t="shared" si="46"/>
        <v>0</v>
      </c>
      <c r="K316" s="75">
        <f t="shared" si="47"/>
        <v>0</v>
      </c>
      <c r="L316" s="109"/>
      <c r="M316" s="110"/>
    </row>
    <row r="317" spans="1:13" ht="13.5" x14ac:dyDescent="0.25">
      <c r="A317" s="766">
        <f t="shared" si="44"/>
        <v>0</v>
      </c>
      <c r="B317" s="944"/>
      <c r="C317" s="391"/>
      <c r="D317" s="109"/>
      <c r="E317" s="109"/>
      <c r="F317" s="109"/>
      <c r="G317" s="109"/>
      <c r="H317" s="109"/>
      <c r="I317" s="109"/>
      <c r="J317" s="75">
        <f t="shared" si="46"/>
        <v>0</v>
      </c>
      <c r="K317" s="75">
        <f t="shared" si="47"/>
        <v>0</v>
      </c>
      <c r="L317" s="109"/>
      <c r="M317" s="110"/>
    </row>
    <row r="318" spans="1:13" ht="13.5" x14ac:dyDescent="0.25">
      <c r="A318" s="763" t="str">
        <f t="shared" si="44"/>
        <v>Vote 14 - [NAME OF VOTE 14]</v>
      </c>
      <c r="B318" s="944"/>
      <c r="C318" s="750">
        <f t="shared" ref="C318:I318" si="49">SUM(C319:C328)</f>
        <v>0</v>
      </c>
      <c r="D318" s="749">
        <f t="shared" si="49"/>
        <v>0</v>
      </c>
      <c r="E318" s="749">
        <f t="shared" si="49"/>
        <v>0</v>
      </c>
      <c r="F318" s="749">
        <f t="shared" si="49"/>
        <v>0</v>
      </c>
      <c r="G318" s="749">
        <f t="shared" si="49"/>
        <v>0</v>
      </c>
      <c r="H318" s="749">
        <f t="shared" si="49"/>
        <v>0</v>
      </c>
      <c r="I318" s="749">
        <f t="shared" si="49"/>
        <v>0</v>
      </c>
      <c r="J318" s="75">
        <f t="shared" si="46"/>
        <v>0</v>
      </c>
      <c r="K318" s="75">
        <f t="shared" si="47"/>
        <v>0</v>
      </c>
      <c r="L318" s="749">
        <f>SUM(L319:L328)</f>
        <v>0</v>
      </c>
      <c r="M318" s="777">
        <f>SUM(M319:M328)</f>
        <v>0</v>
      </c>
    </row>
    <row r="319" spans="1:13" ht="13.5" x14ac:dyDescent="0.25">
      <c r="A319" s="766" t="str">
        <f t="shared" si="44"/>
        <v>14.1 - [Name of sub-vote]</v>
      </c>
      <c r="B319" s="944"/>
      <c r="C319" s="391"/>
      <c r="D319" s="109"/>
      <c r="E319" s="109"/>
      <c r="F319" s="109"/>
      <c r="G319" s="109"/>
      <c r="H319" s="109"/>
      <c r="I319" s="109"/>
      <c r="J319" s="75">
        <f t="shared" si="46"/>
        <v>0</v>
      </c>
      <c r="K319" s="75">
        <f t="shared" si="47"/>
        <v>0</v>
      </c>
      <c r="L319" s="109"/>
      <c r="M319" s="110"/>
    </row>
    <row r="320" spans="1:13" ht="13.5" x14ac:dyDescent="0.25">
      <c r="A320" s="766">
        <f t="shared" si="44"/>
        <v>0</v>
      </c>
      <c r="B320" s="944"/>
      <c r="C320" s="391"/>
      <c r="D320" s="109"/>
      <c r="E320" s="109"/>
      <c r="F320" s="109"/>
      <c r="G320" s="109"/>
      <c r="H320" s="109"/>
      <c r="I320" s="109"/>
      <c r="J320" s="75">
        <f t="shared" si="46"/>
        <v>0</v>
      </c>
      <c r="K320" s="75">
        <f t="shared" si="47"/>
        <v>0</v>
      </c>
      <c r="L320" s="109"/>
      <c r="M320" s="110"/>
    </row>
    <row r="321" spans="1:13" ht="13.5" x14ac:dyDescent="0.25">
      <c r="A321" s="766">
        <f t="shared" si="44"/>
        <v>0</v>
      </c>
      <c r="B321" s="944"/>
      <c r="C321" s="391"/>
      <c r="D321" s="109"/>
      <c r="E321" s="109"/>
      <c r="F321" s="109"/>
      <c r="G321" s="109"/>
      <c r="H321" s="109"/>
      <c r="I321" s="109"/>
      <c r="J321" s="75">
        <f t="shared" si="46"/>
        <v>0</v>
      </c>
      <c r="K321" s="75">
        <f t="shared" si="47"/>
        <v>0</v>
      </c>
      <c r="L321" s="109"/>
      <c r="M321" s="110"/>
    </row>
    <row r="322" spans="1:13" ht="13.5" x14ac:dyDescent="0.25">
      <c r="A322" s="766">
        <f t="shared" si="44"/>
        <v>0</v>
      </c>
      <c r="B322" s="944"/>
      <c r="C322" s="391"/>
      <c r="D322" s="109"/>
      <c r="E322" s="109"/>
      <c r="F322" s="109"/>
      <c r="G322" s="109"/>
      <c r="H322" s="109"/>
      <c r="I322" s="109"/>
      <c r="J322" s="75">
        <f t="shared" si="46"/>
        <v>0</v>
      </c>
      <c r="K322" s="75">
        <f t="shared" si="47"/>
        <v>0</v>
      </c>
      <c r="L322" s="109"/>
      <c r="M322" s="110"/>
    </row>
    <row r="323" spans="1:13" ht="13.5" x14ac:dyDescent="0.25">
      <c r="A323" s="766">
        <f t="shared" si="44"/>
        <v>0</v>
      </c>
      <c r="B323" s="944"/>
      <c r="C323" s="391"/>
      <c r="D323" s="109"/>
      <c r="E323" s="109"/>
      <c r="F323" s="109"/>
      <c r="G323" s="109"/>
      <c r="H323" s="109"/>
      <c r="I323" s="109"/>
      <c r="J323" s="75">
        <f t="shared" si="46"/>
        <v>0</v>
      </c>
      <c r="K323" s="75">
        <f t="shared" si="47"/>
        <v>0</v>
      </c>
      <c r="L323" s="109"/>
      <c r="M323" s="110"/>
    </row>
    <row r="324" spans="1:13" ht="13.5" x14ac:dyDescent="0.25">
      <c r="A324" s="766">
        <f t="shared" si="44"/>
        <v>0</v>
      </c>
      <c r="B324" s="944"/>
      <c r="C324" s="391"/>
      <c r="D324" s="109"/>
      <c r="E324" s="109"/>
      <c r="F324" s="109"/>
      <c r="G324" s="109"/>
      <c r="H324" s="109"/>
      <c r="I324" s="109"/>
      <c r="J324" s="75">
        <f t="shared" si="46"/>
        <v>0</v>
      </c>
      <c r="K324" s="75">
        <f t="shared" si="47"/>
        <v>0</v>
      </c>
      <c r="L324" s="109"/>
      <c r="M324" s="110"/>
    </row>
    <row r="325" spans="1:13" ht="13.5" x14ac:dyDescent="0.25">
      <c r="A325" s="766">
        <f t="shared" si="44"/>
        <v>0</v>
      </c>
      <c r="B325" s="944"/>
      <c r="C325" s="391"/>
      <c r="D325" s="109"/>
      <c r="E325" s="109"/>
      <c r="F325" s="109"/>
      <c r="G325" s="109"/>
      <c r="H325" s="109"/>
      <c r="I325" s="109"/>
      <c r="J325" s="75">
        <f t="shared" si="46"/>
        <v>0</v>
      </c>
      <c r="K325" s="75">
        <f t="shared" si="47"/>
        <v>0</v>
      </c>
      <c r="L325" s="109"/>
      <c r="M325" s="110"/>
    </row>
    <row r="326" spans="1:13" ht="13.5" x14ac:dyDescent="0.25">
      <c r="A326" s="766">
        <f t="shared" si="44"/>
        <v>0</v>
      </c>
      <c r="B326" s="944"/>
      <c r="C326" s="391"/>
      <c r="D326" s="109"/>
      <c r="E326" s="109"/>
      <c r="F326" s="109"/>
      <c r="G326" s="109"/>
      <c r="H326" s="109"/>
      <c r="I326" s="109"/>
      <c r="J326" s="75">
        <f t="shared" si="46"/>
        <v>0</v>
      </c>
      <c r="K326" s="75">
        <f t="shared" si="47"/>
        <v>0</v>
      </c>
      <c r="L326" s="109"/>
      <c r="M326" s="110"/>
    </row>
    <row r="327" spans="1:13" ht="13.5" x14ac:dyDescent="0.25">
      <c r="A327" s="766">
        <f t="shared" si="44"/>
        <v>0</v>
      </c>
      <c r="B327" s="944"/>
      <c r="C327" s="391"/>
      <c r="D327" s="109"/>
      <c r="E327" s="109"/>
      <c r="F327" s="109"/>
      <c r="G327" s="109"/>
      <c r="H327" s="109"/>
      <c r="I327" s="109"/>
      <c r="J327" s="75">
        <f t="shared" si="46"/>
        <v>0</v>
      </c>
      <c r="K327" s="75">
        <f t="shared" si="47"/>
        <v>0</v>
      </c>
      <c r="L327" s="109"/>
      <c r="M327" s="110"/>
    </row>
    <row r="328" spans="1:13" ht="13.5" x14ac:dyDescent="0.25">
      <c r="A328" s="766">
        <f t="shared" si="44"/>
        <v>0</v>
      </c>
      <c r="B328" s="944"/>
      <c r="C328" s="391"/>
      <c r="D328" s="109"/>
      <c r="E328" s="109"/>
      <c r="F328" s="109"/>
      <c r="G328" s="109"/>
      <c r="H328" s="109"/>
      <c r="I328" s="109"/>
      <c r="J328" s="75">
        <f t="shared" si="46"/>
        <v>0</v>
      </c>
      <c r="K328" s="75">
        <f t="shared" si="47"/>
        <v>0</v>
      </c>
      <c r="L328" s="109"/>
      <c r="M328" s="110"/>
    </row>
    <row r="329" spans="1:13" ht="13.5" x14ac:dyDescent="0.25">
      <c r="A329" s="763" t="str">
        <f t="shared" si="44"/>
        <v>Vote 15 - [NAME OF VOTE 15]</v>
      </c>
      <c r="B329" s="944"/>
      <c r="C329" s="750">
        <f t="shared" ref="C329:I329" si="50">SUM(C330:C339)</f>
        <v>0</v>
      </c>
      <c r="D329" s="749">
        <f t="shared" si="50"/>
        <v>0</v>
      </c>
      <c r="E329" s="749">
        <f t="shared" si="50"/>
        <v>0</v>
      </c>
      <c r="F329" s="749">
        <f t="shared" si="50"/>
        <v>0</v>
      </c>
      <c r="G329" s="749">
        <f t="shared" si="50"/>
        <v>0</v>
      </c>
      <c r="H329" s="749">
        <f t="shared" si="50"/>
        <v>0</v>
      </c>
      <c r="I329" s="749">
        <f t="shared" si="50"/>
        <v>0</v>
      </c>
      <c r="J329" s="75">
        <f t="shared" si="46"/>
        <v>0</v>
      </c>
      <c r="K329" s="75">
        <f t="shared" si="47"/>
        <v>0</v>
      </c>
      <c r="L329" s="749">
        <f>SUM(L330:L339)</f>
        <v>0</v>
      </c>
      <c r="M329" s="777">
        <f>SUM(M330:M339)</f>
        <v>0</v>
      </c>
    </row>
    <row r="330" spans="1:13" ht="13.5" x14ac:dyDescent="0.25">
      <c r="A330" s="766" t="str">
        <f t="shared" si="44"/>
        <v>15.1 - [Name of sub-vote]</v>
      </c>
      <c r="B330" s="944"/>
      <c r="C330" s="391"/>
      <c r="D330" s="109"/>
      <c r="E330" s="109"/>
      <c r="F330" s="109"/>
      <c r="G330" s="109"/>
      <c r="H330" s="109"/>
      <c r="I330" s="109"/>
      <c r="J330" s="75">
        <f t="shared" si="46"/>
        <v>0</v>
      </c>
      <c r="K330" s="75">
        <f t="shared" si="47"/>
        <v>0</v>
      </c>
      <c r="L330" s="109"/>
      <c r="M330" s="110"/>
    </row>
    <row r="331" spans="1:13" ht="13.5" x14ac:dyDescent="0.25">
      <c r="A331" s="766">
        <f t="shared" si="44"/>
        <v>0</v>
      </c>
      <c r="B331" s="944"/>
      <c r="C331" s="391"/>
      <c r="D331" s="109"/>
      <c r="E331" s="109"/>
      <c r="F331" s="109"/>
      <c r="G331" s="109"/>
      <c r="H331" s="109"/>
      <c r="I331" s="109"/>
      <c r="J331" s="75">
        <f t="shared" si="46"/>
        <v>0</v>
      </c>
      <c r="K331" s="75">
        <f t="shared" si="47"/>
        <v>0</v>
      </c>
      <c r="L331" s="109"/>
      <c r="M331" s="110"/>
    </row>
    <row r="332" spans="1:13" ht="13.5" x14ac:dyDescent="0.25">
      <c r="A332" s="766">
        <f t="shared" si="44"/>
        <v>0</v>
      </c>
      <c r="B332" s="944"/>
      <c r="C332" s="391"/>
      <c r="D332" s="109"/>
      <c r="E332" s="109"/>
      <c r="F332" s="109"/>
      <c r="G332" s="109"/>
      <c r="H332" s="109"/>
      <c r="I332" s="109"/>
      <c r="J332" s="75">
        <f t="shared" si="46"/>
        <v>0</v>
      </c>
      <c r="K332" s="75">
        <f t="shared" si="47"/>
        <v>0</v>
      </c>
      <c r="L332" s="109"/>
      <c r="M332" s="110"/>
    </row>
    <row r="333" spans="1:13" ht="13.5" x14ac:dyDescent="0.25">
      <c r="A333" s="766">
        <f t="shared" si="44"/>
        <v>0</v>
      </c>
      <c r="B333" s="944"/>
      <c r="C333" s="391"/>
      <c r="D333" s="109"/>
      <c r="E333" s="109"/>
      <c r="F333" s="109"/>
      <c r="G333" s="109"/>
      <c r="H333" s="109"/>
      <c r="I333" s="109"/>
      <c r="J333" s="75">
        <f t="shared" si="46"/>
        <v>0</v>
      </c>
      <c r="K333" s="75">
        <f t="shared" si="47"/>
        <v>0</v>
      </c>
      <c r="L333" s="109"/>
      <c r="M333" s="110"/>
    </row>
    <row r="334" spans="1:13" ht="13.5" x14ac:dyDescent="0.25">
      <c r="A334" s="766">
        <f t="shared" si="44"/>
        <v>0</v>
      </c>
      <c r="B334" s="944"/>
      <c r="C334" s="391"/>
      <c r="D334" s="109"/>
      <c r="E334" s="109"/>
      <c r="F334" s="109"/>
      <c r="G334" s="109"/>
      <c r="H334" s="109"/>
      <c r="I334" s="109"/>
      <c r="J334" s="75">
        <f t="shared" si="46"/>
        <v>0</v>
      </c>
      <c r="K334" s="75">
        <f t="shared" si="47"/>
        <v>0</v>
      </c>
      <c r="L334" s="109"/>
      <c r="M334" s="110"/>
    </row>
    <row r="335" spans="1:13" ht="13.5" x14ac:dyDescent="0.25">
      <c r="A335" s="766">
        <f t="shared" si="44"/>
        <v>0</v>
      </c>
      <c r="B335" s="944"/>
      <c r="C335" s="391"/>
      <c r="D335" s="109"/>
      <c r="E335" s="109"/>
      <c r="F335" s="109"/>
      <c r="G335" s="109"/>
      <c r="H335" s="109"/>
      <c r="I335" s="109"/>
      <c r="J335" s="75">
        <f t="shared" si="46"/>
        <v>0</v>
      </c>
      <c r="K335" s="75">
        <f t="shared" si="47"/>
        <v>0</v>
      </c>
      <c r="L335" s="109"/>
      <c r="M335" s="110"/>
    </row>
    <row r="336" spans="1:13" ht="13.5" x14ac:dyDescent="0.25">
      <c r="A336" s="766">
        <f t="shared" si="44"/>
        <v>0</v>
      </c>
      <c r="B336" s="944"/>
      <c r="C336" s="391"/>
      <c r="D336" s="109"/>
      <c r="E336" s="109"/>
      <c r="F336" s="109"/>
      <c r="G336" s="109"/>
      <c r="H336" s="109"/>
      <c r="I336" s="109"/>
      <c r="J336" s="75">
        <f t="shared" si="46"/>
        <v>0</v>
      </c>
      <c r="K336" s="75">
        <f t="shared" si="47"/>
        <v>0</v>
      </c>
      <c r="L336" s="109"/>
      <c r="M336" s="110"/>
    </row>
    <row r="337" spans="1:13" ht="13.5" x14ac:dyDescent="0.25">
      <c r="A337" s="766">
        <f t="shared" si="44"/>
        <v>0</v>
      </c>
      <c r="B337" s="944"/>
      <c r="C337" s="391"/>
      <c r="D337" s="109"/>
      <c r="E337" s="109"/>
      <c r="F337" s="109"/>
      <c r="G337" s="109"/>
      <c r="H337" s="109"/>
      <c r="I337" s="109"/>
      <c r="J337" s="75">
        <f t="shared" si="46"/>
        <v>0</v>
      </c>
      <c r="K337" s="75">
        <f t="shared" si="47"/>
        <v>0</v>
      </c>
      <c r="L337" s="109"/>
      <c r="M337" s="110"/>
    </row>
    <row r="338" spans="1:13" ht="13.5" x14ac:dyDescent="0.25">
      <c r="A338" s="766">
        <f t="shared" si="44"/>
        <v>0</v>
      </c>
      <c r="B338" s="944"/>
      <c r="C338" s="391"/>
      <c r="D338" s="109"/>
      <c r="E338" s="109"/>
      <c r="F338" s="109"/>
      <c r="G338" s="109"/>
      <c r="H338" s="109"/>
      <c r="I338" s="109"/>
      <c r="J338" s="75">
        <f t="shared" si="46"/>
        <v>0</v>
      </c>
      <c r="K338" s="75">
        <f t="shared" si="47"/>
        <v>0</v>
      </c>
      <c r="L338" s="109"/>
      <c r="M338" s="110"/>
    </row>
    <row r="339" spans="1:13" ht="13.5" x14ac:dyDescent="0.25">
      <c r="A339" s="766">
        <f t="shared" si="44"/>
        <v>0</v>
      </c>
      <c r="B339" s="944"/>
      <c r="C339" s="391"/>
      <c r="D339" s="109"/>
      <c r="E339" s="109"/>
      <c r="F339" s="109"/>
      <c r="G339" s="109"/>
      <c r="H339" s="109"/>
      <c r="I339" s="109"/>
      <c r="J339" s="75">
        <f t="shared" si="46"/>
        <v>0</v>
      </c>
      <c r="K339" s="75">
        <f t="shared" si="47"/>
        <v>0</v>
      </c>
      <c r="L339" s="109"/>
      <c r="M339" s="110"/>
    </row>
    <row r="340" spans="1:13" ht="13.5" x14ac:dyDescent="0.25">
      <c r="A340" s="767" t="s">
        <v>645</v>
      </c>
      <c r="B340" s="944">
        <v>2</v>
      </c>
      <c r="C340" s="305">
        <f>C175+C186+C197+C208+C219+C230+C241+C252+C263+C285+C296+C307+C318+C329+C274</f>
        <v>2288560000</v>
      </c>
      <c r="D340" s="151">
        <f t="shared" ref="D340:I340" si="51">D175+D186+D197+D208+D219+D230+D241+D252+D263+D285+D296+D307+D318+D329+D274</f>
        <v>0</v>
      </c>
      <c r="E340" s="151">
        <f t="shared" si="51"/>
        <v>0</v>
      </c>
      <c r="F340" s="151">
        <f t="shared" si="51"/>
        <v>0</v>
      </c>
      <c r="G340" s="151">
        <f t="shared" si="51"/>
        <v>0</v>
      </c>
      <c r="H340" s="151">
        <f t="shared" si="51"/>
        <v>0</v>
      </c>
      <c r="I340" s="151">
        <f t="shared" si="51"/>
        <v>33410000</v>
      </c>
      <c r="J340" s="489">
        <f>SUM(E340:I340)</f>
        <v>33410000</v>
      </c>
      <c r="K340" s="489">
        <f>IF(D340=0,C340+J340,D340+J340)</f>
        <v>2321970000</v>
      </c>
      <c r="L340" s="151">
        <f>L175+L186+L197+L208+L219+L230+L241+L252+L263+L285+L296+L307+L318+L329+L274</f>
        <v>2358123014.6993685</v>
      </c>
      <c r="M340" s="152">
        <f>M175+M186+M197+M208+M219+M230+M241+M252+M263+M285+M296+M307+M318+M329+M274</f>
        <v>2476909030.6937881</v>
      </c>
    </row>
    <row r="341" spans="1:13" ht="4.5" customHeight="1" x14ac:dyDescent="0.25">
      <c r="A341" s="136"/>
      <c r="B341" s="944"/>
      <c r="C341" s="485"/>
      <c r="D341" s="141"/>
      <c r="E341" s="141"/>
      <c r="F341" s="141"/>
      <c r="G341" s="141"/>
      <c r="H341" s="141"/>
      <c r="I341" s="141"/>
      <c r="J341" s="141"/>
      <c r="K341" s="141"/>
      <c r="L341" s="141"/>
      <c r="M341" s="142"/>
    </row>
    <row r="342" spans="1:13" ht="13.5" x14ac:dyDescent="0.25">
      <c r="A342" s="155" t="str">
        <f>result</f>
        <v>Surplus/ (Deficit) for the year</v>
      </c>
      <c r="B342" s="949">
        <v>2</v>
      </c>
      <c r="C342" s="703">
        <f t="shared" ref="C342:I342" si="52">C172-C340</f>
        <v>582191000</v>
      </c>
      <c r="D342" s="705">
        <f t="shared" si="52"/>
        <v>0</v>
      </c>
      <c r="E342" s="117">
        <f t="shared" si="52"/>
        <v>0</v>
      </c>
      <c r="F342" s="117">
        <f t="shared" si="52"/>
        <v>0</v>
      </c>
      <c r="G342" s="117">
        <f t="shared" si="52"/>
        <v>0</v>
      </c>
      <c r="H342" s="117">
        <f t="shared" si="52"/>
        <v>42808657</v>
      </c>
      <c r="I342" s="117">
        <f t="shared" si="52"/>
        <v>2500343</v>
      </c>
      <c r="J342" s="782">
        <f>SUM(E342:I342)</f>
        <v>45309000</v>
      </c>
      <c r="K342" s="782">
        <f>IF(D342=0,C342+J342,D342+J342)</f>
        <v>627500000</v>
      </c>
      <c r="L342" s="117">
        <f>L172-L340</f>
        <v>595757941.30201149</v>
      </c>
      <c r="M342" s="118">
        <f>M172-M340</f>
        <v>712040876.23443317</v>
      </c>
    </row>
    <row r="343" spans="1:13" ht="13.5" x14ac:dyDescent="0.25">
      <c r="A343" s="219" t="str">
        <f>head27a</f>
        <v>References</v>
      </c>
      <c r="B343" s="768"/>
      <c r="C343" s="769"/>
      <c r="D343" s="770"/>
      <c r="E343" s="770"/>
      <c r="F343" s="770"/>
      <c r="G343" s="770"/>
      <c r="H343" s="770"/>
      <c r="I343" s="770"/>
      <c r="J343" s="770"/>
      <c r="K343" s="770"/>
    </row>
    <row r="344" spans="1:13" ht="13.5" x14ac:dyDescent="0.25">
      <c r="A344" s="652" t="s">
        <v>1148</v>
      </c>
      <c r="B344" s="768"/>
      <c r="C344" s="771"/>
      <c r="D344" s="771"/>
      <c r="E344" s="772"/>
      <c r="F344" s="772"/>
      <c r="G344" s="772"/>
      <c r="H344" s="772"/>
      <c r="I344" s="772"/>
      <c r="J344" s="772"/>
      <c r="K344" s="772"/>
    </row>
    <row r="345" spans="1:13" ht="13.5" x14ac:dyDescent="0.25">
      <c r="A345" s="646" t="s">
        <v>1149</v>
      </c>
      <c r="B345" s="768"/>
      <c r="C345" s="771"/>
      <c r="D345" s="771"/>
      <c r="E345" s="772"/>
      <c r="F345" s="772"/>
      <c r="G345" s="772"/>
      <c r="H345" s="772"/>
      <c r="I345" s="772"/>
      <c r="J345" s="772"/>
      <c r="K345" s="772"/>
    </row>
    <row r="346" spans="1:13" ht="13.5" x14ac:dyDescent="0.25">
      <c r="A346" s="646" t="s">
        <v>1150</v>
      </c>
      <c r="B346" s="773"/>
      <c r="C346" s="774"/>
      <c r="D346" s="774"/>
      <c r="E346" s="775"/>
      <c r="F346" s="775"/>
      <c r="G346" s="775"/>
      <c r="H346" s="775"/>
      <c r="I346" s="775"/>
      <c r="J346" s="775"/>
      <c r="K346" s="775"/>
    </row>
  </sheetData>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2"/>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H52" sqref="H52"/>
    </sheetView>
  </sheetViews>
  <sheetFormatPr defaultRowHeight="12.75" x14ac:dyDescent="0.25"/>
  <cols>
    <col min="1" max="1" width="32.7109375" style="5" customWidth="1"/>
    <col min="2" max="2" width="3.140625" style="58" customWidth="1"/>
    <col min="3" max="14" width="8.710937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x14ac:dyDescent="0.25">
      <c r="A1" s="57" t="str">
        <f>muni&amp;" - "&amp;_ADJ4&amp;" - "&amp;Date</f>
        <v>LIM354 Polokwane - Table B4 Adjustments Budget Financial Performance (revenue and expenditure) - 25 February 2016</v>
      </c>
      <c r="B1" s="5"/>
      <c r="C1" s="58"/>
    </row>
    <row r="2" spans="1:22" ht="38.25" x14ac:dyDescent="0.25">
      <c r="A2" s="1318" t="str">
        <f>desc</f>
        <v>Description</v>
      </c>
      <c r="B2" s="1318" t="str">
        <f>head27</f>
        <v>Ref</v>
      </c>
      <c r="C2" s="1315" t="str">
        <f>Head2</f>
        <v>Budget Year 2015/16</v>
      </c>
      <c r="D2" s="1316"/>
      <c r="E2" s="1316"/>
      <c r="F2" s="1316"/>
      <c r="G2" s="1316"/>
      <c r="H2" s="1316"/>
      <c r="I2" s="1316"/>
      <c r="J2" s="1316"/>
      <c r="K2" s="1316"/>
      <c r="L2" s="103" t="str">
        <f>Head10</f>
        <v>Budget Year +1 2016/17</v>
      </c>
      <c r="M2" s="61" t="str">
        <f>Head11</f>
        <v>Budget Year +2 2017/18</v>
      </c>
    </row>
    <row r="3" spans="1:22" ht="25.5" x14ac:dyDescent="0.25">
      <c r="A3" s="1319"/>
      <c r="B3" s="13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319"/>
      <c r="B4" s="1319"/>
      <c r="C4" s="65"/>
      <c r="D4" s="15">
        <v>3</v>
      </c>
      <c r="E4" s="15">
        <v>4</v>
      </c>
      <c r="F4" s="15">
        <v>5</v>
      </c>
      <c r="G4" s="15">
        <v>6</v>
      </c>
      <c r="H4" s="15">
        <v>7</v>
      </c>
      <c r="I4" s="15">
        <v>8</v>
      </c>
      <c r="J4" s="15">
        <v>9</v>
      </c>
      <c r="K4" s="15">
        <v>10</v>
      </c>
      <c r="L4" s="15"/>
      <c r="M4" s="17"/>
    </row>
    <row r="5" spans="1:22" x14ac:dyDescent="0.25">
      <c r="A5" s="18" t="s">
        <v>641</v>
      </c>
      <c r="B5" s="124">
        <v>1</v>
      </c>
      <c r="C5" s="125" t="s">
        <v>581</v>
      </c>
      <c r="D5" s="20" t="s">
        <v>582</v>
      </c>
      <c r="E5" s="20" t="s">
        <v>583</v>
      </c>
      <c r="F5" s="21" t="s">
        <v>584</v>
      </c>
      <c r="G5" s="21" t="s">
        <v>585</v>
      </c>
      <c r="H5" s="21" t="s">
        <v>586</v>
      </c>
      <c r="I5" s="22" t="s">
        <v>587</v>
      </c>
      <c r="J5" s="22" t="s">
        <v>588</v>
      </c>
      <c r="K5" s="22" t="s">
        <v>589</v>
      </c>
      <c r="L5" s="22"/>
      <c r="M5" s="24"/>
    </row>
    <row r="6" spans="1:22" ht="12.75" customHeight="1" x14ac:dyDescent="0.25">
      <c r="A6" s="126" t="s">
        <v>682</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591</v>
      </c>
      <c r="B7" s="73">
        <v>2</v>
      </c>
      <c r="C7" s="131">
        <f>'SB1'!C10</f>
        <v>332477244</v>
      </c>
      <c r="D7" s="131">
        <f>'SB1'!D10</f>
        <v>0</v>
      </c>
      <c r="E7" s="131">
        <f>'SB1'!E10</f>
        <v>0</v>
      </c>
      <c r="F7" s="131">
        <f>'SB1'!F10</f>
        <v>0</v>
      </c>
      <c r="G7" s="131">
        <f>'SB1'!G10</f>
        <v>0</v>
      </c>
      <c r="H7" s="131">
        <f>'SB1'!H10</f>
        <v>0</v>
      </c>
      <c r="I7" s="131">
        <f>'SB1'!I10</f>
        <v>-18477000</v>
      </c>
      <c r="J7" s="172">
        <f t="shared" ref="J7:J23" si="0">SUM(E7:I7)</f>
        <v>-18477000</v>
      </c>
      <c r="K7" s="172">
        <f t="shared" ref="K7:K23" si="1">IF(D7=0,C7+J7,D7+J7)</f>
        <v>314000244</v>
      </c>
      <c r="L7" s="131">
        <f>'SB1'!L10</f>
        <v>362400195.96000004</v>
      </c>
      <c r="M7" s="133">
        <f>'SB1'!M10</f>
        <v>393204212.61660004</v>
      </c>
      <c r="N7" s="128"/>
      <c r="O7" s="128"/>
      <c r="P7" s="128"/>
      <c r="Q7" s="128"/>
      <c r="R7" s="128"/>
      <c r="S7" s="128"/>
      <c r="T7" s="128"/>
      <c r="U7" s="128"/>
      <c r="V7" s="128"/>
    </row>
    <row r="8" spans="1:22" ht="12.75" customHeight="1" x14ac:dyDescent="0.25">
      <c r="A8" s="129" t="s">
        <v>683</v>
      </c>
      <c r="B8" s="73"/>
      <c r="C8" s="130"/>
      <c r="D8" s="130"/>
      <c r="E8" s="130"/>
      <c r="F8" s="130"/>
      <c r="G8" s="130"/>
      <c r="H8" s="130"/>
      <c r="I8" s="130"/>
      <c r="J8" s="75">
        <f t="shared" si="0"/>
        <v>0</v>
      </c>
      <c r="K8" s="75">
        <f t="shared" si="1"/>
        <v>0</v>
      </c>
      <c r="L8" s="130"/>
      <c r="M8" s="110"/>
      <c r="N8" s="128"/>
      <c r="O8" s="128"/>
      <c r="P8" s="128"/>
      <c r="Q8" s="128"/>
      <c r="R8" s="128"/>
      <c r="S8" s="128"/>
      <c r="T8" s="128"/>
      <c r="U8" s="128"/>
      <c r="V8" s="128"/>
    </row>
    <row r="9" spans="1:22" ht="12.75" customHeight="1" x14ac:dyDescent="0.25">
      <c r="A9" s="129" t="s">
        <v>684</v>
      </c>
      <c r="B9" s="73">
        <v>2</v>
      </c>
      <c r="C9" s="131">
        <f>'SB1'!C15</f>
        <v>793523341.99599993</v>
      </c>
      <c r="D9" s="131">
        <f>'SB1'!D15</f>
        <v>0</v>
      </c>
      <c r="E9" s="131">
        <f>'SB1'!E15</f>
        <v>0</v>
      </c>
      <c r="F9" s="131">
        <f>'SB1'!F15</f>
        <v>0</v>
      </c>
      <c r="G9" s="131">
        <f>'SB1'!G15</f>
        <v>0</v>
      </c>
      <c r="H9" s="131">
        <f>'SB1'!H15</f>
        <v>0</v>
      </c>
      <c r="I9" s="131">
        <f>'SB1'!I15</f>
        <v>0</v>
      </c>
      <c r="J9" s="172">
        <f t="shared" si="0"/>
        <v>0</v>
      </c>
      <c r="K9" s="172">
        <f t="shared" si="1"/>
        <v>793523341.99599993</v>
      </c>
      <c r="L9" s="131">
        <f>'SB1'!L15</f>
        <v>896681372.02547979</v>
      </c>
      <c r="M9" s="133">
        <f>'SB1'!M15</f>
        <v>1017733356.1389196</v>
      </c>
      <c r="N9" s="128"/>
      <c r="O9" s="128"/>
      <c r="P9" s="128"/>
      <c r="Q9" s="128"/>
      <c r="R9" s="128"/>
      <c r="S9" s="128"/>
      <c r="T9" s="128"/>
      <c r="U9" s="128"/>
      <c r="V9" s="128"/>
    </row>
    <row r="10" spans="1:22" ht="12.75" customHeight="1" x14ac:dyDescent="0.25">
      <c r="A10" s="129" t="s">
        <v>685</v>
      </c>
      <c r="B10" s="73">
        <v>2</v>
      </c>
      <c r="C10" s="131">
        <f>'SB1'!C20</f>
        <v>258995033.01000002</v>
      </c>
      <c r="D10" s="131">
        <f>'SB1'!D20</f>
        <v>0</v>
      </c>
      <c r="E10" s="131">
        <f>'SB1'!E20</f>
        <v>0</v>
      </c>
      <c r="F10" s="131">
        <f>'SB1'!F20</f>
        <v>0</v>
      </c>
      <c r="G10" s="131">
        <f>'SB1'!G20</f>
        <v>0</v>
      </c>
      <c r="H10" s="131">
        <f>'SB1'!H20</f>
        <v>0</v>
      </c>
      <c r="I10" s="131">
        <f>'SB1'!I20</f>
        <v>0</v>
      </c>
      <c r="J10" s="172">
        <f t="shared" si="0"/>
        <v>0</v>
      </c>
      <c r="K10" s="172">
        <f t="shared" si="1"/>
        <v>258995033.01000002</v>
      </c>
      <c r="L10" s="131">
        <f>'SB1'!L20</f>
        <v>282304582.99090004</v>
      </c>
      <c r="M10" s="133">
        <f>'SB1'!M20</f>
        <v>306300471.72012651</v>
      </c>
      <c r="N10" s="128"/>
      <c r="O10" s="128"/>
      <c r="P10" s="128"/>
      <c r="Q10" s="128"/>
      <c r="R10" s="128"/>
      <c r="S10" s="128"/>
      <c r="T10" s="128"/>
      <c r="U10" s="128"/>
      <c r="V10" s="128"/>
    </row>
    <row r="11" spans="1:22" ht="12.75" customHeight="1" x14ac:dyDescent="0.25">
      <c r="A11" s="129" t="s">
        <v>686</v>
      </c>
      <c r="B11" s="73">
        <v>2</v>
      </c>
      <c r="C11" s="131">
        <f>'SB1'!C25</f>
        <v>55325708</v>
      </c>
      <c r="D11" s="131">
        <f>'SB1'!D25</f>
        <v>0</v>
      </c>
      <c r="E11" s="131">
        <f>'SB1'!E25</f>
        <v>0</v>
      </c>
      <c r="F11" s="131">
        <f>'SB1'!F25</f>
        <v>0</v>
      </c>
      <c r="G11" s="131">
        <f>'SB1'!G25</f>
        <v>0</v>
      </c>
      <c r="H11" s="131">
        <f>'SB1'!H25</f>
        <v>0</v>
      </c>
      <c r="I11" s="131">
        <f>'SB1'!I25</f>
        <v>0</v>
      </c>
      <c r="J11" s="172">
        <f t="shared" si="0"/>
        <v>0</v>
      </c>
      <c r="K11" s="172">
        <f t="shared" si="1"/>
        <v>55325708</v>
      </c>
      <c r="L11" s="131">
        <f>'SB1'!L25</f>
        <v>60305018.000000015</v>
      </c>
      <c r="M11" s="133">
        <f>'SB1'!M25</f>
        <v>65430944.530000016</v>
      </c>
      <c r="N11" s="128"/>
      <c r="O11" s="128"/>
      <c r="P11" s="128"/>
      <c r="Q11" s="128"/>
      <c r="R11" s="128"/>
      <c r="S11" s="128"/>
      <c r="T11" s="128"/>
      <c r="U11" s="128"/>
      <c r="V11" s="128"/>
    </row>
    <row r="12" spans="1:22" ht="12.75" customHeight="1" x14ac:dyDescent="0.25">
      <c r="A12" s="129" t="s">
        <v>1302</v>
      </c>
      <c r="B12" s="73">
        <v>2</v>
      </c>
      <c r="C12" s="131">
        <f>'SB1'!C31</f>
        <v>63261938.000000007</v>
      </c>
      <c r="D12" s="132">
        <f>'SB1'!D31</f>
        <v>0</v>
      </c>
      <c r="E12" s="132">
        <f>'SB1'!E31</f>
        <v>0</v>
      </c>
      <c r="F12" s="132">
        <f>'SB1'!F31</f>
        <v>0</v>
      </c>
      <c r="G12" s="132">
        <f>'SB1'!G31</f>
        <v>0</v>
      </c>
      <c r="H12" s="132">
        <f>'SB1'!H31</f>
        <v>0</v>
      </c>
      <c r="I12" s="132">
        <f>'SB1'!I31</f>
        <v>0</v>
      </c>
      <c r="J12" s="75">
        <f t="shared" si="0"/>
        <v>0</v>
      </c>
      <c r="K12" s="75">
        <f t="shared" si="1"/>
        <v>63261938.000000007</v>
      </c>
      <c r="L12" s="132">
        <f>'SB1'!L31</f>
        <v>68955512.000000015</v>
      </c>
      <c r="M12" s="133">
        <f>'SB1'!M31</f>
        <v>74816730.520000011</v>
      </c>
      <c r="N12" s="128"/>
      <c r="O12" s="128"/>
      <c r="P12" s="128"/>
      <c r="Q12" s="128"/>
      <c r="R12" s="128"/>
      <c r="S12" s="128"/>
      <c r="T12" s="128"/>
      <c r="U12" s="128"/>
      <c r="V12" s="128"/>
    </row>
    <row r="13" spans="1:22" ht="12.75" customHeight="1" x14ac:dyDescent="0.25">
      <c r="A13" s="129" t="s">
        <v>687</v>
      </c>
      <c r="B13" s="73"/>
      <c r="C13" s="130">
        <v>0</v>
      </c>
      <c r="D13" s="109"/>
      <c r="E13" s="109"/>
      <c r="F13" s="109"/>
      <c r="G13" s="109"/>
      <c r="H13" s="109"/>
      <c r="I13" s="109"/>
      <c r="J13" s="75">
        <f t="shared" si="0"/>
        <v>0</v>
      </c>
      <c r="K13" s="75">
        <f t="shared" si="1"/>
        <v>0</v>
      </c>
      <c r="L13" s="109">
        <v>0</v>
      </c>
      <c r="M13" s="110">
        <v>0</v>
      </c>
      <c r="N13" s="128"/>
      <c r="O13" s="128"/>
      <c r="P13" s="128"/>
      <c r="Q13" s="128"/>
      <c r="R13" s="128"/>
      <c r="S13" s="128"/>
      <c r="T13" s="128"/>
      <c r="U13" s="134"/>
      <c r="V13" s="128"/>
    </row>
    <row r="14" spans="1:22" ht="12.75" customHeight="1" x14ac:dyDescent="0.25">
      <c r="A14" s="129" t="s">
        <v>688</v>
      </c>
      <c r="B14" s="73"/>
      <c r="C14" s="130">
        <v>21220659</v>
      </c>
      <c r="D14" s="109"/>
      <c r="E14" s="109"/>
      <c r="F14" s="109"/>
      <c r="G14" s="109"/>
      <c r="H14" s="109"/>
      <c r="I14" s="109">
        <v>-2000000</v>
      </c>
      <c r="J14" s="75">
        <f t="shared" si="0"/>
        <v>-2000000</v>
      </c>
      <c r="K14" s="75">
        <f t="shared" si="1"/>
        <v>19220659</v>
      </c>
      <c r="L14" s="109">
        <v>22599996.300000001</v>
      </c>
      <c r="M14" s="110">
        <v>24023805.266899999</v>
      </c>
      <c r="N14" s="128"/>
      <c r="O14" s="128"/>
      <c r="P14" s="128"/>
      <c r="Q14" s="128"/>
      <c r="R14" s="128"/>
      <c r="S14" s="128"/>
      <c r="T14" s="128"/>
      <c r="U14" s="128"/>
      <c r="V14" s="128"/>
    </row>
    <row r="15" spans="1:22" ht="12.75" customHeight="1" x14ac:dyDescent="0.25">
      <c r="A15" s="129" t="s">
        <v>689</v>
      </c>
      <c r="B15" s="73"/>
      <c r="C15" s="130">
        <v>31000000</v>
      </c>
      <c r="D15" s="109"/>
      <c r="E15" s="109"/>
      <c r="F15" s="109"/>
      <c r="G15" s="109"/>
      <c r="H15" s="109"/>
      <c r="I15" s="109">
        <v>6000000</v>
      </c>
      <c r="J15" s="75">
        <f t="shared" si="0"/>
        <v>6000000</v>
      </c>
      <c r="K15" s="75">
        <f t="shared" si="1"/>
        <v>37000000</v>
      </c>
      <c r="L15" s="109">
        <v>33015000</v>
      </c>
      <c r="M15" s="110">
        <v>35094945</v>
      </c>
      <c r="N15" s="128"/>
      <c r="O15" s="128"/>
      <c r="P15" s="128"/>
      <c r="Q15" s="128"/>
      <c r="R15" s="128"/>
      <c r="S15" s="128"/>
      <c r="T15" s="128"/>
      <c r="U15" s="128"/>
      <c r="V15" s="128"/>
    </row>
    <row r="16" spans="1:22" ht="12.75" customHeight="1" x14ac:dyDescent="0.25">
      <c r="A16" s="129" t="s">
        <v>690</v>
      </c>
      <c r="B16" s="73"/>
      <c r="C16" s="130">
        <v>31800000</v>
      </c>
      <c r="D16" s="109"/>
      <c r="E16" s="109"/>
      <c r="F16" s="109"/>
      <c r="G16" s="109"/>
      <c r="H16" s="109"/>
      <c r="I16" s="109">
        <v>-6000000</v>
      </c>
      <c r="J16" s="75">
        <f t="shared" si="0"/>
        <v>-6000000</v>
      </c>
      <c r="K16" s="75">
        <f t="shared" si="1"/>
        <v>25800000</v>
      </c>
      <c r="L16" s="109">
        <v>33867000</v>
      </c>
      <c r="M16" s="110">
        <v>36000621</v>
      </c>
      <c r="N16" s="128"/>
      <c r="O16" s="128"/>
      <c r="P16" s="128"/>
      <c r="Q16" s="128"/>
      <c r="R16" s="128"/>
      <c r="S16" s="128"/>
      <c r="T16" s="128"/>
      <c r="U16" s="128"/>
      <c r="V16" s="128"/>
    </row>
    <row r="17" spans="1:22" ht="12.75" customHeight="1" x14ac:dyDescent="0.25">
      <c r="A17" s="129" t="s">
        <v>691</v>
      </c>
      <c r="B17" s="73"/>
      <c r="C17" s="130">
        <v>0</v>
      </c>
      <c r="D17" s="109"/>
      <c r="E17" s="109"/>
      <c r="F17" s="109"/>
      <c r="G17" s="109"/>
      <c r="H17" s="109"/>
      <c r="I17" s="109"/>
      <c r="J17" s="75">
        <f t="shared" si="0"/>
        <v>0</v>
      </c>
      <c r="K17" s="75">
        <f t="shared" si="1"/>
        <v>0</v>
      </c>
      <c r="L17" s="109">
        <v>0</v>
      </c>
      <c r="M17" s="110">
        <v>0</v>
      </c>
      <c r="N17" s="128"/>
      <c r="O17" s="128"/>
      <c r="P17" s="128"/>
      <c r="Q17" s="128"/>
      <c r="R17" s="128"/>
      <c r="S17" s="128"/>
      <c r="T17" s="128"/>
      <c r="U17" s="128"/>
      <c r="V17" s="128"/>
    </row>
    <row r="18" spans="1:22" ht="12.75" customHeight="1" x14ac:dyDescent="0.25">
      <c r="A18" s="129" t="s">
        <v>692</v>
      </c>
      <c r="B18" s="73"/>
      <c r="C18" s="130">
        <v>13725784</v>
      </c>
      <c r="D18" s="109"/>
      <c r="E18" s="109"/>
      <c r="F18" s="109"/>
      <c r="G18" s="109"/>
      <c r="H18" s="109"/>
      <c r="I18" s="109"/>
      <c r="J18" s="75">
        <f t="shared" si="0"/>
        <v>0</v>
      </c>
      <c r="K18" s="75">
        <f t="shared" si="1"/>
        <v>13725784</v>
      </c>
      <c r="L18" s="109">
        <v>14618199.674999999</v>
      </c>
      <c r="M18" s="110">
        <v>15539449.480524998</v>
      </c>
      <c r="N18" s="128"/>
      <c r="O18" s="128"/>
      <c r="P18" s="128"/>
      <c r="Q18" s="128"/>
      <c r="R18" s="128"/>
      <c r="S18" s="128"/>
      <c r="T18" s="128"/>
      <c r="U18" s="128"/>
      <c r="V18" s="128"/>
    </row>
    <row r="19" spans="1:22" ht="12.75" customHeight="1" x14ac:dyDescent="0.25">
      <c r="A19" s="129" t="s">
        <v>693</v>
      </c>
      <c r="B19" s="73"/>
      <c r="C19" s="130">
        <v>9569079</v>
      </c>
      <c r="D19" s="109"/>
      <c r="E19" s="109"/>
      <c r="F19" s="109"/>
      <c r="G19" s="109"/>
      <c r="H19" s="109"/>
      <c r="I19" s="109">
        <v>1000</v>
      </c>
      <c r="J19" s="75">
        <f t="shared" si="0"/>
        <v>1000</v>
      </c>
      <c r="K19" s="75">
        <f t="shared" si="1"/>
        <v>9570079</v>
      </c>
      <c r="L19" s="109">
        <v>10191065.760000002</v>
      </c>
      <c r="M19" s="110">
        <v>10833102.87988</v>
      </c>
      <c r="N19" s="128"/>
      <c r="O19" s="128"/>
      <c r="P19" s="128"/>
      <c r="Q19" s="128"/>
      <c r="R19" s="128"/>
      <c r="S19" s="128"/>
      <c r="T19" s="128"/>
      <c r="U19" s="128"/>
      <c r="V19" s="128"/>
    </row>
    <row r="20" spans="1:22" ht="12.75" customHeight="1" x14ac:dyDescent="0.25">
      <c r="A20" s="30" t="s">
        <v>694</v>
      </c>
      <c r="B20" s="73"/>
      <c r="C20" s="130">
        <v>16595572</v>
      </c>
      <c r="D20" s="109"/>
      <c r="E20" s="109"/>
      <c r="F20" s="109"/>
      <c r="G20" s="109"/>
      <c r="H20" s="109"/>
      <c r="I20" s="109"/>
      <c r="J20" s="75">
        <f t="shared" si="0"/>
        <v>0</v>
      </c>
      <c r="K20" s="75">
        <f t="shared" si="1"/>
        <v>16595572</v>
      </c>
      <c r="L20" s="109">
        <v>17674284</v>
      </c>
      <c r="M20" s="110">
        <v>18787763.891999997</v>
      </c>
      <c r="N20" s="128"/>
      <c r="O20" s="128"/>
      <c r="P20" s="128"/>
      <c r="Q20" s="128"/>
      <c r="R20" s="128"/>
      <c r="S20" s="128"/>
      <c r="T20" s="128"/>
      <c r="U20" s="128"/>
      <c r="V20" s="128"/>
    </row>
    <row r="21" spans="1:22" ht="12.75" customHeight="1" x14ac:dyDescent="0.25">
      <c r="A21" s="30" t="s">
        <v>1288</v>
      </c>
      <c r="B21" s="73"/>
      <c r="C21" s="130">
        <v>678860000</v>
      </c>
      <c r="D21" s="109"/>
      <c r="E21" s="109"/>
      <c r="F21" s="109"/>
      <c r="G21" s="109"/>
      <c r="H21" s="109">
        <v>0</v>
      </c>
      <c r="I21" s="109">
        <v>0</v>
      </c>
      <c r="J21" s="75">
        <f t="shared" si="0"/>
        <v>0</v>
      </c>
      <c r="K21" s="75">
        <f t="shared" si="1"/>
        <v>678860000</v>
      </c>
      <c r="L21" s="109">
        <v>662093004.60000002</v>
      </c>
      <c r="M21" s="110">
        <v>685589059.3398</v>
      </c>
      <c r="N21" s="128"/>
      <c r="O21" s="128"/>
      <c r="P21" s="128"/>
      <c r="Q21" s="128"/>
      <c r="R21" s="128"/>
      <c r="S21" s="128"/>
      <c r="T21" s="128"/>
      <c r="U21" s="128"/>
      <c r="V21" s="128"/>
    </row>
    <row r="22" spans="1:22" ht="12.75" customHeight="1" x14ac:dyDescent="0.25">
      <c r="A22" s="30" t="s">
        <v>695</v>
      </c>
      <c r="B22" s="73">
        <v>2</v>
      </c>
      <c r="C22" s="131">
        <f>'SB1'!C46</f>
        <v>67908641</v>
      </c>
      <c r="D22" s="132">
        <f>'SB1'!D46</f>
        <v>0</v>
      </c>
      <c r="E22" s="132">
        <f>'SB1'!E46</f>
        <v>0</v>
      </c>
      <c r="F22" s="132">
        <f>'SB1'!F46</f>
        <v>0</v>
      </c>
      <c r="G22" s="132">
        <f>'SB1'!G46</f>
        <v>0</v>
      </c>
      <c r="H22" s="132">
        <f>'SB1'!H46</f>
        <v>0</v>
      </c>
      <c r="I22" s="132">
        <f>'SB1'!I46</f>
        <v>94628962</v>
      </c>
      <c r="J22" s="132">
        <f t="shared" si="0"/>
        <v>94628962</v>
      </c>
      <c r="K22" s="132">
        <f t="shared" si="1"/>
        <v>162537603</v>
      </c>
      <c r="L22" s="132">
        <f>'SB1'!L46</f>
        <v>31814683.289999999</v>
      </c>
      <c r="M22" s="133">
        <f>'SB1'!M46</f>
        <v>33798141.485270001</v>
      </c>
      <c r="N22" s="128"/>
      <c r="O22" s="128"/>
      <c r="P22" s="128"/>
      <c r="Q22" s="128"/>
      <c r="R22" s="128"/>
      <c r="S22" s="128"/>
      <c r="T22" s="128"/>
      <c r="U22" s="128"/>
      <c r="V22" s="128"/>
    </row>
    <row r="23" spans="1:22" ht="12.75" customHeight="1" x14ac:dyDescent="0.25">
      <c r="A23" s="129" t="s">
        <v>696</v>
      </c>
      <c r="B23" s="73"/>
      <c r="C23" s="130">
        <v>30200000</v>
      </c>
      <c r="D23" s="109"/>
      <c r="E23" s="109"/>
      <c r="F23" s="109"/>
      <c r="G23" s="109"/>
      <c r="H23" s="109"/>
      <c r="I23" s="109"/>
      <c r="J23" s="75">
        <f t="shared" si="0"/>
        <v>0</v>
      </c>
      <c r="K23" s="75">
        <f t="shared" si="1"/>
        <v>30200000</v>
      </c>
      <c r="L23" s="109">
        <v>32163000</v>
      </c>
      <c r="M23" s="110">
        <v>34189269</v>
      </c>
      <c r="N23" s="128"/>
      <c r="O23" s="128"/>
      <c r="P23" s="128"/>
      <c r="Q23" s="128"/>
      <c r="R23" s="128"/>
      <c r="S23" s="128"/>
      <c r="T23" s="128"/>
      <c r="U23" s="128"/>
      <c r="V23" s="128"/>
    </row>
    <row r="24" spans="1:22" ht="24" customHeight="1" x14ac:dyDescent="0.25">
      <c r="A24" s="650" t="s">
        <v>595</v>
      </c>
      <c r="B24" s="651"/>
      <c r="C24" s="647">
        <f t="shared" ref="C24:M24" si="2">SUM(C7:C23)</f>
        <v>2404463000.0059996</v>
      </c>
      <c r="D24" s="648">
        <f t="shared" si="2"/>
        <v>0</v>
      </c>
      <c r="E24" s="648">
        <f t="shared" si="2"/>
        <v>0</v>
      </c>
      <c r="F24" s="648">
        <f t="shared" si="2"/>
        <v>0</v>
      </c>
      <c r="G24" s="648">
        <f t="shared" si="2"/>
        <v>0</v>
      </c>
      <c r="H24" s="648">
        <f t="shared" si="2"/>
        <v>0</v>
      </c>
      <c r="I24" s="648">
        <f t="shared" si="2"/>
        <v>74152962</v>
      </c>
      <c r="J24" s="648">
        <f t="shared" si="2"/>
        <v>74152962</v>
      </c>
      <c r="K24" s="648">
        <f t="shared" si="2"/>
        <v>2478615962.0059996</v>
      </c>
      <c r="L24" s="648">
        <f t="shared" si="2"/>
        <v>2528682914.6013799</v>
      </c>
      <c r="M24" s="649">
        <f t="shared" si="2"/>
        <v>2751341872.8700209</v>
      </c>
      <c r="N24" s="128"/>
      <c r="O24" s="128"/>
      <c r="P24" s="128"/>
      <c r="Q24" s="128"/>
      <c r="R24" s="128"/>
      <c r="S24" s="128"/>
      <c r="T24" s="128"/>
      <c r="U24" s="128"/>
      <c r="V24" s="128"/>
    </row>
    <row r="25" spans="1:22" ht="5.0999999999999996" customHeight="1" x14ac:dyDescent="0.25">
      <c r="A25" s="136"/>
      <c r="B25" s="73"/>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126" t="s">
        <v>697</v>
      </c>
      <c r="B26" s="115"/>
      <c r="C26" s="74"/>
      <c r="D26" s="75"/>
      <c r="E26" s="75"/>
      <c r="F26" s="75"/>
      <c r="G26" s="75"/>
      <c r="H26" s="75"/>
      <c r="I26" s="75"/>
      <c r="J26" s="75"/>
      <c r="K26" s="75"/>
      <c r="L26" s="75"/>
      <c r="M26" s="76"/>
      <c r="N26" s="128"/>
      <c r="O26" s="128"/>
      <c r="P26" s="128"/>
      <c r="Q26" s="128"/>
      <c r="R26" s="128"/>
      <c r="S26" s="128"/>
      <c r="T26" s="128"/>
      <c r="U26" s="128"/>
      <c r="V26" s="128"/>
    </row>
    <row r="27" spans="1:22" ht="12.75" customHeight="1" x14ac:dyDescent="0.25">
      <c r="A27" s="30" t="s">
        <v>698</v>
      </c>
      <c r="B27" s="137"/>
      <c r="C27" s="131">
        <f>'SB1'!C64</f>
        <v>571451009</v>
      </c>
      <c r="D27" s="132">
        <f>'SB1'!D64</f>
        <v>0</v>
      </c>
      <c r="E27" s="132">
        <f>'SB1'!E64</f>
        <v>0</v>
      </c>
      <c r="F27" s="132">
        <f>'SB1'!F64</f>
        <v>0</v>
      </c>
      <c r="G27" s="132">
        <f>'SB1'!G64</f>
        <v>0</v>
      </c>
      <c r="H27" s="132">
        <f>'SB1'!H64</f>
        <v>0</v>
      </c>
      <c r="I27" s="132">
        <f>'SB1'!I64</f>
        <v>-20000</v>
      </c>
      <c r="J27" s="132">
        <f t="shared" ref="J27:J37" si="3">SUM(E27:I27)</f>
        <v>-20000</v>
      </c>
      <c r="K27" s="132">
        <f t="shared" ref="K27:K37" si="4">IF(D27=0,C27+J27,D27+J27)</f>
        <v>571431009</v>
      </c>
      <c r="L27" s="132">
        <f>'SB1'!L64</f>
        <v>608585193.01499963</v>
      </c>
      <c r="M27" s="133">
        <f>'SB1'!M64</f>
        <v>646915368.00494802</v>
      </c>
      <c r="N27" s="128"/>
      <c r="O27" s="128"/>
      <c r="P27" s="128"/>
      <c r="Q27" s="128"/>
      <c r="R27" s="128"/>
      <c r="S27" s="128"/>
      <c r="T27" s="128"/>
      <c r="U27" s="128"/>
      <c r="V27" s="128"/>
    </row>
    <row r="28" spans="1:22" ht="12.75" customHeight="1" x14ac:dyDescent="0.25">
      <c r="A28" s="30" t="s">
        <v>597</v>
      </c>
      <c r="B28" s="137"/>
      <c r="C28" s="130">
        <v>25779550</v>
      </c>
      <c r="D28" s="109"/>
      <c r="E28" s="109"/>
      <c r="F28" s="109"/>
      <c r="G28" s="109"/>
      <c r="H28" s="109"/>
      <c r="I28" s="109"/>
      <c r="J28" s="75">
        <f t="shared" si="3"/>
        <v>0</v>
      </c>
      <c r="K28" s="75">
        <f t="shared" si="4"/>
        <v>25779550</v>
      </c>
      <c r="L28" s="109">
        <v>27455220.75</v>
      </c>
      <c r="M28" s="110">
        <v>29184899.657249998</v>
      </c>
      <c r="N28" s="128"/>
      <c r="O28" s="128"/>
      <c r="P28" s="128"/>
      <c r="Q28" s="128"/>
      <c r="R28" s="128"/>
      <c r="S28" s="128"/>
      <c r="T28" s="128"/>
      <c r="U28" s="128"/>
      <c r="V28" s="128"/>
    </row>
    <row r="29" spans="1:22" ht="12.75" customHeight="1" x14ac:dyDescent="0.25">
      <c r="A29" s="30" t="s">
        <v>699</v>
      </c>
      <c r="B29" s="137"/>
      <c r="C29" s="130">
        <v>50000000</v>
      </c>
      <c r="D29" s="109"/>
      <c r="E29" s="109"/>
      <c r="F29" s="109"/>
      <c r="G29" s="109"/>
      <c r="H29" s="109"/>
      <c r="I29" s="109"/>
      <c r="J29" s="75">
        <f t="shared" si="3"/>
        <v>0</v>
      </c>
      <c r="K29" s="75">
        <f t="shared" si="4"/>
        <v>50000000</v>
      </c>
      <c r="L29" s="109">
        <v>53250000</v>
      </c>
      <c r="M29" s="110">
        <v>56604750</v>
      </c>
      <c r="N29" s="128"/>
      <c r="O29" s="128"/>
      <c r="P29" s="128"/>
      <c r="Q29" s="128"/>
      <c r="R29" s="128"/>
      <c r="S29" s="128"/>
      <c r="T29" s="128"/>
      <c r="U29" s="128"/>
      <c r="V29" s="128"/>
    </row>
    <row r="30" spans="1:22" ht="12.75" customHeight="1" x14ac:dyDescent="0.25">
      <c r="A30" s="30" t="s">
        <v>598</v>
      </c>
      <c r="B30" s="137"/>
      <c r="C30" s="131">
        <f>'SB1'!C80</f>
        <v>205000000</v>
      </c>
      <c r="D30" s="132">
        <f>'SB1'!D80</f>
        <v>0</v>
      </c>
      <c r="E30" s="132">
        <f>'SB1'!E80</f>
        <v>0</v>
      </c>
      <c r="F30" s="132">
        <f>'SB1'!F80</f>
        <v>0</v>
      </c>
      <c r="G30" s="132">
        <f>'SB1'!G80</f>
        <v>0</v>
      </c>
      <c r="H30" s="132">
        <f>'SB1'!H80</f>
        <v>0</v>
      </c>
      <c r="I30" s="132">
        <f>'SB1'!I80</f>
        <v>0</v>
      </c>
      <c r="J30" s="132">
        <f t="shared" si="3"/>
        <v>0</v>
      </c>
      <c r="K30" s="132">
        <f t="shared" si="4"/>
        <v>205000000</v>
      </c>
      <c r="L30" s="132">
        <f>'SB1'!L80</f>
        <v>218325000</v>
      </c>
      <c r="M30" s="133">
        <f>'SB1'!M80</f>
        <v>232079475</v>
      </c>
      <c r="N30" s="128"/>
      <c r="O30" s="128"/>
      <c r="P30" s="128"/>
      <c r="Q30" s="128"/>
      <c r="R30" s="128"/>
      <c r="S30" s="128"/>
      <c r="T30" s="128"/>
      <c r="U30" s="128"/>
      <c r="V30" s="128"/>
    </row>
    <row r="31" spans="1:22" ht="12.75" customHeight="1" x14ac:dyDescent="0.25">
      <c r="A31" s="30" t="s">
        <v>599</v>
      </c>
      <c r="B31" s="137"/>
      <c r="C31" s="130">
        <v>37000000</v>
      </c>
      <c r="D31" s="109"/>
      <c r="E31" s="109"/>
      <c r="F31" s="109"/>
      <c r="G31" s="109"/>
      <c r="H31" s="109"/>
      <c r="I31" s="109"/>
      <c r="J31" s="75">
        <f t="shared" si="3"/>
        <v>0</v>
      </c>
      <c r="K31" s="75">
        <f t="shared" si="4"/>
        <v>37000000</v>
      </c>
      <c r="L31" s="109">
        <f>39405000+4284000</f>
        <v>43689000</v>
      </c>
      <c r="M31" s="110">
        <v>41887515</v>
      </c>
      <c r="N31" s="128"/>
      <c r="O31" s="128"/>
      <c r="P31" s="128"/>
      <c r="Q31" s="128"/>
      <c r="R31" s="128"/>
      <c r="S31" s="128"/>
      <c r="T31" s="128"/>
      <c r="U31" s="128"/>
      <c r="V31" s="128"/>
    </row>
    <row r="32" spans="1:22" ht="12.75" customHeight="1" x14ac:dyDescent="0.25">
      <c r="A32" s="30" t="s">
        <v>700</v>
      </c>
      <c r="B32" s="137"/>
      <c r="C32" s="131">
        <f>'SB1'!C85</f>
        <v>767000000</v>
      </c>
      <c r="D32" s="132">
        <f>'SB1'!D85</f>
        <v>0</v>
      </c>
      <c r="E32" s="132">
        <f>'SB1'!E85</f>
        <v>0</v>
      </c>
      <c r="F32" s="132">
        <f>'SB1'!F85</f>
        <v>0</v>
      </c>
      <c r="G32" s="132">
        <f>'SB1'!G85</f>
        <v>0</v>
      </c>
      <c r="H32" s="132">
        <f>'SB1'!H85</f>
        <v>0</v>
      </c>
      <c r="I32" s="132">
        <f>'SB1'!I85</f>
        <v>-11500000</v>
      </c>
      <c r="J32" s="138">
        <f t="shared" si="3"/>
        <v>-11500000</v>
      </c>
      <c r="K32" s="138">
        <f t="shared" si="4"/>
        <v>755500000</v>
      </c>
      <c r="L32" s="132">
        <f>'SB1'!L85</f>
        <v>816855000</v>
      </c>
      <c r="M32" s="133">
        <f>'SB1'!M85</f>
        <v>868316865</v>
      </c>
      <c r="N32" s="128"/>
      <c r="O32" s="128"/>
      <c r="P32" s="128"/>
      <c r="Q32" s="128"/>
      <c r="R32" s="128"/>
      <c r="S32" s="128"/>
      <c r="T32" s="128"/>
      <c r="U32" s="128"/>
      <c r="V32" s="128"/>
    </row>
    <row r="33" spans="1:22" ht="12.75" customHeight="1" x14ac:dyDescent="0.25">
      <c r="A33" s="30" t="s">
        <v>701</v>
      </c>
      <c r="B33" s="137"/>
      <c r="C33" s="130">
        <v>177520393.59999999</v>
      </c>
      <c r="D33" s="109"/>
      <c r="E33" s="109"/>
      <c r="F33" s="109"/>
      <c r="G33" s="109"/>
      <c r="H33" s="109"/>
      <c r="I33" s="109">
        <v>23832162</v>
      </c>
      <c r="J33" s="75">
        <f t="shared" si="3"/>
        <v>23832162</v>
      </c>
      <c r="K33" s="75">
        <f t="shared" si="4"/>
        <v>201352555.59999999</v>
      </c>
      <c r="L33" s="109">
        <v>188637432.43400025</v>
      </c>
      <c r="M33" s="110">
        <v>200521539.71734217</v>
      </c>
      <c r="N33" s="128"/>
      <c r="O33" s="128"/>
      <c r="P33" s="128"/>
      <c r="Q33" s="128"/>
      <c r="R33" s="128"/>
      <c r="S33" s="128"/>
      <c r="T33" s="128"/>
      <c r="U33" s="128"/>
      <c r="V33" s="128"/>
    </row>
    <row r="34" spans="1:22" ht="12.75" customHeight="1" x14ac:dyDescent="0.25">
      <c r="A34" s="30" t="s">
        <v>702</v>
      </c>
      <c r="B34" s="137"/>
      <c r="C34" s="131">
        <f>'SB1'!C124</f>
        <v>87245000</v>
      </c>
      <c r="D34" s="131">
        <f>'SB1'!D124</f>
        <v>0</v>
      </c>
      <c r="E34" s="131">
        <f>'SB1'!E124</f>
        <v>0</v>
      </c>
      <c r="F34" s="131">
        <f>'SB1'!F124</f>
        <v>0</v>
      </c>
      <c r="G34" s="131">
        <f>'SB1'!G124</f>
        <v>0</v>
      </c>
      <c r="H34" s="131">
        <f>'SB1'!H124</f>
        <v>0</v>
      </c>
      <c r="I34" s="131">
        <f>'SB1'!I124</f>
        <v>-1115000</v>
      </c>
      <c r="J34" s="132">
        <f t="shared" si="3"/>
        <v>-1115000</v>
      </c>
      <c r="K34" s="132">
        <f t="shared" si="4"/>
        <v>86130000</v>
      </c>
      <c r="L34" s="132">
        <f>'SB1'!L124</f>
        <v>84161625</v>
      </c>
      <c r="M34" s="133">
        <f>'SB1'!M124</f>
        <v>89463807.375</v>
      </c>
      <c r="N34" s="128"/>
      <c r="O34" s="128"/>
      <c r="P34" s="128"/>
      <c r="Q34" s="128"/>
      <c r="R34" s="128"/>
      <c r="S34" s="128"/>
      <c r="T34" s="128"/>
      <c r="U34" s="128"/>
      <c r="V34" s="128"/>
    </row>
    <row r="35" spans="1:22" ht="12.75" customHeight="1" x14ac:dyDescent="0.25">
      <c r="A35" s="30" t="s">
        <v>703</v>
      </c>
      <c r="B35" s="137"/>
      <c r="C35" s="130">
        <v>6480000</v>
      </c>
      <c r="D35" s="109"/>
      <c r="E35" s="109"/>
      <c r="F35" s="109"/>
      <c r="G35" s="109"/>
      <c r="H35" s="109"/>
      <c r="I35" s="109">
        <v>10700000</v>
      </c>
      <c r="J35" s="75">
        <f t="shared" si="3"/>
        <v>10700000</v>
      </c>
      <c r="K35" s="75">
        <f t="shared" si="4"/>
        <v>17180000</v>
      </c>
      <c r="L35" s="109">
        <v>6901200</v>
      </c>
      <c r="M35" s="110">
        <v>7335975.5999999996</v>
      </c>
      <c r="N35" s="128"/>
      <c r="O35" s="128"/>
      <c r="P35" s="128"/>
      <c r="Q35" s="128"/>
      <c r="R35" s="128"/>
      <c r="S35" s="128"/>
      <c r="T35" s="128"/>
      <c r="U35" s="128"/>
      <c r="V35" s="128"/>
    </row>
    <row r="36" spans="1:22" ht="12.75" customHeight="1" x14ac:dyDescent="0.25">
      <c r="A36" s="30" t="s">
        <v>602</v>
      </c>
      <c r="B36" s="137"/>
      <c r="C36" s="131">
        <f>'SB1'!C154</f>
        <v>361084047.84199983</v>
      </c>
      <c r="D36" s="132">
        <f>'SB1'!D154</f>
        <v>0</v>
      </c>
      <c r="E36" s="132">
        <f>'SB1'!E154</f>
        <v>0</v>
      </c>
      <c r="F36" s="132">
        <f>'SB1'!F154</f>
        <v>0</v>
      </c>
      <c r="G36" s="132">
        <f>'SB1'!G154</f>
        <v>0</v>
      </c>
      <c r="H36" s="132">
        <f>'SB1'!H154</f>
        <v>0</v>
      </c>
      <c r="I36" s="132">
        <f>'SB1'!I154</f>
        <v>11512838</v>
      </c>
      <c r="J36" s="75">
        <f t="shared" si="3"/>
        <v>11512838</v>
      </c>
      <c r="K36" s="75">
        <f t="shared" si="4"/>
        <v>372596885.84199983</v>
      </c>
      <c r="L36" s="132">
        <f>'SB1'!L154</f>
        <v>314547343.50036842</v>
      </c>
      <c r="M36" s="133">
        <f>'SB1'!M154</f>
        <v>304598835.3392477</v>
      </c>
      <c r="N36" s="128"/>
      <c r="O36" s="128"/>
      <c r="P36" s="128"/>
      <c r="Q36" s="128"/>
      <c r="R36" s="128"/>
      <c r="S36" s="128"/>
      <c r="T36" s="128"/>
      <c r="U36" s="128"/>
      <c r="V36" s="128"/>
    </row>
    <row r="37" spans="1:22" ht="12.75" customHeight="1" x14ac:dyDescent="0.25">
      <c r="A37" s="30" t="s">
        <v>704</v>
      </c>
      <c r="B37" s="137"/>
      <c r="C37" s="130"/>
      <c r="D37" s="109"/>
      <c r="E37" s="109"/>
      <c r="F37" s="109"/>
      <c r="G37" s="109"/>
      <c r="H37" s="109"/>
      <c r="I37" s="109"/>
      <c r="J37" s="75">
        <f t="shared" si="3"/>
        <v>0</v>
      </c>
      <c r="K37" s="75">
        <f t="shared" si="4"/>
        <v>0</v>
      </c>
      <c r="L37" s="109"/>
      <c r="M37" s="110"/>
      <c r="N37" s="128"/>
      <c r="O37" s="128"/>
      <c r="P37" s="128"/>
      <c r="Q37" s="128"/>
      <c r="R37" s="128"/>
      <c r="S37" s="128"/>
      <c r="T37" s="128"/>
      <c r="U37" s="128"/>
      <c r="V37" s="128"/>
    </row>
    <row r="38" spans="1:22" ht="12.75" customHeight="1" x14ac:dyDescent="0.25">
      <c r="A38" s="163" t="s">
        <v>603</v>
      </c>
      <c r="B38" s="79"/>
      <c r="C38" s="80">
        <f t="shared" ref="C38:M38" si="5">SUM(C27:C37)</f>
        <v>2288560000.4419999</v>
      </c>
      <c r="D38" s="81">
        <f t="shared" si="5"/>
        <v>0</v>
      </c>
      <c r="E38" s="81">
        <f t="shared" si="5"/>
        <v>0</v>
      </c>
      <c r="F38" s="81">
        <f t="shared" si="5"/>
        <v>0</v>
      </c>
      <c r="G38" s="81">
        <f t="shared" si="5"/>
        <v>0</v>
      </c>
      <c r="H38" s="81">
        <f t="shared" si="5"/>
        <v>0</v>
      </c>
      <c r="I38" s="81">
        <f t="shared" si="5"/>
        <v>33410000</v>
      </c>
      <c r="J38" s="81">
        <f t="shared" si="5"/>
        <v>33410000</v>
      </c>
      <c r="K38" s="81">
        <f t="shared" si="5"/>
        <v>2321970000.4419999</v>
      </c>
      <c r="L38" s="81">
        <f t="shared" si="5"/>
        <v>2362407014.6993685</v>
      </c>
      <c r="M38" s="82">
        <f t="shared" si="5"/>
        <v>2476909030.6937881</v>
      </c>
      <c r="N38" s="128"/>
      <c r="O38" s="128"/>
      <c r="P38" s="128"/>
      <c r="Q38" s="128"/>
      <c r="R38" s="128"/>
      <c r="S38" s="128"/>
      <c r="T38" s="128"/>
      <c r="U38" s="128"/>
      <c r="V38" s="128"/>
    </row>
    <row r="39" spans="1:22" ht="5.0999999999999996" customHeight="1" x14ac:dyDescent="0.25">
      <c r="A39" s="136"/>
      <c r="B39" s="73"/>
      <c r="C39" s="74"/>
      <c r="D39" s="75"/>
      <c r="E39" s="75"/>
      <c r="F39" s="75"/>
      <c r="G39" s="75"/>
      <c r="H39" s="75"/>
      <c r="I39" s="75"/>
      <c r="J39" s="75"/>
      <c r="K39" s="75"/>
      <c r="L39" s="75"/>
      <c r="M39" s="76"/>
      <c r="N39" s="128"/>
      <c r="O39" s="128"/>
      <c r="P39" s="128"/>
      <c r="Q39" s="128"/>
      <c r="R39" s="128"/>
      <c r="S39" s="128"/>
      <c r="T39" s="128"/>
      <c r="U39" s="128"/>
      <c r="V39" s="128"/>
    </row>
    <row r="40" spans="1:22" ht="12.75" customHeight="1" x14ac:dyDescent="0.25">
      <c r="A40" s="139" t="s">
        <v>604</v>
      </c>
      <c r="B40" s="73"/>
      <c r="C40" s="140">
        <f t="shared" ref="C40:M40" si="6">C24-C38</f>
        <v>115902999.56399965</v>
      </c>
      <c r="D40" s="141">
        <f t="shared" si="6"/>
        <v>0</v>
      </c>
      <c r="E40" s="141">
        <f t="shared" si="6"/>
        <v>0</v>
      </c>
      <c r="F40" s="141">
        <f t="shared" si="6"/>
        <v>0</v>
      </c>
      <c r="G40" s="141">
        <f t="shared" si="6"/>
        <v>0</v>
      </c>
      <c r="H40" s="141">
        <f t="shared" si="6"/>
        <v>0</v>
      </c>
      <c r="I40" s="141">
        <f t="shared" si="6"/>
        <v>40742962</v>
      </c>
      <c r="J40" s="141">
        <f t="shared" si="6"/>
        <v>40742962</v>
      </c>
      <c r="K40" s="141">
        <f t="shared" si="6"/>
        <v>156645961.56399965</v>
      </c>
      <c r="L40" s="141">
        <f t="shared" si="6"/>
        <v>166275899.90201139</v>
      </c>
      <c r="M40" s="142">
        <f t="shared" si="6"/>
        <v>274432842.17623281</v>
      </c>
      <c r="N40" s="128"/>
      <c r="O40" s="128"/>
      <c r="P40" s="128"/>
      <c r="Q40" s="128"/>
      <c r="R40" s="128"/>
      <c r="S40" s="128"/>
      <c r="T40" s="128"/>
      <c r="U40" s="128"/>
      <c r="V40" s="128"/>
    </row>
    <row r="41" spans="1:22" ht="12.75" customHeight="1" x14ac:dyDescent="0.25">
      <c r="A41" s="129" t="s">
        <v>605</v>
      </c>
      <c r="B41" s="73"/>
      <c r="C41" s="130">
        <v>466288000</v>
      </c>
      <c r="D41" s="109"/>
      <c r="E41" s="109"/>
      <c r="F41" s="109"/>
      <c r="G41" s="109"/>
      <c r="H41" s="109">
        <v>42808657</v>
      </c>
      <c r="I41" s="109">
        <v>-38243000</v>
      </c>
      <c r="J41" s="75">
        <f>SUM(E41:I41)</f>
        <v>4565657</v>
      </c>
      <c r="K41" s="75">
        <f>IF(D41=0,C41+J41,D41+J41)</f>
        <v>470853657</v>
      </c>
      <c r="L41" s="109">
        <v>425198041.39999998</v>
      </c>
      <c r="M41" s="110">
        <v>437608034.0582</v>
      </c>
      <c r="N41" s="128"/>
      <c r="O41" s="128"/>
      <c r="P41" s="128"/>
      <c r="Q41" s="128"/>
      <c r="R41" s="128"/>
      <c r="S41" s="128"/>
      <c r="T41" s="128"/>
      <c r="U41" s="128"/>
      <c r="V41" s="128"/>
    </row>
    <row r="42" spans="1:22" ht="12.75" customHeight="1" x14ac:dyDescent="0.25">
      <c r="A42" s="597" t="s">
        <v>1313</v>
      </c>
      <c r="B42" s="73"/>
      <c r="C42" s="130"/>
      <c r="D42" s="109"/>
      <c r="E42" s="109"/>
      <c r="F42" s="109"/>
      <c r="G42" s="109"/>
      <c r="H42" s="109"/>
      <c r="I42" s="109"/>
      <c r="J42" s="75">
        <f>SUM(E42:I42)</f>
        <v>0</v>
      </c>
      <c r="K42" s="75">
        <f>IF(D42=0,C42+J42,D42+J42)</f>
        <v>0</v>
      </c>
      <c r="L42" s="109"/>
      <c r="M42" s="110"/>
      <c r="N42" s="128"/>
      <c r="O42" s="128"/>
      <c r="P42" s="128"/>
      <c r="Q42" s="128"/>
      <c r="R42" s="128"/>
      <c r="S42" s="128"/>
      <c r="T42" s="128"/>
      <c r="U42" s="128"/>
      <c r="V42" s="128"/>
    </row>
    <row r="43" spans="1:22" ht="12.75" customHeight="1" x14ac:dyDescent="0.25">
      <c r="A43" s="129" t="s">
        <v>706</v>
      </c>
      <c r="B43" s="73"/>
      <c r="C43" s="143"/>
      <c r="D43" s="144"/>
      <c r="E43" s="144"/>
      <c r="F43" s="144"/>
      <c r="G43" s="144"/>
      <c r="H43" s="144"/>
      <c r="I43" s="144"/>
      <c r="J43" s="145">
        <f>SUM(E43:I43)</f>
        <v>0</v>
      </c>
      <c r="K43" s="145">
        <f>IF(D43=0,C43+J43,D43+J43)</f>
        <v>0</v>
      </c>
      <c r="L43" s="144"/>
      <c r="M43" s="113"/>
      <c r="N43" s="128"/>
      <c r="O43" s="128"/>
      <c r="P43" s="128"/>
      <c r="Q43" s="128"/>
      <c r="R43" s="128"/>
      <c r="S43" s="128"/>
      <c r="T43" s="128"/>
      <c r="U43" s="128"/>
      <c r="V43" s="128"/>
    </row>
    <row r="44" spans="1:22" x14ac:dyDescent="0.25">
      <c r="A44" s="135" t="s">
        <v>707</v>
      </c>
      <c r="B44" s="73"/>
      <c r="C44" s="146">
        <f t="shared" ref="C44:M44" si="7">SUM(C40:C43)</f>
        <v>582190999.56399965</v>
      </c>
      <c r="D44" s="147">
        <f t="shared" si="7"/>
        <v>0</v>
      </c>
      <c r="E44" s="147">
        <f t="shared" si="7"/>
        <v>0</v>
      </c>
      <c r="F44" s="147">
        <f t="shared" si="7"/>
        <v>0</v>
      </c>
      <c r="G44" s="147">
        <f t="shared" si="7"/>
        <v>0</v>
      </c>
      <c r="H44" s="147">
        <f t="shared" si="7"/>
        <v>42808657</v>
      </c>
      <c r="I44" s="147">
        <f t="shared" si="7"/>
        <v>2499962</v>
      </c>
      <c r="J44" s="147">
        <f t="shared" si="7"/>
        <v>45308619</v>
      </c>
      <c r="K44" s="147">
        <f t="shared" si="7"/>
        <v>627499618.56399965</v>
      </c>
      <c r="L44" s="147">
        <f t="shared" si="7"/>
        <v>591473941.30201137</v>
      </c>
      <c r="M44" s="148">
        <f t="shared" si="7"/>
        <v>712040876.23443282</v>
      </c>
      <c r="N44" s="128"/>
      <c r="O44" s="128"/>
      <c r="P44" s="128"/>
      <c r="Q44" s="128"/>
      <c r="R44" s="128"/>
      <c r="S44" s="128"/>
      <c r="T44" s="128"/>
      <c r="U44" s="128"/>
      <c r="V44" s="128"/>
    </row>
    <row r="45" spans="1:22" ht="12.75" customHeight="1" x14ac:dyDescent="0.25">
      <c r="A45" s="129" t="s">
        <v>708</v>
      </c>
      <c r="B45" s="73"/>
      <c r="C45" s="130"/>
      <c r="D45" s="109"/>
      <c r="E45" s="109"/>
      <c r="F45" s="109"/>
      <c r="G45" s="109"/>
      <c r="H45" s="109"/>
      <c r="I45" s="109"/>
      <c r="J45" s="75">
        <f>SUM(E45:I45)</f>
        <v>0</v>
      </c>
      <c r="K45" s="75">
        <f>IF(D45=0,C45+J45,D45+J45)</f>
        <v>0</v>
      </c>
      <c r="L45" s="109"/>
      <c r="M45" s="110"/>
      <c r="N45" s="128"/>
      <c r="O45" s="128"/>
      <c r="P45" s="128"/>
      <c r="Q45" s="128"/>
      <c r="R45" s="128"/>
      <c r="S45" s="128"/>
      <c r="T45" s="128"/>
      <c r="U45" s="128"/>
      <c r="V45" s="128"/>
    </row>
    <row r="46" spans="1:22" ht="12.75" customHeight="1" x14ac:dyDescent="0.25">
      <c r="A46" s="139" t="s">
        <v>709</v>
      </c>
      <c r="B46" s="149"/>
      <c r="C46" s="150">
        <f t="shared" ref="C46:M46" si="8">C44-C45</f>
        <v>582190999.56399965</v>
      </c>
      <c r="D46" s="151">
        <f t="shared" si="8"/>
        <v>0</v>
      </c>
      <c r="E46" s="151">
        <f t="shared" si="8"/>
        <v>0</v>
      </c>
      <c r="F46" s="151">
        <f t="shared" si="8"/>
        <v>0</v>
      </c>
      <c r="G46" s="151">
        <f t="shared" si="8"/>
        <v>0</v>
      </c>
      <c r="H46" s="151">
        <f t="shared" si="8"/>
        <v>42808657</v>
      </c>
      <c r="I46" s="151">
        <f t="shared" si="8"/>
        <v>2499962</v>
      </c>
      <c r="J46" s="151">
        <f t="shared" si="8"/>
        <v>45308619</v>
      </c>
      <c r="K46" s="151">
        <f t="shared" si="8"/>
        <v>627499618.56399965</v>
      </c>
      <c r="L46" s="151">
        <f t="shared" si="8"/>
        <v>591473941.30201137</v>
      </c>
      <c r="M46" s="152">
        <f t="shared" si="8"/>
        <v>712040876.23443282</v>
      </c>
      <c r="N46" s="128"/>
      <c r="O46" s="128"/>
      <c r="P46" s="128"/>
      <c r="Q46" s="128"/>
      <c r="R46" s="128"/>
      <c r="S46" s="128"/>
      <c r="T46" s="128"/>
      <c r="U46" s="128"/>
      <c r="V46" s="128"/>
    </row>
    <row r="47" spans="1:22" ht="12.75" customHeight="1" x14ac:dyDescent="0.25">
      <c r="A47" s="129" t="s">
        <v>710</v>
      </c>
      <c r="B47" s="73"/>
      <c r="C47" s="143"/>
      <c r="D47" s="144"/>
      <c r="E47" s="144"/>
      <c r="F47" s="144"/>
      <c r="G47" s="144"/>
      <c r="H47" s="144"/>
      <c r="I47" s="144"/>
      <c r="J47" s="145">
        <f>SUM(E47:I47)</f>
        <v>0</v>
      </c>
      <c r="K47" s="145">
        <f>IF(D47=0,C47+J47,D47+J47)</f>
        <v>0</v>
      </c>
      <c r="L47" s="144"/>
      <c r="M47" s="113"/>
      <c r="N47" s="128"/>
      <c r="O47" s="128"/>
      <c r="P47" s="128"/>
      <c r="Q47" s="128"/>
      <c r="R47" s="128"/>
      <c r="S47" s="128"/>
      <c r="T47" s="128"/>
      <c r="U47" s="128"/>
      <c r="V47" s="128"/>
    </row>
    <row r="48" spans="1:22" x14ac:dyDescent="0.25">
      <c r="A48" s="135" t="s">
        <v>1175</v>
      </c>
      <c r="B48" s="73"/>
      <c r="C48" s="146">
        <f t="shared" ref="C48:M48" si="9">SUM(C46:C47)</f>
        <v>582190999.56399965</v>
      </c>
      <c r="D48" s="147">
        <f t="shared" si="9"/>
        <v>0</v>
      </c>
      <c r="E48" s="147">
        <f t="shared" si="9"/>
        <v>0</v>
      </c>
      <c r="F48" s="147">
        <f t="shared" si="9"/>
        <v>0</v>
      </c>
      <c r="G48" s="147">
        <f t="shared" si="9"/>
        <v>0</v>
      </c>
      <c r="H48" s="147">
        <f t="shared" si="9"/>
        <v>42808657</v>
      </c>
      <c r="I48" s="147">
        <f t="shared" si="9"/>
        <v>2499962</v>
      </c>
      <c r="J48" s="147">
        <f t="shared" si="9"/>
        <v>45308619</v>
      </c>
      <c r="K48" s="147">
        <f t="shared" si="9"/>
        <v>627499618.56399965</v>
      </c>
      <c r="L48" s="147">
        <f t="shared" si="9"/>
        <v>591473941.30201137</v>
      </c>
      <c r="M48" s="148">
        <f t="shared" si="9"/>
        <v>712040876.23443282</v>
      </c>
      <c r="N48" s="128"/>
      <c r="O48" s="128"/>
      <c r="P48" s="128"/>
      <c r="Q48" s="128"/>
      <c r="R48" s="128"/>
      <c r="S48" s="128"/>
      <c r="T48" s="128"/>
      <c r="U48" s="128"/>
      <c r="V48" s="128"/>
    </row>
    <row r="49" spans="1:22" ht="12.75" customHeight="1" x14ac:dyDescent="0.25">
      <c r="A49" s="153" t="s">
        <v>608</v>
      </c>
      <c r="B49" s="154"/>
      <c r="C49" s="130"/>
      <c r="D49" s="109"/>
      <c r="E49" s="109"/>
      <c r="F49" s="109"/>
      <c r="G49" s="109"/>
      <c r="H49" s="109"/>
      <c r="I49" s="109"/>
      <c r="J49" s="75">
        <f>SUM(E49:I49)</f>
        <v>0</v>
      </c>
      <c r="K49" s="75">
        <f>IF(D49=0,C49+J49,D49+J49)</f>
        <v>0</v>
      </c>
      <c r="L49" s="109"/>
      <c r="M49" s="110"/>
      <c r="N49" s="128"/>
      <c r="O49" s="128"/>
      <c r="P49" s="128"/>
      <c r="Q49" s="128"/>
      <c r="R49" s="128"/>
      <c r="S49" s="128"/>
      <c r="T49" s="128"/>
      <c r="U49" s="128"/>
      <c r="V49" s="128"/>
    </row>
    <row r="50" spans="1:22" ht="12.75" customHeight="1" x14ac:dyDescent="0.25">
      <c r="A50" s="155" t="s">
        <v>609</v>
      </c>
      <c r="B50" s="156"/>
      <c r="C50" s="157">
        <f t="shared" ref="C50:M50" si="10">C48+C49</f>
        <v>582190999.56399965</v>
      </c>
      <c r="D50" s="117">
        <f t="shared" si="10"/>
        <v>0</v>
      </c>
      <c r="E50" s="117">
        <f t="shared" si="10"/>
        <v>0</v>
      </c>
      <c r="F50" s="117">
        <f t="shared" si="10"/>
        <v>0</v>
      </c>
      <c r="G50" s="117">
        <f t="shared" si="10"/>
        <v>0</v>
      </c>
      <c r="H50" s="117">
        <f t="shared" si="10"/>
        <v>42808657</v>
      </c>
      <c r="I50" s="117">
        <f t="shared" si="10"/>
        <v>2499962</v>
      </c>
      <c r="J50" s="117">
        <f t="shared" si="10"/>
        <v>45308619</v>
      </c>
      <c r="K50" s="117">
        <f t="shared" si="10"/>
        <v>627499618.56399965</v>
      </c>
      <c r="L50" s="117">
        <f t="shared" si="10"/>
        <v>591473941.30201137</v>
      </c>
      <c r="M50" s="118">
        <f t="shared" si="10"/>
        <v>712040876.23443282</v>
      </c>
      <c r="N50" s="128"/>
      <c r="O50" s="128"/>
      <c r="P50" s="128"/>
      <c r="Q50" s="128"/>
      <c r="R50" s="128"/>
      <c r="S50" s="128"/>
      <c r="T50" s="128"/>
      <c r="U50" s="128"/>
      <c r="V50" s="128"/>
    </row>
    <row r="51" spans="1:22" ht="12.75" customHeight="1" x14ac:dyDescent="0.25">
      <c r="A51" s="158" t="str">
        <f>head27a</f>
        <v>References</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99" t="s">
        <v>711</v>
      </c>
      <c r="B52" s="93"/>
      <c r="C52" s="96"/>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59" t="s">
        <v>1176</v>
      </c>
      <c r="B53" s="160"/>
      <c r="C53" s="94"/>
      <c r="D53" s="96"/>
      <c r="E53" s="96"/>
      <c r="F53" s="96"/>
      <c r="G53" s="96"/>
      <c r="H53" s="96"/>
      <c r="I53" s="96"/>
      <c r="J53" s="96"/>
      <c r="K53" s="96"/>
      <c r="L53" s="96"/>
      <c r="M53" s="96"/>
      <c r="N53" s="128"/>
      <c r="O53" s="128"/>
      <c r="P53" s="128"/>
      <c r="Q53" s="128"/>
      <c r="R53" s="128"/>
      <c r="S53" s="128"/>
      <c r="T53" s="128"/>
      <c r="U53" s="128"/>
      <c r="V53" s="128"/>
    </row>
    <row r="54" spans="1:22" ht="12.75" customHeight="1" x14ac:dyDescent="0.25">
      <c r="A54" s="1320" t="s">
        <v>1099</v>
      </c>
      <c r="B54" s="1320"/>
      <c r="C54" s="1320"/>
      <c r="D54" s="1320"/>
      <c r="E54" s="1320"/>
      <c r="F54" s="1320"/>
      <c r="G54" s="1320"/>
      <c r="H54" s="1320"/>
      <c r="I54" s="1320"/>
      <c r="J54" s="1320"/>
      <c r="K54" s="1320"/>
      <c r="L54" s="1320"/>
      <c r="M54" s="1320"/>
      <c r="N54" s="128"/>
      <c r="O54" s="128"/>
      <c r="P54" s="128"/>
      <c r="Q54" s="128"/>
      <c r="R54" s="128"/>
      <c r="S54" s="128"/>
      <c r="T54" s="128"/>
      <c r="U54" s="128"/>
      <c r="V54" s="128"/>
    </row>
    <row r="55" spans="1:22" ht="27.75" customHeight="1" x14ac:dyDescent="0.25">
      <c r="A55" s="1320" t="s">
        <v>1168</v>
      </c>
      <c r="B55" s="1320"/>
      <c r="C55" s="1320"/>
      <c r="D55" s="1320"/>
      <c r="E55" s="1320"/>
      <c r="F55" s="1320"/>
      <c r="G55" s="1320"/>
      <c r="H55" s="1320"/>
      <c r="I55" s="1320"/>
      <c r="J55" s="1320"/>
      <c r="K55" s="1320"/>
      <c r="L55" s="1320"/>
      <c r="M55" s="1320"/>
      <c r="N55" s="128"/>
      <c r="O55" s="128"/>
      <c r="P55" s="128"/>
      <c r="Q55" s="128"/>
      <c r="R55" s="128"/>
      <c r="S55" s="128"/>
      <c r="T55" s="128"/>
      <c r="U55" s="128"/>
      <c r="V55" s="128"/>
    </row>
    <row r="56" spans="1:22" ht="12.75" customHeight="1" x14ac:dyDescent="0.25">
      <c r="A56" s="1314" t="s">
        <v>1169</v>
      </c>
      <c r="B56" s="1320"/>
      <c r="C56" s="1314"/>
      <c r="D56" s="1314"/>
      <c r="E56" s="1314"/>
      <c r="F56" s="1314"/>
      <c r="G56" s="1314"/>
      <c r="H56" s="1314"/>
      <c r="I56" s="1314"/>
      <c r="J56" s="1314"/>
      <c r="K56" s="1314"/>
      <c r="L56" s="1314"/>
      <c r="M56" s="1314"/>
      <c r="N56" s="128"/>
      <c r="O56" s="128"/>
      <c r="P56" s="128"/>
      <c r="Q56" s="128"/>
      <c r="R56" s="128"/>
      <c r="S56" s="128"/>
      <c r="T56" s="128"/>
      <c r="U56" s="128"/>
      <c r="V56" s="128"/>
    </row>
    <row r="57" spans="1:22" ht="12.75" customHeight="1" x14ac:dyDescent="0.25">
      <c r="A57" s="1314" t="s">
        <v>1170</v>
      </c>
      <c r="B57" s="1314"/>
      <c r="C57" s="1314"/>
      <c r="D57" s="1314"/>
      <c r="E57" s="1314"/>
      <c r="F57" s="1314"/>
      <c r="G57" s="1314"/>
      <c r="H57" s="1314"/>
      <c r="I57" s="1314"/>
      <c r="J57" s="1314"/>
      <c r="K57" s="1314"/>
      <c r="L57" s="1314"/>
      <c r="M57" s="1314"/>
      <c r="N57" s="128"/>
      <c r="O57" s="128"/>
      <c r="P57" s="128"/>
      <c r="Q57" s="128"/>
      <c r="R57" s="128"/>
      <c r="S57" s="128"/>
      <c r="T57" s="128"/>
      <c r="U57" s="128"/>
      <c r="V57" s="128"/>
    </row>
    <row r="58" spans="1:22" ht="12.75" customHeight="1" x14ac:dyDescent="0.25">
      <c r="A58" s="99" t="s">
        <v>1171</v>
      </c>
      <c r="B58" s="93"/>
      <c r="C58" s="96"/>
      <c r="D58" s="96"/>
      <c r="E58" s="96"/>
      <c r="F58" s="96"/>
      <c r="G58" s="96"/>
      <c r="H58" s="96"/>
      <c r="I58" s="96"/>
      <c r="J58" s="96"/>
      <c r="K58" s="96"/>
      <c r="L58" s="96"/>
      <c r="M58" s="96"/>
      <c r="N58" s="128"/>
      <c r="O58" s="128"/>
      <c r="P58" s="128"/>
      <c r="Q58" s="128"/>
      <c r="R58" s="128"/>
      <c r="S58" s="128"/>
      <c r="T58" s="128"/>
      <c r="U58" s="128"/>
      <c r="V58" s="128"/>
    </row>
    <row r="59" spans="1:22" ht="27" customHeight="1" x14ac:dyDescent="0.25">
      <c r="A59" s="1314" t="s">
        <v>1172</v>
      </c>
      <c r="B59" s="1314"/>
      <c r="C59" s="1314"/>
      <c r="D59" s="1314"/>
      <c r="E59" s="1314"/>
      <c r="F59" s="1314"/>
      <c r="G59" s="1314"/>
      <c r="H59" s="1314"/>
      <c r="I59" s="1314"/>
      <c r="J59" s="1314"/>
      <c r="K59" s="1314"/>
      <c r="L59" s="1314"/>
      <c r="M59" s="1314"/>
      <c r="N59" s="128"/>
      <c r="O59" s="128"/>
      <c r="P59" s="128"/>
      <c r="Q59" s="128"/>
      <c r="R59" s="128"/>
      <c r="S59" s="128"/>
      <c r="T59" s="128"/>
      <c r="U59" s="128"/>
      <c r="V59" s="128"/>
    </row>
    <row r="60" spans="1:22" ht="12.75" customHeight="1" x14ac:dyDescent="0.25">
      <c r="A60" s="99" t="s">
        <v>646</v>
      </c>
      <c r="B60" s="93"/>
      <c r="C60" s="96"/>
      <c r="D60" s="96"/>
      <c r="E60" s="96"/>
      <c r="F60" s="96"/>
      <c r="G60" s="96"/>
      <c r="H60" s="96"/>
      <c r="I60" s="96"/>
      <c r="J60" s="96"/>
      <c r="K60" s="96"/>
      <c r="L60" s="96"/>
      <c r="M60" s="96"/>
      <c r="N60" s="128"/>
      <c r="O60" s="128"/>
      <c r="P60" s="128"/>
      <c r="Q60" s="128"/>
      <c r="R60" s="128"/>
      <c r="S60" s="128"/>
      <c r="T60" s="128"/>
      <c r="U60" s="128"/>
      <c r="V60" s="128"/>
    </row>
    <row r="61" spans="1:22" ht="12.75" customHeight="1" x14ac:dyDescent="0.25">
      <c r="A61" s="1314" t="s">
        <v>647</v>
      </c>
      <c r="B61" s="1329"/>
      <c r="C61" s="1329"/>
      <c r="D61" s="1329"/>
      <c r="E61" s="1329"/>
      <c r="F61" s="1329"/>
      <c r="G61" s="1329"/>
      <c r="H61" s="1329"/>
      <c r="I61" s="1329"/>
      <c r="J61" s="1329"/>
      <c r="K61" s="1329"/>
      <c r="L61" s="1329"/>
      <c r="M61" s="1314"/>
      <c r="N61" s="128"/>
      <c r="O61" s="128"/>
      <c r="P61" s="128"/>
      <c r="Q61" s="128"/>
      <c r="R61" s="128"/>
      <c r="S61" s="128"/>
      <c r="T61" s="128"/>
      <c r="U61" s="128"/>
      <c r="V61" s="128"/>
    </row>
    <row r="62" spans="1:22" ht="11.25" customHeight="1" x14ac:dyDescent="0.25">
      <c r="A62" s="1330"/>
      <c r="B62" s="1330"/>
      <c r="C62" s="1330"/>
      <c r="D62" s="1330"/>
      <c r="E62" s="1330"/>
      <c r="F62" s="1330"/>
      <c r="G62" s="1330"/>
      <c r="H62" s="1330"/>
      <c r="I62" s="1330"/>
      <c r="J62" s="1330"/>
      <c r="K62" s="1330"/>
      <c r="L62" s="1330"/>
      <c r="M62" s="1330"/>
      <c r="N62" s="128"/>
      <c r="O62" s="128"/>
      <c r="P62" s="128"/>
      <c r="Q62" s="128"/>
      <c r="R62" s="128"/>
      <c r="S62" s="128"/>
      <c r="T62" s="128"/>
      <c r="U62" s="128"/>
      <c r="V62" s="128"/>
    </row>
    <row r="63" spans="1:22" ht="11.25" customHeight="1" x14ac:dyDescent="0.25">
      <c r="A63" s="122" t="s">
        <v>712</v>
      </c>
      <c r="B63" s="93"/>
      <c r="C63" s="102">
        <f t="shared" ref="C63:M63" si="11">C24+C41+C42+C43</f>
        <v>2870751000.0059996</v>
      </c>
      <c r="D63" s="102">
        <f t="shared" si="11"/>
        <v>0</v>
      </c>
      <c r="E63" s="102">
        <f t="shared" si="11"/>
        <v>0</v>
      </c>
      <c r="F63" s="102">
        <f t="shared" si="11"/>
        <v>0</v>
      </c>
      <c r="G63" s="102">
        <f t="shared" si="11"/>
        <v>0</v>
      </c>
      <c r="H63" s="102">
        <f t="shared" si="11"/>
        <v>42808657</v>
      </c>
      <c r="I63" s="102">
        <f t="shared" si="11"/>
        <v>35909962</v>
      </c>
      <c r="J63" s="102">
        <f t="shared" si="11"/>
        <v>78718619</v>
      </c>
      <c r="K63" s="102">
        <f t="shared" si="11"/>
        <v>2949469619.0059996</v>
      </c>
      <c r="L63" s="102">
        <f t="shared" si="11"/>
        <v>2953880956.00138</v>
      </c>
      <c r="M63" s="102">
        <f t="shared" si="11"/>
        <v>3188949906.9282207</v>
      </c>
      <c r="N63" s="128"/>
      <c r="O63" s="128"/>
      <c r="P63" s="128"/>
      <c r="Q63" s="128"/>
      <c r="R63" s="128"/>
      <c r="S63" s="128"/>
      <c r="T63" s="128"/>
      <c r="U63" s="128"/>
      <c r="V63" s="128"/>
    </row>
    <row r="64" spans="1:22" ht="11.25" customHeight="1" x14ac:dyDescent="0.25">
      <c r="A64" s="101"/>
      <c r="B64" s="93"/>
      <c r="C64" s="84"/>
      <c r="D64" s="84"/>
      <c r="E64" s="84"/>
      <c r="F64" s="84"/>
      <c r="G64" s="84"/>
      <c r="H64" s="84"/>
      <c r="I64" s="84"/>
      <c r="J64" s="84"/>
      <c r="K64" s="84"/>
      <c r="L64" s="84"/>
      <c r="M64" s="84"/>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A67" s="101"/>
      <c r="B67" s="93"/>
      <c r="C67" s="102"/>
      <c r="D67" s="102"/>
      <c r="E67" s="102"/>
      <c r="F67" s="102"/>
      <c r="G67" s="102"/>
      <c r="H67" s="102"/>
      <c r="I67" s="102"/>
      <c r="J67" s="102"/>
      <c r="K67" s="102"/>
      <c r="L67" s="102"/>
      <c r="M67" s="102"/>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c r="N72" s="128"/>
      <c r="O72" s="128"/>
      <c r="P72" s="128"/>
      <c r="Q72" s="128"/>
      <c r="R72" s="128"/>
      <c r="S72" s="128"/>
      <c r="T72" s="128"/>
      <c r="U72" s="128"/>
      <c r="V72" s="128"/>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c r="B82" s="5"/>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sheetData>
  <sheetProtection sheet="1" objects="1" scenarios="1"/>
  <mergeCells count="10">
    <mergeCell ref="C2:K2"/>
    <mergeCell ref="B2:B4"/>
    <mergeCell ref="A61:M61"/>
    <mergeCell ref="A62:M62"/>
    <mergeCell ref="A54:M54"/>
    <mergeCell ref="A55:M55"/>
    <mergeCell ref="A56:M56"/>
    <mergeCell ref="A57:M57"/>
    <mergeCell ref="A59:M59"/>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4:K4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63" activePane="bottomRight" state="frozen"/>
      <selection activeCell="C6" sqref="C6"/>
      <selection pane="topRight" activeCell="C6" sqref="C6"/>
      <selection pane="bottomLeft" activeCell="C6" sqref="C6"/>
      <selection pane="bottomRight" activeCell="A80" sqref="A80:L80"/>
    </sheetView>
  </sheetViews>
  <sheetFormatPr defaultRowHeight="12.75" x14ac:dyDescent="0.25"/>
  <cols>
    <col min="1" max="1" width="35.14062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"&amp;_ADJ5&amp;" - "&amp;Date</f>
        <v>LIM354 Polokwane - Table B5 Adjustments Capital Expenditure Budget by vote and funding - 25 February 2016</v>
      </c>
      <c r="B1" s="5"/>
      <c r="C1" s="58"/>
    </row>
    <row r="2" spans="1:14" ht="38.25" x14ac:dyDescent="0.25">
      <c r="A2" s="1321" t="str">
        <f>desc</f>
        <v>Description</v>
      </c>
      <c r="B2" s="1318" t="str">
        <f>head27</f>
        <v>Ref</v>
      </c>
      <c r="C2" s="1315" t="str">
        <f>Head2</f>
        <v>Budget Year 2015/16</v>
      </c>
      <c r="D2" s="1316"/>
      <c r="E2" s="1316"/>
      <c r="F2" s="1316"/>
      <c r="G2" s="1316"/>
      <c r="H2" s="1316"/>
      <c r="I2" s="1316"/>
      <c r="J2" s="1316"/>
      <c r="K2" s="1316"/>
      <c r="L2" s="103" t="str">
        <f>Head10</f>
        <v>Budget Year +1 2016/17</v>
      </c>
      <c r="M2" s="61" t="str">
        <f>Head11</f>
        <v>Budget Year +2 2017/18</v>
      </c>
    </row>
    <row r="3" spans="1:14" ht="25.5" x14ac:dyDescent="0.25">
      <c r="A3" s="1322"/>
      <c r="B3" s="13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641</v>
      </c>
      <c r="B5" s="104"/>
      <c r="C5" s="67" t="s">
        <v>581</v>
      </c>
      <c r="D5" s="68" t="s">
        <v>582</v>
      </c>
      <c r="E5" s="68" t="s">
        <v>583</v>
      </c>
      <c r="F5" s="69" t="s">
        <v>584</v>
      </c>
      <c r="G5" s="69" t="s">
        <v>585</v>
      </c>
      <c r="H5" s="69" t="s">
        <v>586</v>
      </c>
      <c r="I5" s="70" t="s">
        <v>587</v>
      </c>
      <c r="J5" s="70" t="s">
        <v>588</v>
      </c>
      <c r="K5" s="70" t="s">
        <v>589</v>
      </c>
      <c r="L5" s="70"/>
      <c r="M5" s="71"/>
    </row>
    <row r="6" spans="1:14" ht="12.75" customHeight="1" x14ac:dyDescent="0.25">
      <c r="A6" s="52" t="s">
        <v>713</v>
      </c>
      <c r="B6" s="73"/>
      <c r="C6" s="74"/>
      <c r="D6" s="75"/>
      <c r="E6" s="75"/>
      <c r="F6" s="75"/>
      <c r="G6" s="75"/>
      <c r="H6" s="75"/>
      <c r="I6" s="75"/>
      <c r="J6" s="75"/>
      <c r="K6" s="75"/>
      <c r="L6" s="75"/>
      <c r="M6" s="76"/>
    </row>
    <row r="7" spans="1:14" ht="12.75" customHeight="1" x14ac:dyDescent="0.25">
      <c r="A7" s="126" t="s">
        <v>1282</v>
      </c>
      <c r="B7" s="73">
        <v>2</v>
      </c>
      <c r="C7" s="74"/>
      <c r="D7" s="172"/>
      <c r="E7" s="172"/>
      <c r="F7" s="172"/>
      <c r="G7" s="172"/>
      <c r="H7" s="172"/>
      <c r="I7" s="172"/>
      <c r="J7" s="172"/>
      <c r="K7" s="172"/>
      <c r="L7" s="172"/>
      <c r="M7" s="236"/>
      <c r="N7" s="128"/>
    </row>
    <row r="8" spans="1:14" ht="12.75" customHeight="1" x14ac:dyDescent="0.25">
      <c r="A8" s="966" t="str">
        <f>B5B!A8</f>
        <v>Vote 1 - COUNCIL</v>
      </c>
      <c r="B8" s="73"/>
      <c r="C8" s="792">
        <f>B5B!C8</f>
        <v>0</v>
      </c>
      <c r="D8" s="172">
        <f>B5B!D8</f>
        <v>0</v>
      </c>
      <c r="E8" s="172">
        <f>B5B!E8</f>
        <v>0</v>
      </c>
      <c r="F8" s="172">
        <f>B5B!F8</f>
        <v>0</v>
      </c>
      <c r="G8" s="172">
        <f>B5B!G8</f>
        <v>0</v>
      </c>
      <c r="H8" s="172">
        <f>B5B!H8</f>
        <v>0</v>
      </c>
      <c r="I8" s="172">
        <f>B5B!I8</f>
        <v>0</v>
      </c>
      <c r="J8" s="172">
        <f t="shared" ref="J8:J22" si="0">SUM(E8:I8)</f>
        <v>0</v>
      </c>
      <c r="K8" s="172">
        <f t="shared" ref="K8:K22" si="1">IF(D8=0,C8+J8,D8+J8)</f>
        <v>0</v>
      </c>
      <c r="L8" s="172">
        <f>B5B!L8</f>
        <v>0</v>
      </c>
      <c r="M8" s="236">
        <f>B5B!M8</f>
        <v>0</v>
      </c>
      <c r="N8" s="866"/>
    </row>
    <row r="9" spans="1:14" ht="12.75" customHeight="1" x14ac:dyDescent="0.25">
      <c r="A9" s="966" t="str">
        <f>B5B!A19</f>
        <v>Vote 2 - Office of the Municipal Manger</v>
      </c>
      <c r="B9" s="73"/>
      <c r="C9" s="792">
        <f>B5B!C19</f>
        <v>0</v>
      </c>
      <c r="D9" s="172">
        <f>B5B!D19</f>
        <v>0</v>
      </c>
      <c r="E9" s="172">
        <f>B5B!E19</f>
        <v>0</v>
      </c>
      <c r="F9" s="172">
        <f>B5B!F19</f>
        <v>0</v>
      </c>
      <c r="G9" s="172">
        <f>B5B!G19</f>
        <v>0</v>
      </c>
      <c r="H9" s="172">
        <f>B5B!H19</f>
        <v>0</v>
      </c>
      <c r="I9" s="172">
        <f>B5B!I19</f>
        <v>0</v>
      </c>
      <c r="J9" s="172">
        <f t="shared" si="0"/>
        <v>0</v>
      </c>
      <c r="K9" s="172">
        <f t="shared" si="1"/>
        <v>0</v>
      </c>
      <c r="L9" s="172">
        <f>B5B!L19</f>
        <v>0</v>
      </c>
      <c r="M9" s="236">
        <f>B5B!M19</f>
        <v>0</v>
      </c>
      <c r="N9" s="866"/>
    </row>
    <row r="10" spans="1:14" ht="12.75" customHeight="1" x14ac:dyDescent="0.25">
      <c r="A10" s="966" t="str">
        <f>B5B!A30</f>
        <v>Vote 3 - Strategic Planning Monitoring and Evaluation</v>
      </c>
      <c r="B10" s="73"/>
      <c r="C10" s="792">
        <f>B5B!C30</f>
        <v>0</v>
      </c>
      <c r="D10" s="172">
        <f>B5B!D30</f>
        <v>0</v>
      </c>
      <c r="E10" s="172">
        <f>B5B!E30</f>
        <v>0</v>
      </c>
      <c r="F10" s="172">
        <f>B5B!F30</f>
        <v>0</v>
      </c>
      <c r="G10" s="172">
        <f>B5B!G30</f>
        <v>0</v>
      </c>
      <c r="H10" s="172">
        <f>B5B!H30</f>
        <v>0</v>
      </c>
      <c r="I10" s="172">
        <f>B5B!I30</f>
        <v>0</v>
      </c>
      <c r="J10" s="172">
        <f t="shared" si="0"/>
        <v>0</v>
      </c>
      <c r="K10" s="172">
        <f t="shared" si="1"/>
        <v>0</v>
      </c>
      <c r="L10" s="172">
        <f>B5B!L30</f>
        <v>0</v>
      </c>
      <c r="M10" s="236">
        <f>B5B!M30</f>
        <v>0</v>
      </c>
      <c r="N10" s="864"/>
    </row>
    <row r="11" spans="1:14" ht="12.75" customHeight="1" x14ac:dyDescent="0.25">
      <c r="A11" s="966" t="str">
        <f>B5B!A41</f>
        <v>Vote 4 - Engineering Services</v>
      </c>
      <c r="B11" s="73"/>
      <c r="C11" s="792">
        <f>B5B!C41</f>
        <v>0</v>
      </c>
      <c r="D11" s="172">
        <f>B5B!D41</f>
        <v>0</v>
      </c>
      <c r="E11" s="172">
        <f>B5B!E41</f>
        <v>0</v>
      </c>
      <c r="F11" s="172">
        <f>B5B!F41</f>
        <v>0</v>
      </c>
      <c r="G11" s="172">
        <f>B5B!G41</f>
        <v>0</v>
      </c>
      <c r="H11" s="172">
        <f>B5B!H41</f>
        <v>0</v>
      </c>
      <c r="I11" s="172">
        <f>B5B!I41</f>
        <v>0</v>
      </c>
      <c r="J11" s="172">
        <f t="shared" si="0"/>
        <v>0</v>
      </c>
      <c r="K11" s="172">
        <f t="shared" si="1"/>
        <v>0</v>
      </c>
      <c r="L11" s="172">
        <f>B5B!L41</f>
        <v>0</v>
      </c>
      <c r="M11" s="236">
        <f>B5B!M41</f>
        <v>0</v>
      </c>
      <c r="N11" s="864"/>
    </row>
    <row r="12" spans="1:14" ht="12.75" customHeight="1" x14ac:dyDescent="0.25">
      <c r="A12" s="966" t="str">
        <f>B5B!A52</f>
        <v>Vote 5 -  Community Services</v>
      </c>
      <c r="B12" s="73"/>
      <c r="C12" s="792">
        <f>B5B!C52</f>
        <v>0</v>
      </c>
      <c r="D12" s="172">
        <f>B5B!D52</f>
        <v>0</v>
      </c>
      <c r="E12" s="172">
        <f>B5B!E52</f>
        <v>0</v>
      </c>
      <c r="F12" s="172">
        <f>B5B!F52</f>
        <v>0</v>
      </c>
      <c r="G12" s="172">
        <f>B5B!G52</f>
        <v>0</v>
      </c>
      <c r="H12" s="172">
        <f>B5B!H52</f>
        <v>0</v>
      </c>
      <c r="I12" s="172">
        <f>B5B!I52</f>
        <v>0</v>
      </c>
      <c r="J12" s="172">
        <f t="shared" si="0"/>
        <v>0</v>
      </c>
      <c r="K12" s="172">
        <f t="shared" si="1"/>
        <v>0</v>
      </c>
      <c r="L12" s="172">
        <f>B5B!L52</f>
        <v>0</v>
      </c>
      <c r="M12" s="236">
        <f>B5B!M52</f>
        <v>0</v>
      </c>
      <c r="N12" s="864"/>
    </row>
    <row r="13" spans="1:14" ht="12.75" customHeight="1" x14ac:dyDescent="0.25">
      <c r="A13" s="966" t="str">
        <f>B5B!A63</f>
        <v>Vote 6 - Community Development</v>
      </c>
      <c r="B13" s="73"/>
      <c r="C13" s="792">
        <f>B5B!C63</f>
        <v>0</v>
      </c>
      <c r="D13" s="172">
        <f>B5B!D63</f>
        <v>0</v>
      </c>
      <c r="E13" s="172">
        <f>B5B!E63</f>
        <v>0</v>
      </c>
      <c r="F13" s="172">
        <f>B5B!F63</f>
        <v>0</v>
      </c>
      <c r="G13" s="172">
        <f>B5B!G63</f>
        <v>0</v>
      </c>
      <c r="H13" s="172">
        <f>B5B!H63</f>
        <v>0</v>
      </c>
      <c r="I13" s="172">
        <f>B5B!I63</f>
        <v>0</v>
      </c>
      <c r="J13" s="172">
        <f t="shared" si="0"/>
        <v>0</v>
      </c>
      <c r="K13" s="172">
        <f t="shared" si="1"/>
        <v>0</v>
      </c>
      <c r="L13" s="172">
        <f>B5B!L63</f>
        <v>0</v>
      </c>
      <c r="M13" s="236">
        <f>B5B!M63</f>
        <v>0</v>
      </c>
      <c r="N13" s="864"/>
    </row>
    <row r="14" spans="1:14" ht="12.75" customHeight="1" x14ac:dyDescent="0.25">
      <c r="A14" s="966" t="str">
        <f>B5B!A74</f>
        <v>Vote 7 - Corporate  and Shared Services</v>
      </c>
      <c r="B14" s="73"/>
      <c r="C14" s="792">
        <f>B5B!C74</f>
        <v>0</v>
      </c>
      <c r="D14" s="172">
        <f>B5B!D74</f>
        <v>0</v>
      </c>
      <c r="E14" s="172">
        <f>B5B!E74</f>
        <v>0</v>
      </c>
      <c r="F14" s="172">
        <f>B5B!F74</f>
        <v>0</v>
      </c>
      <c r="G14" s="172">
        <f>B5B!G74</f>
        <v>0</v>
      </c>
      <c r="H14" s="172">
        <f>B5B!H74</f>
        <v>0</v>
      </c>
      <c r="I14" s="172">
        <f>B5B!I74</f>
        <v>0</v>
      </c>
      <c r="J14" s="172">
        <f t="shared" si="0"/>
        <v>0</v>
      </c>
      <c r="K14" s="172">
        <f t="shared" si="1"/>
        <v>0</v>
      </c>
      <c r="L14" s="172">
        <f>B5B!L74</f>
        <v>0</v>
      </c>
      <c r="M14" s="236">
        <f>B5B!M74</f>
        <v>0</v>
      </c>
      <c r="N14" s="864"/>
    </row>
    <row r="15" spans="1:14" ht="12.75" customHeight="1" x14ac:dyDescent="0.25">
      <c r="A15" s="966" t="str">
        <f>B5B!A85</f>
        <v>Vote 8 - Planning and Economic Development</v>
      </c>
      <c r="B15" s="73"/>
      <c r="C15" s="792">
        <f>B5B!C85</f>
        <v>0</v>
      </c>
      <c r="D15" s="172">
        <f>B5B!D85</f>
        <v>0</v>
      </c>
      <c r="E15" s="172">
        <f>B5B!E85</f>
        <v>0</v>
      </c>
      <c r="F15" s="172">
        <f>B5B!F85</f>
        <v>0</v>
      </c>
      <c r="G15" s="172">
        <f>B5B!G85</f>
        <v>0</v>
      </c>
      <c r="H15" s="172">
        <f>B5B!H85</f>
        <v>0</v>
      </c>
      <c r="I15" s="172">
        <f>B5B!I85</f>
        <v>0</v>
      </c>
      <c r="J15" s="172">
        <f t="shared" si="0"/>
        <v>0</v>
      </c>
      <c r="K15" s="172">
        <f t="shared" si="1"/>
        <v>0</v>
      </c>
      <c r="L15" s="172">
        <f>B5B!L85</f>
        <v>0</v>
      </c>
      <c r="M15" s="236">
        <f>B5B!M85</f>
        <v>0</v>
      </c>
      <c r="N15" s="864"/>
    </row>
    <row r="16" spans="1:14" ht="12.75" customHeight="1" x14ac:dyDescent="0.25">
      <c r="A16" s="966" t="str">
        <f>B5B!A96</f>
        <v>Vote 9 - Budget and Treasury</v>
      </c>
      <c r="B16" s="73"/>
      <c r="C16" s="792">
        <f>B5B!C96</f>
        <v>0</v>
      </c>
      <c r="D16" s="172">
        <f>B5B!D96</f>
        <v>0</v>
      </c>
      <c r="E16" s="172">
        <f>B5B!E96</f>
        <v>0</v>
      </c>
      <c r="F16" s="172">
        <f>B5B!F96</f>
        <v>0</v>
      </c>
      <c r="G16" s="172">
        <f>B5B!G96</f>
        <v>0</v>
      </c>
      <c r="H16" s="172">
        <f>B5B!H96</f>
        <v>0</v>
      </c>
      <c r="I16" s="172">
        <f>B5B!I96</f>
        <v>0</v>
      </c>
      <c r="J16" s="172">
        <f t="shared" si="0"/>
        <v>0</v>
      </c>
      <c r="K16" s="172">
        <f t="shared" si="1"/>
        <v>0</v>
      </c>
      <c r="L16" s="172">
        <f>B5B!L96</f>
        <v>0</v>
      </c>
      <c r="M16" s="236">
        <f>B5B!M96</f>
        <v>0</v>
      </c>
      <c r="N16" s="864"/>
    </row>
    <row r="17" spans="1:14" ht="12.75" customHeight="1" x14ac:dyDescent="0.25">
      <c r="A17" s="966" t="str">
        <f>B5B!A107</f>
        <v>Vote 10 - Transport Operations</v>
      </c>
      <c r="B17" s="73"/>
      <c r="C17" s="792">
        <f>B5B!C107</f>
        <v>0</v>
      </c>
      <c r="D17" s="172">
        <f>B5B!D107</f>
        <v>0</v>
      </c>
      <c r="E17" s="172">
        <f>B5B!E107</f>
        <v>0</v>
      </c>
      <c r="F17" s="172">
        <f>B5B!F107</f>
        <v>0</v>
      </c>
      <c r="G17" s="172">
        <f>B5B!G107</f>
        <v>0</v>
      </c>
      <c r="H17" s="172">
        <f>B5B!H107</f>
        <v>0</v>
      </c>
      <c r="I17" s="172">
        <f>B5B!I107</f>
        <v>0</v>
      </c>
      <c r="J17" s="172">
        <f t="shared" si="0"/>
        <v>0</v>
      </c>
      <c r="K17" s="172">
        <f t="shared" si="1"/>
        <v>0</v>
      </c>
      <c r="L17" s="172">
        <f>B5B!L107</f>
        <v>0</v>
      </c>
      <c r="M17" s="236">
        <f>B5B!M107</f>
        <v>0</v>
      </c>
      <c r="N17" s="864"/>
    </row>
    <row r="18" spans="1:14" ht="12.75" customHeight="1" x14ac:dyDescent="0.25">
      <c r="A18" s="966" t="str">
        <f>B5B!A118</f>
        <v>Vote 11 - [NAME OF VOTE 11]</v>
      </c>
      <c r="B18" s="73"/>
      <c r="C18" s="792">
        <f>B5B!C118</f>
        <v>0</v>
      </c>
      <c r="D18" s="172">
        <f>B5B!D118</f>
        <v>0</v>
      </c>
      <c r="E18" s="172">
        <f>B5B!E118</f>
        <v>0</v>
      </c>
      <c r="F18" s="172">
        <f>B5B!F118</f>
        <v>0</v>
      </c>
      <c r="G18" s="172">
        <f>B5B!G118</f>
        <v>0</v>
      </c>
      <c r="H18" s="172">
        <f>B5B!H118</f>
        <v>0</v>
      </c>
      <c r="I18" s="172">
        <f>B5B!I118</f>
        <v>0</v>
      </c>
      <c r="J18" s="172">
        <f t="shared" si="0"/>
        <v>0</v>
      </c>
      <c r="K18" s="172">
        <f t="shared" si="1"/>
        <v>0</v>
      </c>
      <c r="L18" s="172">
        <f>B5B!L118</f>
        <v>0</v>
      </c>
      <c r="M18" s="236">
        <f>B5B!M118</f>
        <v>0</v>
      </c>
      <c r="N18" s="864"/>
    </row>
    <row r="19" spans="1:14" ht="12.75" customHeight="1" x14ac:dyDescent="0.25">
      <c r="A19" s="966" t="str">
        <f>B5B!A129</f>
        <v>Vote 12 - [NAME OF VOTE 12]</v>
      </c>
      <c r="B19" s="73"/>
      <c r="C19" s="792">
        <f>B5B!C129</f>
        <v>0</v>
      </c>
      <c r="D19" s="172">
        <f>B5B!D129</f>
        <v>0</v>
      </c>
      <c r="E19" s="172">
        <f>B5B!E129</f>
        <v>0</v>
      </c>
      <c r="F19" s="172">
        <f>B5B!F129</f>
        <v>0</v>
      </c>
      <c r="G19" s="172">
        <f>B5B!G129</f>
        <v>0</v>
      </c>
      <c r="H19" s="172">
        <f>B5B!H129</f>
        <v>0</v>
      </c>
      <c r="I19" s="172">
        <f>B5B!I129</f>
        <v>0</v>
      </c>
      <c r="J19" s="172">
        <f t="shared" si="0"/>
        <v>0</v>
      </c>
      <c r="K19" s="172">
        <f t="shared" si="1"/>
        <v>0</v>
      </c>
      <c r="L19" s="172">
        <f>B5B!L129</f>
        <v>0</v>
      </c>
      <c r="M19" s="236">
        <f>B5B!M129</f>
        <v>0</v>
      </c>
      <c r="N19" s="864"/>
    </row>
    <row r="20" spans="1:14" ht="12.75" customHeight="1" x14ac:dyDescent="0.25">
      <c r="A20" s="966" t="str">
        <f>B5B!A140</f>
        <v>Vote 13 - [NAME OF VOTE 13]</v>
      </c>
      <c r="B20" s="73"/>
      <c r="C20" s="792">
        <f>B5B!C140</f>
        <v>0</v>
      </c>
      <c r="D20" s="172">
        <f>B5B!D140</f>
        <v>0</v>
      </c>
      <c r="E20" s="172">
        <f>B5B!E140</f>
        <v>0</v>
      </c>
      <c r="F20" s="172">
        <f>B5B!F140</f>
        <v>0</v>
      </c>
      <c r="G20" s="172">
        <f>B5B!G140</f>
        <v>0</v>
      </c>
      <c r="H20" s="172">
        <f>B5B!H140</f>
        <v>0</v>
      </c>
      <c r="I20" s="172">
        <f>B5B!I140</f>
        <v>0</v>
      </c>
      <c r="J20" s="172">
        <f t="shared" si="0"/>
        <v>0</v>
      </c>
      <c r="K20" s="172">
        <f t="shared" si="1"/>
        <v>0</v>
      </c>
      <c r="L20" s="172">
        <f>B5B!L140</f>
        <v>0</v>
      </c>
      <c r="M20" s="236">
        <f>B5B!M140</f>
        <v>0</v>
      </c>
      <c r="N20" s="864"/>
    </row>
    <row r="21" spans="1:14" ht="12.75" customHeight="1" x14ac:dyDescent="0.25">
      <c r="A21" s="966" t="str">
        <f>B5B!A151</f>
        <v>Vote 14 - [NAME OF VOTE 14]</v>
      </c>
      <c r="B21" s="73"/>
      <c r="C21" s="792">
        <f>B5B!C151</f>
        <v>0</v>
      </c>
      <c r="D21" s="172">
        <f>B5B!D151</f>
        <v>0</v>
      </c>
      <c r="E21" s="172">
        <f>B5B!E151</f>
        <v>0</v>
      </c>
      <c r="F21" s="172">
        <f>B5B!F151</f>
        <v>0</v>
      </c>
      <c r="G21" s="172">
        <f>B5B!G151</f>
        <v>0</v>
      </c>
      <c r="H21" s="172">
        <f>B5B!H151</f>
        <v>0</v>
      </c>
      <c r="I21" s="172">
        <f>B5B!I151</f>
        <v>0</v>
      </c>
      <c r="J21" s="172">
        <f t="shared" si="0"/>
        <v>0</v>
      </c>
      <c r="K21" s="172">
        <f t="shared" si="1"/>
        <v>0</v>
      </c>
      <c r="L21" s="172">
        <f>B5B!L151</f>
        <v>0</v>
      </c>
      <c r="M21" s="236">
        <f>B5B!M151</f>
        <v>0</v>
      </c>
      <c r="N21" s="864"/>
    </row>
    <row r="22" spans="1:14" ht="12.75" customHeight="1" x14ac:dyDescent="0.25">
      <c r="A22" s="966" t="str">
        <f>B5B!A162</f>
        <v>Vote 15 - [NAME OF VOTE 15]</v>
      </c>
      <c r="B22" s="73"/>
      <c r="C22" s="792">
        <f>B5B!C162</f>
        <v>0</v>
      </c>
      <c r="D22" s="172">
        <f>B5B!D162</f>
        <v>0</v>
      </c>
      <c r="E22" s="172">
        <f>B5B!E162</f>
        <v>0</v>
      </c>
      <c r="F22" s="172">
        <f>B5B!F162</f>
        <v>0</v>
      </c>
      <c r="G22" s="172">
        <f>B5B!G162</f>
        <v>0</v>
      </c>
      <c r="H22" s="172">
        <f>B5B!H162</f>
        <v>0</v>
      </c>
      <c r="I22" s="172">
        <f>B5B!I162</f>
        <v>0</v>
      </c>
      <c r="J22" s="172">
        <f t="shared" si="0"/>
        <v>0</v>
      </c>
      <c r="K22" s="172">
        <f t="shared" si="1"/>
        <v>0</v>
      </c>
      <c r="L22" s="172">
        <f>B5B!L162</f>
        <v>0</v>
      </c>
      <c r="M22" s="236">
        <f>B5B!M162</f>
        <v>0</v>
      </c>
      <c r="N22" s="864"/>
    </row>
    <row r="23" spans="1:14" ht="12.75" customHeight="1" x14ac:dyDescent="0.25">
      <c r="A23" s="767" t="s">
        <v>714</v>
      </c>
      <c r="B23" s="73">
        <v>3</v>
      </c>
      <c r="C23" s="793">
        <f>SUM(C8:C22)</f>
        <v>0</v>
      </c>
      <c r="D23" s="583">
        <f t="shared" ref="D23:I23" si="2">SUM(D8:D22)</f>
        <v>0</v>
      </c>
      <c r="E23" s="583">
        <f t="shared" si="2"/>
        <v>0</v>
      </c>
      <c r="F23" s="583">
        <f t="shared" si="2"/>
        <v>0</v>
      </c>
      <c r="G23" s="583">
        <f t="shared" si="2"/>
        <v>0</v>
      </c>
      <c r="H23" s="583">
        <f t="shared" si="2"/>
        <v>0</v>
      </c>
      <c r="I23" s="583">
        <f t="shared" si="2"/>
        <v>0</v>
      </c>
      <c r="J23" s="583">
        <f>SUM(J8:J22)</f>
        <v>0</v>
      </c>
      <c r="K23" s="583">
        <f>SUM(K8:K22)</f>
        <v>0</v>
      </c>
      <c r="L23" s="583">
        <f>SUM(L8:L22)</f>
        <v>0</v>
      </c>
      <c r="M23" s="729">
        <f>SUM(M8:M22)</f>
        <v>0</v>
      </c>
      <c r="N23" s="554"/>
    </row>
    <row r="24" spans="1:14" ht="5.0999999999999996" customHeight="1" x14ac:dyDescent="0.25">
      <c r="A24" s="136"/>
      <c r="B24" s="73"/>
      <c r="C24" s="75"/>
      <c r="D24" s="172"/>
      <c r="E24" s="172"/>
      <c r="F24" s="172"/>
      <c r="G24" s="172"/>
      <c r="H24" s="172"/>
      <c r="I24" s="172"/>
      <c r="J24" s="172"/>
      <c r="K24" s="172"/>
      <c r="L24" s="172"/>
      <c r="M24" s="236"/>
      <c r="N24" s="128"/>
    </row>
    <row r="25" spans="1:14" ht="12.75" customHeight="1" x14ac:dyDescent="0.25">
      <c r="A25" s="52" t="s">
        <v>1283</v>
      </c>
      <c r="B25" s="137">
        <v>2</v>
      </c>
      <c r="C25" s="794"/>
      <c r="D25" s="172"/>
      <c r="E25" s="172"/>
      <c r="F25" s="172"/>
      <c r="G25" s="172"/>
      <c r="H25" s="172"/>
      <c r="I25" s="172"/>
      <c r="J25" s="172"/>
      <c r="K25" s="172"/>
      <c r="L25" s="172"/>
      <c r="M25" s="236"/>
      <c r="N25" s="128"/>
    </row>
    <row r="26" spans="1:14" ht="12.75" customHeight="1" x14ac:dyDescent="0.25">
      <c r="A26" s="966" t="str">
        <f>B5B!A177</f>
        <v>Vote 1 - COUNCIL</v>
      </c>
      <c r="B26" s="137"/>
      <c r="C26" s="794">
        <f>B5B!C177</f>
        <v>1200000</v>
      </c>
      <c r="D26" s="132">
        <f>B5B!D177</f>
        <v>0</v>
      </c>
      <c r="E26" s="132">
        <f>B5B!E177</f>
        <v>0</v>
      </c>
      <c r="F26" s="132">
        <f>B5B!F177</f>
        <v>0</v>
      </c>
      <c r="G26" s="132">
        <f>B5B!G177</f>
        <v>0</v>
      </c>
      <c r="H26" s="132">
        <f>B5B!H177</f>
        <v>0</v>
      </c>
      <c r="I26" s="132">
        <f>B5B!I177</f>
        <v>-293843</v>
      </c>
      <c r="J26" s="172">
        <f t="shared" ref="J26:J40" si="3">SUM(E26:I26)</f>
        <v>-293843</v>
      </c>
      <c r="K26" s="172">
        <f t="shared" ref="K26:K40" si="4">IF(D26=0,C26+J26,D26+J26)</f>
        <v>906157</v>
      </c>
      <c r="L26" s="132">
        <f>B5B!L177</f>
        <v>0</v>
      </c>
      <c r="M26" s="133">
        <f>B5B!M177</f>
        <v>0</v>
      </c>
      <c r="N26" s="866"/>
    </row>
    <row r="27" spans="1:14" ht="12.75" customHeight="1" x14ac:dyDescent="0.25">
      <c r="A27" s="966" t="str">
        <f>B5B!A188</f>
        <v>Vote 2 - Office of the Municipal Manger</v>
      </c>
      <c r="B27" s="137"/>
      <c r="C27" s="794">
        <f>B5B!C188</f>
        <v>0</v>
      </c>
      <c r="D27" s="132">
        <f>B5B!D188</f>
        <v>0</v>
      </c>
      <c r="E27" s="132">
        <f>B5B!E188</f>
        <v>0</v>
      </c>
      <c r="F27" s="132">
        <f>B5B!F188</f>
        <v>0</v>
      </c>
      <c r="G27" s="132">
        <f>B5B!G188</f>
        <v>0</v>
      </c>
      <c r="H27" s="132">
        <f>B5B!H188</f>
        <v>0</v>
      </c>
      <c r="I27" s="132">
        <f>B5B!I188</f>
        <v>0</v>
      </c>
      <c r="J27" s="172">
        <f t="shared" si="3"/>
        <v>0</v>
      </c>
      <c r="K27" s="172">
        <f t="shared" si="4"/>
        <v>0</v>
      </c>
      <c r="L27" s="132">
        <f>B5B!L188</f>
        <v>0</v>
      </c>
      <c r="M27" s="133">
        <f>B5B!M188</f>
        <v>0</v>
      </c>
      <c r="N27" s="866"/>
    </row>
    <row r="28" spans="1:14" ht="12.75" customHeight="1" x14ac:dyDescent="0.25">
      <c r="A28" s="966" t="str">
        <f>B5B!A199</f>
        <v>Vote 3 - Strategic Planning Monitoring and Evaluation</v>
      </c>
      <c r="B28" s="137"/>
      <c r="C28" s="794">
        <f>B5B!C199</f>
        <v>0</v>
      </c>
      <c r="D28" s="132">
        <f>B5B!D199</f>
        <v>0</v>
      </c>
      <c r="E28" s="132">
        <f>B5B!E199</f>
        <v>0</v>
      </c>
      <c r="F28" s="132">
        <f>B5B!F199</f>
        <v>0</v>
      </c>
      <c r="G28" s="132">
        <f>B5B!G199</f>
        <v>0</v>
      </c>
      <c r="H28" s="132">
        <f>B5B!H199</f>
        <v>0</v>
      </c>
      <c r="I28" s="132">
        <f>B5B!I199</f>
        <v>0</v>
      </c>
      <c r="J28" s="172">
        <f t="shared" si="3"/>
        <v>0</v>
      </c>
      <c r="K28" s="172">
        <f t="shared" si="4"/>
        <v>0</v>
      </c>
      <c r="L28" s="132">
        <f>B5B!L199</f>
        <v>0</v>
      </c>
      <c r="M28" s="133">
        <f>B5B!M199</f>
        <v>0</v>
      </c>
      <c r="N28" s="864"/>
    </row>
    <row r="29" spans="1:14" ht="12.75" customHeight="1" x14ac:dyDescent="0.25">
      <c r="A29" s="966" t="str">
        <f>B5B!A210</f>
        <v>Vote 4 - Engineering Services</v>
      </c>
      <c r="B29" s="137"/>
      <c r="C29" s="794">
        <f>B5B!C210</f>
        <v>309249000</v>
      </c>
      <c r="D29" s="132">
        <f>B5B!D210</f>
        <v>0</v>
      </c>
      <c r="E29" s="132">
        <f>B5B!E210</f>
        <v>0</v>
      </c>
      <c r="F29" s="132">
        <f>B5B!F210</f>
        <v>0</v>
      </c>
      <c r="G29" s="132">
        <f>B5B!G210</f>
        <v>0</v>
      </c>
      <c r="H29" s="132">
        <f>B5B!H210</f>
        <v>14410120.569999993</v>
      </c>
      <c r="I29" s="132">
        <f>B5B!I210</f>
        <v>-13664042.599999905</v>
      </c>
      <c r="J29" s="172">
        <f t="shared" si="3"/>
        <v>746077.97000008821</v>
      </c>
      <c r="K29" s="172">
        <f t="shared" si="4"/>
        <v>309995077.97000009</v>
      </c>
      <c r="L29" s="132">
        <f>B5B!L210</f>
        <v>322094000</v>
      </c>
      <c r="M29" s="133">
        <f>B5B!M210</f>
        <v>371110000</v>
      </c>
      <c r="N29" s="864"/>
    </row>
    <row r="30" spans="1:14" ht="12.75" customHeight="1" x14ac:dyDescent="0.25">
      <c r="A30" s="966" t="str">
        <f>B5B!A221</f>
        <v>Vote 5 -  Community Services</v>
      </c>
      <c r="B30" s="137"/>
      <c r="C30" s="794">
        <f>B5B!C221</f>
        <v>18683000</v>
      </c>
      <c r="D30" s="132">
        <f>B5B!D221</f>
        <v>0</v>
      </c>
      <c r="E30" s="132">
        <f>B5B!E221</f>
        <v>0</v>
      </c>
      <c r="F30" s="132">
        <f>B5B!F221</f>
        <v>0</v>
      </c>
      <c r="G30" s="132">
        <f>B5B!G221</f>
        <v>0</v>
      </c>
      <c r="H30" s="132">
        <f>B5B!H221</f>
        <v>0</v>
      </c>
      <c r="I30" s="132">
        <f>B5B!I221</f>
        <v>-1470287</v>
      </c>
      <c r="J30" s="172">
        <f t="shared" si="3"/>
        <v>-1470287</v>
      </c>
      <c r="K30" s="172">
        <f t="shared" si="4"/>
        <v>17212713</v>
      </c>
      <c r="L30" s="132">
        <f>B5B!L221</f>
        <v>15156000</v>
      </c>
      <c r="M30" s="133">
        <f>B5B!M221</f>
        <v>19190000</v>
      </c>
      <c r="N30" s="864"/>
    </row>
    <row r="31" spans="1:14" ht="12.75" customHeight="1" x14ac:dyDescent="0.25">
      <c r="A31" s="966" t="str">
        <f>B5B!A232</f>
        <v>Vote 6 - Community Development</v>
      </c>
      <c r="B31" s="137"/>
      <c r="C31" s="794">
        <f>B5B!C232</f>
        <v>68300000</v>
      </c>
      <c r="D31" s="132">
        <f>B5B!D232</f>
        <v>0</v>
      </c>
      <c r="E31" s="132">
        <f>B5B!E232</f>
        <v>0</v>
      </c>
      <c r="F31" s="132">
        <f>B5B!F232</f>
        <v>0</v>
      </c>
      <c r="G31" s="132">
        <f>B5B!G232</f>
        <v>0</v>
      </c>
      <c r="H31" s="132">
        <f>B5B!H232</f>
        <v>230667.99999999907</v>
      </c>
      <c r="I31" s="132">
        <f>B5B!I232</f>
        <v>15934190</v>
      </c>
      <c r="J31" s="172">
        <f t="shared" si="3"/>
        <v>16164858</v>
      </c>
      <c r="K31" s="172">
        <f t="shared" si="4"/>
        <v>84464858</v>
      </c>
      <c r="L31" s="132">
        <f>B5B!L232</f>
        <v>83237000</v>
      </c>
      <c r="M31" s="133">
        <f>B5B!M232</f>
        <v>81270000</v>
      </c>
      <c r="N31" s="864"/>
    </row>
    <row r="32" spans="1:14" ht="12.75" customHeight="1" x14ac:dyDescent="0.25">
      <c r="A32" s="966" t="str">
        <f>B5B!A243</f>
        <v>Vote 7 - Corporate  and Shared Services</v>
      </c>
      <c r="B32" s="137"/>
      <c r="C32" s="794">
        <f>B5B!C243</f>
        <v>5000000</v>
      </c>
      <c r="D32" s="132">
        <f>B5B!D243</f>
        <v>0</v>
      </c>
      <c r="E32" s="132">
        <f>B5B!E243</f>
        <v>0</v>
      </c>
      <c r="F32" s="132">
        <f>B5B!F243</f>
        <v>0</v>
      </c>
      <c r="G32" s="132">
        <f>B5B!G243</f>
        <v>0</v>
      </c>
      <c r="H32" s="132">
        <f>B5B!H243</f>
        <v>0</v>
      </c>
      <c r="I32" s="132">
        <f>B5B!I243</f>
        <v>3230811</v>
      </c>
      <c r="J32" s="172">
        <f t="shared" si="3"/>
        <v>3230811</v>
      </c>
      <c r="K32" s="172">
        <f t="shared" si="4"/>
        <v>8230811</v>
      </c>
      <c r="L32" s="132">
        <f>B5B!L243</f>
        <v>8500000</v>
      </c>
      <c r="M32" s="133">
        <f>B5B!M243</f>
        <v>9500000</v>
      </c>
      <c r="N32" s="864"/>
    </row>
    <row r="33" spans="1:14" ht="12.75" customHeight="1" x14ac:dyDescent="0.25">
      <c r="A33" s="966" t="str">
        <f>B5B!A254</f>
        <v>Vote 8 - Planning and Economic Development</v>
      </c>
      <c r="B33" s="137"/>
      <c r="C33" s="794">
        <f>B5B!C254</f>
        <v>3000000</v>
      </c>
      <c r="D33" s="132">
        <f>B5B!D254</f>
        <v>0</v>
      </c>
      <c r="E33" s="132">
        <f>B5B!E254</f>
        <v>0</v>
      </c>
      <c r="F33" s="132">
        <f>B5B!F254</f>
        <v>0</v>
      </c>
      <c r="G33" s="132">
        <f>B5B!G254</f>
        <v>0</v>
      </c>
      <c r="H33" s="132">
        <f>B5B!H254</f>
        <v>0</v>
      </c>
      <c r="I33" s="132">
        <f>B5B!I254</f>
        <v>1118851</v>
      </c>
      <c r="J33" s="172">
        <f t="shared" si="3"/>
        <v>1118851</v>
      </c>
      <c r="K33" s="172">
        <f t="shared" si="4"/>
        <v>4118851</v>
      </c>
      <c r="L33" s="132">
        <f>B5B!L254</f>
        <v>3500000</v>
      </c>
      <c r="M33" s="133">
        <f>B5B!M254</f>
        <v>2000000</v>
      </c>
      <c r="N33" s="864"/>
    </row>
    <row r="34" spans="1:14" ht="12.75" customHeight="1" x14ac:dyDescent="0.25">
      <c r="A34" s="966" t="str">
        <f>B5B!A265</f>
        <v>Vote 9 - Budget and Treasury</v>
      </c>
      <c r="B34" s="137"/>
      <c r="C34" s="794">
        <f>B5B!C265</f>
        <v>5000000</v>
      </c>
      <c r="D34" s="132">
        <f>B5B!D265</f>
        <v>0</v>
      </c>
      <c r="E34" s="132">
        <f>B5B!E265</f>
        <v>0</v>
      </c>
      <c r="F34" s="132">
        <f>B5B!F265</f>
        <v>0</v>
      </c>
      <c r="G34" s="132">
        <f>B5B!G265</f>
        <v>0</v>
      </c>
      <c r="H34" s="132">
        <f>B5B!H265</f>
        <v>0</v>
      </c>
      <c r="I34" s="132">
        <f>B5B!I265</f>
        <v>0</v>
      </c>
      <c r="J34" s="172">
        <f t="shared" si="3"/>
        <v>0</v>
      </c>
      <c r="K34" s="172">
        <f t="shared" si="4"/>
        <v>5000000</v>
      </c>
      <c r="L34" s="132">
        <f>B5B!L265</f>
        <v>7000000</v>
      </c>
      <c r="M34" s="133">
        <f>B5B!M265</f>
        <v>7000000</v>
      </c>
      <c r="N34" s="864"/>
    </row>
    <row r="35" spans="1:14" ht="12.75" customHeight="1" x14ac:dyDescent="0.25">
      <c r="A35" s="966" t="str">
        <f>B5B!A276</f>
        <v>Vote 10 - Transport Operations</v>
      </c>
      <c r="B35" s="137"/>
      <c r="C35" s="794">
        <f>B5B!C276</f>
        <v>169689000</v>
      </c>
      <c r="D35" s="132">
        <f>B5B!D276</f>
        <v>0</v>
      </c>
      <c r="E35" s="132">
        <f>B5B!E276</f>
        <v>0</v>
      </c>
      <c r="F35" s="132">
        <f>B5B!F276</f>
        <v>0</v>
      </c>
      <c r="G35" s="132">
        <f>B5B!G276</f>
        <v>0</v>
      </c>
      <c r="H35" s="132">
        <f>B5B!H276</f>
        <v>28167868.029999986</v>
      </c>
      <c r="I35" s="132">
        <f>B5B!I276</f>
        <v>-1500000</v>
      </c>
      <c r="J35" s="172">
        <f t="shared" si="3"/>
        <v>26667868.029999986</v>
      </c>
      <c r="K35" s="172">
        <f t="shared" si="4"/>
        <v>196356868.02999997</v>
      </c>
      <c r="L35" s="132">
        <f>B5B!L276</f>
        <v>156361000</v>
      </c>
      <c r="M35" s="133">
        <f>B5B!M276</f>
        <v>147625950</v>
      </c>
      <c r="N35" s="864"/>
    </row>
    <row r="36" spans="1:14" ht="12.75" customHeight="1" x14ac:dyDescent="0.25">
      <c r="A36" s="966" t="str">
        <f>B5B!A287</f>
        <v>Vote 11 - [NAME OF VOTE 11]</v>
      </c>
      <c r="B36" s="137"/>
      <c r="C36" s="794">
        <f>B5B!C287</f>
        <v>0</v>
      </c>
      <c r="D36" s="132">
        <f>B5B!D287</f>
        <v>0</v>
      </c>
      <c r="E36" s="132">
        <f>B5B!E287</f>
        <v>0</v>
      </c>
      <c r="F36" s="132">
        <f>B5B!F287</f>
        <v>0</v>
      </c>
      <c r="G36" s="132">
        <f>B5B!G287</f>
        <v>0</v>
      </c>
      <c r="H36" s="132">
        <f>B5B!H287</f>
        <v>0</v>
      </c>
      <c r="I36" s="132">
        <f>B5B!I287</f>
        <v>0</v>
      </c>
      <c r="J36" s="172">
        <f t="shared" si="3"/>
        <v>0</v>
      </c>
      <c r="K36" s="172">
        <f t="shared" si="4"/>
        <v>0</v>
      </c>
      <c r="L36" s="132">
        <f>B5B!L287</f>
        <v>0</v>
      </c>
      <c r="M36" s="133">
        <f>B5B!M287</f>
        <v>0</v>
      </c>
      <c r="N36" s="864"/>
    </row>
    <row r="37" spans="1:14" ht="12.75" customHeight="1" x14ac:dyDescent="0.25">
      <c r="A37" s="966" t="str">
        <f>B5B!A298</f>
        <v>Vote 12 - [NAME OF VOTE 12]</v>
      </c>
      <c r="B37" s="137"/>
      <c r="C37" s="794">
        <f>B5B!C298</f>
        <v>0</v>
      </c>
      <c r="D37" s="132">
        <f>B5B!D298</f>
        <v>0</v>
      </c>
      <c r="E37" s="132">
        <f>B5B!E298</f>
        <v>0</v>
      </c>
      <c r="F37" s="132">
        <f>B5B!F298</f>
        <v>0</v>
      </c>
      <c r="G37" s="132">
        <f>B5B!G298</f>
        <v>0</v>
      </c>
      <c r="H37" s="132">
        <f>B5B!H298</f>
        <v>0</v>
      </c>
      <c r="I37" s="132">
        <f>B5B!I298</f>
        <v>0</v>
      </c>
      <c r="J37" s="172">
        <f t="shared" si="3"/>
        <v>0</v>
      </c>
      <c r="K37" s="172">
        <f>IF(D37=0,C37+J37,D37+J37)</f>
        <v>0</v>
      </c>
      <c r="L37" s="132">
        <f>B5B!L298</f>
        <v>0</v>
      </c>
      <c r="M37" s="133">
        <f>B5B!M298</f>
        <v>0</v>
      </c>
      <c r="N37" s="864"/>
    </row>
    <row r="38" spans="1:14" x14ac:dyDescent="0.25">
      <c r="A38" s="966" t="str">
        <f>B5B!A309</f>
        <v>Vote 13 - [NAME OF VOTE 13]</v>
      </c>
      <c r="B38" s="137"/>
      <c r="C38" s="795">
        <f>B5B!C309</f>
        <v>0</v>
      </c>
      <c r="D38" s="132">
        <f>B5B!D309</f>
        <v>0</v>
      </c>
      <c r="E38" s="132">
        <f>B5B!E309</f>
        <v>0</v>
      </c>
      <c r="F38" s="132">
        <f>B5B!F309</f>
        <v>0</v>
      </c>
      <c r="G38" s="132">
        <f>B5B!G309</f>
        <v>0</v>
      </c>
      <c r="H38" s="132">
        <f>B5B!H309</f>
        <v>0</v>
      </c>
      <c r="I38" s="132">
        <f>B5B!I309</f>
        <v>0</v>
      </c>
      <c r="J38" s="172">
        <f t="shared" si="3"/>
        <v>0</v>
      </c>
      <c r="K38" s="172">
        <f t="shared" si="4"/>
        <v>0</v>
      </c>
      <c r="L38" s="132">
        <f>B5B!L309</f>
        <v>0</v>
      </c>
      <c r="M38" s="133">
        <f>B5B!M309</f>
        <v>0</v>
      </c>
      <c r="N38" s="864"/>
    </row>
    <row r="39" spans="1:14" ht="12.75" customHeight="1" x14ac:dyDescent="0.25">
      <c r="A39" s="966" t="str">
        <f>B5B!A320</f>
        <v>Vote 14 - [NAME OF VOTE 14]</v>
      </c>
      <c r="B39" s="137"/>
      <c r="C39" s="795">
        <f>B5B!C320</f>
        <v>0</v>
      </c>
      <c r="D39" s="132">
        <f>B5B!D320</f>
        <v>0</v>
      </c>
      <c r="E39" s="132">
        <f>B5B!E320</f>
        <v>0</v>
      </c>
      <c r="F39" s="132">
        <f>B5B!F320</f>
        <v>0</v>
      </c>
      <c r="G39" s="132">
        <f>B5B!G320</f>
        <v>0</v>
      </c>
      <c r="H39" s="132">
        <f>B5B!H320</f>
        <v>0</v>
      </c>
      <c r="I39" s="132">
        <f>B5B!I320</f>
        <v>0</v>
      </c>
      <c r="J39" s="172">
        <f t="shared" si="3"/>
        <v>0</v>
      </c>
      <c r="K39" s="172">
        <f t="shared" si="4"/>
        <v>0</v>
      </c>
      <c r="L39" s="132">
        <f>B5B!L320</f>
        <v>0</v>
      </c>
      <c r="M39" s="133">
        <f>B5B!M320</f>
        <v>0</v>
      </c>
      <c r="N39" s="864"/>
    </row>
    <row r="40" spans="1:14" ht="12.75" customHeight="1" x14ac:dyDescent="0.25">
      <c r="A40" s="966" t="str">
        <f>B5B!A331</f>
        <v>Vote 15 - [NAME OF VOTE 15]</v>
      </c>
      <c r="B40" s="137"/>
      <c r="C40" s="795">
        <f>B5B!C331</f>
        <v>0</v>
      </c>
      <c r="D40" s="132">
        <f>B5B!D331</f>
        <v>0</v>
      </c>
      <c r="E40" s="132">
        <f>B5B!E331</f>
        <v>0</v>
      </c>
      <c r="F40" s="132">
        <f>B5B!F331</f>
        <v>0</v>
      </c>
      <c r="G40" s="132">
        <f>B5B!G331</f>
        <v>0</v>
      </c>
      <c r="H40" s="132">
        <f>B5B!H331</f>
        <v>0</v>
      </c>
      <c r="I40" s="132">
        <f>B5B!I331</f>
        <v>0</v>
      </c>
      <c r="J40" s="172">
        <f t="shared" si="3"/>
        <v>0</v>
      </c>
      <c r="K40" s="172">
        <f t="shared" si="4"/>
        <v>0</v>
      </c>
      <c r="L40" s="132">
        <f>B5B!L331</f>
        <v>0</v>
      </c>
      <c r="M40" s="133">
        <f>B5B!M331</f>
        <v>0</v>
      </c>
      <c r="N40" s="864"/>
    </row>
    <row r="41" spans="1:14" ht="12.75" customHeight="1" x14ac:dyDescent="0.25">
      <c r="A41" s="162" t="s">
        <v>715</v>
      </c>
      <c r="B41" s="154"/>
      <c r="C41" s="796">
        <f>SUM(C26:C40)</f>
        <v>580121000</v>
      </c>
      <c r="D41" s="81">
        <f t="shared" ref="D41:I41" si="5">SUM(D26:D40)</f>
        <v>0</v>
      </c>
      <c r="E41" s="81">
        <f t="shared" si="5"/>
        <v>0</v>
      </c>
      <c r="F41" s="81">
        <f t="shared" si="5"/>
        <v>0</v>
      </c>
      <c r="G41" s="81">
        <f t="shared" si="5"/>
        <v>0</v>
      </c>
      <c r="H41" s="81">
        <f t="shared" si="5"/>
        <v>42808656.599999979</v>
      </c>
      <c r="I41" s="81">
        <f t="shared" si="5"/>
        <v>3355679.4000000954</v>
      </c>
      <c r="J41" s="81">
        <f>SUM(J26:J40)</f>
        <v>46164336.000000075</v>
      </c>
      <c r="K41" s="81">
        <f>SUM(K26:K40)</f>
        <v>626285336</v>
      </c>
      <c r="L41" s="81">
        <f>SUM(L26:L40)</f>
        <v>595848000</v>
      </c>
      <c r="M41" s="82">
        <f>SUM(M26:M40)</f>
        <v>637695950</v>
      </c>
      <c r="N41" s="554"/>
    </row>
    <row r="42" spans="1:14" ht="12.75" customHeight="1" x14ac:dyDescent="0.25">
      <c r="A42" s="163" t="s">
        <v>1284</v>
      </c>
      <c r="B42" s="79"/>
      <c r="C42" s="881">
        <f>C41+C23</f>
        <v>580121000</v>
      </c>
      <c r="D42" s="81">
        <f t="shared" ref="D42:I42" si="6">D41+D23</f>
        <v>0</v>
      </c>
      <c r="E42" s="81">
        <f t="shared" si="6"/>
        <v>0</v>
      </c>
      <c r="F42" s="81">
        <f t="shared" si="6"/>
        <v>0</v>
      </c>
      <c r="G42" s="81">
        <f t="shared" si="6"/>
        <v>0</v>
      </c>
      <c r="H42" s="81">
        <f t="shared" si="6"/>
        <v>42808656.599999979</v>
      </c>
      <c r="I42" s="81">
        <f t="shared" si="6"/>
        <v>3355679.4000000954</v>
      </c>
      <c r="J42" s="81">
        <f>J23+J41</f>
        <v>46164336.000000075</v>
      </c>
      <c r="K42" s="81">
        <f>K23+K41</f>
        <v>626285336</v>
      </c>
      <c r="L42" s="81">
        <f>L41+L23</f>
        <v>595848000</v>
      </c>
      <c r="M42" s="82">
        <f>M41+M23</f>
        <v>637695950</v>
      </c>
      <c r="N42" s="128"/>
    </row>
    <row r="43" spans="1:14" ht="5.0999999999999996" customHeight="1" x14ac:dyDescent="0.25">
      <c r="A43" s="136"/>
      <c r="B43" s="73"/>
      <c r="C43" s="74"/>
      <c r="D43" s="75"/>
      <c r="E43" s="75"/>
      <c r="F43" s="75"/>
      <c r="G43" s="75"/>
      <c r="H43" s="75"/>
      <c r="I43" s="75"/>
      <c r="J43" s="75"/>
      <c r="K43" s="75"/>
      <c r="L43" s="75"/>
      <c r="M43" s="76"/>
      <c r="N43" s="128"/>
    </row>
    <row r="44" spans="1:14" ht="12.75" customHeight="1" x14ac:dyDescent="0.25">
      <c r="A44" s="126" t="s">
        <v>716</v>
      </c>
      <c r="B44" s="73"/>
      <c r="C44" s="74"/>
      <c r="D44" s="75"/>
      <c r="E44" s="75"/>
      <c r="F44" s="75"/>
      <c r="G44" s="75"/>
      <c r="H44" s="75"/>
      <c r="I44" s="75"/>
      <c r="J44" s="75"/>
      <c r="K44" s="75"/>
      <c r="L44" s="75"/>
      <c r="M44" s="76"/>
      <c r="N44" s="128"/>
    </row>
    <row r="45" spans="1:14" ht="12.75" customHeight="1" x14ac:dyDescent="0.25">
      <c r="A45" s="107" t="str">
        <f>'B2-FinPerf SC'!A7</f>
        <v>Governance and administration</v>
      </c>
      <c r="B45" s="73"/>
      <c r="C45" s="258">
        <f t="shared" ref="C45:M45" si="7">SUM(C46:C48)</f>
        <v>30700000</v>
      </c>
      <c r="D45" s="258">
        <f t="shared" si="7"/>
        <v>0</v>
      </c>
      <c r="E45" s="258">
        <f t="shared" si="7"/>
        <v>0</v>
      </c>
      <c r="F45" s="258">
        <f t="shared" si="7"/>
        <v>0</v>
      </c>
      <c r="G45" s="258">
        <f t="shared" si="7"/>
        <v>0</v>
      </c>
      <c r="H45" s="258">
        <f t="shared" si="7"/>
        <v>0</v>
      </c>
      <c r="I45" s="258">
        <f t="shared" si="7"/>
        <v>-393843</v>
      </c>
      <c r="J45" s="258">
        <f>SUM(J46:J48)</f>
        <v>-393843</v>
      </c>
      <c r="K45" s="258">
        <f t="shared" si="7"/>
        <v>30306157</v>
      </c>
      <c r="L45" s="258">
        <f t="shared" si="7"/>
        <v>38650000</v>
      </c>
      <c r="M45" s="713">
        <f t="shared" si="7"/>
        <v>35300000</v>
      </c>
      <c r="N45" s="128"/>
    </row>
    <row r="46" spans="1:14" ht="12.75" customHeight="1" x14ac:dyDescent="0.25">
      <c r="A46" s="108" t="str">
        <f>'B2-FinPerf SC'!A8</f>
        <v>Executive and council</v>
      </c>
      <c r="B46" s="73"/>
      <c r="C46" s="109">
        <v>1200000</v>
      </c>
      <c r="D46" s="109"/>
      <c r="E46" s="109"/>
      <c r="F46" s="109"/>
      <c r="G46" s="109"/>
      <c r="H46" s="109"/>
      <c r="I46" s="109">
        <v>-293843</v>
      </c>
      <c r="J46" s="172">
        <f>SUM(E46:I46)</f>
        <v>-293843</v>
      </c>
      <c r="K46" s="172">
        <f>IF(D46=0,C46+J46,D46+J46)</f>
        <v>906157</v>
      </c>
      <c r="L46" s="109">
        <v>0</v>
      </c>
      <c r="M46" s="110">
        <v>0</v>
      </c>
      <c r="N46" s="128"/>
    </row>
    <row r="47" spans="1:14" ht="12.75" customHeight="1" x14ac:dyDescent="0.25">
      <c r="A47" s="108" t="str">
        <f>'B2-FinPerf SC'!A9</f>
        <v>Budget and treasury office</v>
      </c>
      <c r="B47" s="73"/>
      <c r="C47" s="111">
        <v>5000000</v>
      </c>
      <c r="D47" s="111"/>
      <c r="E47" s="111"/>
      <c r="F47" s="111"/>
      <c r="G47" s="111"/>
      <c r="H47" s="111"/>
      <c r="I47" s="111">
        <v>0</v>
      </c>
      <c r="J47" s="172">
        <f>SUM(E47:I47)</f>
        <v>0</v>
      </c>
      <c r="K47" s="172">
        <f>IF(D47=0,C47+J47,D47+J47)</f>
        <v>5000000</v>
      </c>
      <c r="L47" s="111">
        <v>7000000</v>
      </c>
      <c r="M47" s="112">
        <v>7000000</v>
      </c>
      <c r="N47" s="128"/>
    </row>
    <row r="48" spans="1:14" ht="12.75" customHeight="1" x14ac:dyDescent="0.25">
      <c r="A48" s="108" t="str">
        <f>'B2-FinPerf SC'!A10</f>
        <v>Corporate services</v>
      </c>
      <c r="B48" s="73"/>
      <c r="C48" s="109">
        <v>24500000</v>
      </c>
      <c r="D48" s="109"/>
      <c r="E48" s="109"/>
      <c r="F48" s="109"/>
      <c r="G48" s="109"/>
      <c r="H48" s="109">
        <v>0</v>
      </c>
      <c r="I48" s="109">
        <f>1730811+1500000-2958460-372351</f>
        <v>-100000</v>
      </c>
      <c r="J48" s="172">
        <f>SUM(E48:I48)</f>
        <v>-100000</v>
      </c>
      <c r="K48" s="172">
        <f>IF(D48=0,C48+J48,D48+J48)</f>
        <v>24400000</v>
      </c>
      <c r="L48" s="109">
        <v>31650000</v>
      </c>
      <c r="M48" s="110">
        <v>28300000</v>
      </c>
      <c r="N48" s="128"/>
    </row>
    <row r="49" spans="1:14" ht="12.75" customHeight="1" x14ac:dyDescent="0.25">
      <c r="A49" s="107" t="str">
        <f>'B2-FinPerf SC'!A11</f>
        <v>Community and public safety</v>
      </c>
      <c r="B49" s="73"/>
      <c r="C49" s="258">
        <f t="shared" ref="C49:M49" si="8">SUM(C50:C54)</f>
        <v>59183000</v>
      </c>
      <c r="D49" s="258">
        <f t="shared" si="8"/>
        <v>0</v>
      </c>
      <c r="E49" s="258">
        <f t="shared" si="8"/>
        <v>0</v>
      </c>
      <c r="F49" s="258">
        <f t="shared" si="8"/>
        <v>0</v>
      </c>
      <c r="G49" s="258">
        <f t="shared" si="8"/>
        <v>0</v>
      </c>
      <c r="H49" s="258">
        <f t="shared" si="8"/>
        <v>230667.99999999907</v>
      </c>
      <c r="I49" s="258">
        <f t="shared" si="8"/>
        <v>-700668</v>
      </c>
      <c r="J49" s="258">
        <f>SUM(J50:J54)</f>
        <v>-470000.00000000093</v>
      </c>
      <c r="K49" s="258">
        <f t="shared" si="8"/>
        <v>58713000</v>
      </c>
      <c r="L49" s="258">
        <f t="shared" si="8"/>
        <v>68557000</v>
      </c>
      <c r="M49" s="713">
        <f t="shared" si="8"/>
        <v>70360000</v>
      </c>
      <c r="N49" s="128"/>
    </row>
    <row r="50" spans="1:14" ht="12.75" customHeight="1" x14ac:dyDescent="0.25">
      <c r="A50" s="108" t="str">
        <f>'B2-FinPerf SC'!A12</f>
        <v>Community and social services</v>
      </c>
      <c r="B50" s="73"/>
      <c r="C50" s="109">
        <v>6100000</v>
      </c>
      <c r="D50" s="109"/>
      <c r="E50" s="109"/>
      <c r="F50" s="109"/>
      <c r="G50" s="109"/>
      <c r="H50" s="109"/>
      <c r="I50" s="109">
        <v>1407460</v>
      </c>
      <c r="J50" s="172">
        <f>SUM(E50:I50)</f>
        <v>1407460</v>
      </c>
      <c r="K50" s="172">
        <f>IF(D50=0,C50+J50,D50+J50)</f>
        <v>7507460</v>
      </c>
      <c r="L50" s="109">
        <v>14850000</v>
      </c>
      <c r="M50" s="110">
        <v>17390000</v>
      </c>
      <c r="N50" s="128"/>
    </row>
    <row r="51" spans="1:14" ht="12.75" customHeight="1" x14ac:dyDescent="0.25">
      <c r="A51" s="108" t="str">
        <f>'B2-FinPerf SC'!A13</f>
        <v>Sport and recreation</v>
      </c>
      <c r="B51" s="73"/>
      <c r="C51" s="109">
        <v>46500000</v>
      </c>
      <c r="D51" s="109"/>
      <c r="E51" s="109"/>
      <c r="F51" s="109"/>
      <c r="G51" s="109"/>
      <c r="H51" s="109">
        <v>230667.99999999907</v>
      </c>
      <c r="I51" s="109">
        <f>19622532-1907460-16853200</f>
        <v>861872</v>
      </c>
      <c r="J51" s="172">
        <f>SUM(E51:I51)</f>
        <v>1092539.9999999991</v>
      </c>
      <c r="K51" s="172">
        <f>IF(D51=0,C51+J51,D51+J51)</f>
        <v>47592540</v>
      </c>
      <c r="L51" s="109">
        <v>51587000</v>
      </c>
      <c r="M51" s="110">
        <v>52970000</v>
      </c>
      <c r="N51" s="128"/>
    </row>
    <row r="52" spans="1:14" ht="12.75" customHeight="1" x14ac:dyDescent="0.25">
      <c r="A52" s="108" t="str">
        <f>'B2-FinPerf SC'!A14</f>
        <v>Public safety</v>
      </c>
      <c r="B52" s="73"/>
      <c r="C52" s="109">
        <v>6000000</v>
      </c>
      <c r="D52" s="109"/>
      <c r="E52" s="109"/>
      <c r="F52" s="109"/>
      <c r="G52" s="109"/>
      <c r="H52" s="109"/>
      <c r="I52" s="109">
        <v>-2970000</v>
      </c>
      <c r="J52" s="172">
        <f>SUM(E52:I52)</f>
        <v>-2970000</v>
      </c>
      <c r="K52" s="172">
        <f>IF(D52=0,C52+J52,D52+J52)</f>
        <v>3030000</v>
      </c>
      <c r="L52" s="109">
        <v>2120000</v>
      </c>
      <c r="M52" s="110">
        <v>0</v>
      </c>
      <c r="N52" s="128"/>
    </row>
    <row r="53" spans="1:14" ht="12.75" customHeight="1" x14ac:dyDescent="0.25">
      <c r="A53" s="108" t="str">
        <f>'B2-FinPerf SC'!A15</f>
        <v>Housing</v>
      </c>
      <c r="B53" s="73"/>
      <c r="C53" s="109">
        <v>0</v>
      </c>
      <c r="D53" s="109"/>
      <c r="E53" s="109"/>
      <c r="F53" s="109"/>
      <c r="G53" s="109"/>
      <c r="H53" s="109"/>
      <c r="I53" s="109">
        <v>0</v>
      </c>
      <c r="J53" s="172">
        <f>SUM(E53:I53)</f>
        <v>0</v>
      </c>
      <c r="K53" s="172">
        <f>IF(D53=0,C53+J53,D53+J53)</f>
        <v>0</v>
      </c>
      <c r="L53" s="109">
        <v>0</v>
      </c>
      <c r="M53" s="110">
        <v>0</v>
      </c>
      <c r="N53" s="128"/>
    </row>
    <row r="54" spans="1:14" ht="12.75" customHeight="1" x14ac:dyDescent="0.25">
      <c r="A54" s="108" t="str">
        <f>'B2-FinPerf SC'!A16</f>
        <v>Health</v>
      </c>
      <c r="B54" s="73"/>
      <c r="C54" s="111">
        <v>583000</v>
      </c>
      <c r="D54" s="111"/>
      <c r="E54" s="111"/>
      <c r="F54" s="111"/>
      <c r="G54" s="111"/>
      <c r="H54" s="111"/>
      <c r="I54" s="111">
        <v>0</v>
      </c>
      <c r="J54" s="172">
        <f>SUM(E54:I54)</f>
        <v>0</v>
      </c>
      <c r="K54" s="172">
        <f>IF(D54=0,C54+J54,D54+J54)</f>
        <v>583000</v>
      </c>
      <c r="L54" s="111">
        <v>0</v>
      </c>
      <c r="M54" s="112">
        <v>0</v>
      </c>
      <c r="N54" s="128"/>
    </row>
    <row r="55" spans="1:14" ht="12.75" customHeight="1" x14ac:dyDescent="0.25">
      <c r="A55" s="107" t="str">
        <f>'B2-FinPerf SC'!A17</f>
        <v>Economic and environmental services</v>
      </c>
      <c r="B55" s="73"/>
      <c r="C55" s="258">
        <f t="shared" ref="C55:M55" si="9">SUM(C56:C58)</f>
        <v>299938000</v>
      </c>
      <c r="D55" s="258">
        <f t="shared" si="9"/>
        <v>0</v>
      </c>
      <c r="E55" s="258">
        <f t="shared" si="9"/>
        <v>0</v>
      </c>
      <c r="F55" s="258">
        <f t="shared" si="9"/>
        <v>0</v>
      </c>
      <c r="G55" s="258">
        <f t="shared" si="9"/>
        <v>0</v>
      </c>
      <c r="H55" s="258">
        <f t="shared" si="9"/>
        <v>41862570</v>
      </c>
      <c r="I55" s="258">
        <f t="shared" si="9"/>
        <v>-26232711</v>
      </c>
      <c r="J55" s="258">
        <f t="shared" si="9"/>
        <v>15629859</v>
      </c>
      <c r="K55" s="258">
        <f t="shared" si="9"/>
        <v>315567859</v>
      </c>
      <c r="L55" s="258">
        <f t="shared" si="9"/>
        <v>304791000</v>
      </c>
      <c r="M55" s="713">
        <f t="shared" si="9"/>
        <v>295103950</v>
      </c>
      <c r="N55" s="128"/>
    </row>
    <row r="56" spans="1:14" ht="12.75" customHeight="1" x14ac:dyDescent="0.25">
      <c r="A56" s="108" t="str">
        <f>'B2-FinPerf SC'!A18</f>
        <v>Planning and development</v>
      </c>
      <c r="B56" s="137"/>
      <c r="C56" s="109">
        <v>3000000</v>
      </c>
      <c r="D56" s="109"/>
      <c r="E56" s="109"/>
      <c r="F56" s="109"/>
      <c r="G56" s="109"/>
      <c r="H56" s="109">
        <v>0</v>
      </c>
      <c r="I56" s="109">
        <f>1118851-118680</f>
        <v>1000171</v>
      </c>
      <c r="J56" s="172">
        <f>SUM(E56:I56)</f>
        <v>1000171</v>
      </c>
      <c r="K56" s="172">
        <f>IF(D56=0,C56+J56,D56+J56)</f>
        <v>4000171</v>
      </c>
      <c r="L56" s="109">
        <v>3500000</v>
      </c>
      <c r="M56" s="110">
        <v>2000000</v>
      </c>
      <c r="N56" s="128"/>
    </row>
    <row r="57" spans="1:14" ht="12.75" customHeight="1" x14ac:dyDescent="0.25">
      <c r="A57" s="108" t="str">
        <f>'B2-FinPerf SC'!A19</f>
        <v>Road transport</v>
      </c>
      <c r="B57" s="73"/>
      <c r="C57" s="109">
        <v>296938000</v>
      </c>
      <c r="D57" s="109"/>
      <c r="E57" s="109"/>
      <c r="F57" s="109"/>
      <c r="G57" s="109"/>
      <c r="H57" s="109">
        <v>41862570</v>
      </c>
      <c r="I57" s="109">
        <f>-8405134-18827748</f>
        <v>-27232882</v>
      </c>
      <c r="J57" s="172">
        <f>SUM(E57:I57)</f>
        <v>14629688</v>
      </c>
      <c r="K57" s="172">
        <f>IF(D57=0,C57+J57,D57+J57)</f>
        <v>311567688</v>
      </c>
      <c r="L57" s="109">
        <v>301291000</v>
      </c>
      <c r="M57" s="110">
        <v>293103950</v>
      </c>
      <c r="N57" s="128"/>
    </row>
    <row r="58" spans="1:14" ht="12.75" customHeight="1" x14ac:dyDescent="0.25">
      <c r="A58" s="108" t="str">
        <f>'B2-FinPerf SC'!A20</f>
        <v>Environmental protection</v>
      </c>
      <c r="B58" s="73"/>
      <c r="C58" s="109">
        <v>0</v>
      </c>
      <c r="D58" s="109"/>
      <c r="E58" s="109"/>
      <c r="F58" s="109"/>
      <c r="G58" s="109"/>
      <c r="H58" s="109">
        <v>0</v>
      </c>
      <c r="I58" s="109">
        <f>330000-330000</f>
        <v>0</v>
      </c>
      <c r="J58" s="172">
        <f>SUM(E58:I58)</f>
        <v>0</v>
      </c>
      <c r="K58" s="172">
        <f>IF(D58=0,C58+J58,D58+J58)</f>
        <v>0</v>
      </c>
      <c r="L58" s="109">
        <v>0</v>
      </c>
      <c r="M58" s="110">
        <v>0</v>
      </c>
      <c r="N58" s="128"/>
    </row>
    <row r="59" spans="1:14" ht="12.75" customHeight="1" x14ac:dyDescent="0.25">
      <c r="A59" s="107" t="str">
        <f>'B2-FinPerf SC'!A21</f>
        <v>Trading services</v>
      </c>
      <c r="B59" s="73"/>
      <c r="C59" s="258">
        <f>SUM(C60:C63)</f>
        <v>190300000</v>
      </c>
      <c r="D59" s="258">
        <f t="shared" ref="D59:M59" si="10">SUM(D60:D63)</f>
        <v>0</v>
      </c>
      <c r="E59" s="258">
        <f t="shared" si="10"/>
        <v>0</v>
      </c>
      <c r="F59" s="258">
        <f t="shared" si="10"/>
        <v>0</v>
      </c>
      <c r="G59" s="258">
        <f t="shared" si="10"/>
        <v>0</v>
      </c>
      <c r="H59" s="258">
        <f t="shared" si="10"/>
        <v>715418</v>
      </c>
      <c r="I59" s="258">
        <f>SUM(I60:I63)</f>
        <v>30682902</v>
      </c>
      <c r="J59" s="258">
        <f>SUM(J60:J63)</f>
        <v>31398320</v>
      </c>
      <c r="K59" s="258">
        <f t="shared" si="10"/>
        <v>221698320</v>
      </c>
      <c r="L59" s="258">
        <f t="shared" si="10"/>
        <v>183850000</v>
      </c>
      <c r="M59" s="713">
        <f t="shared" si="10"/>
        <v>236932000</v>
      </c>
      <c r="N59" s="128"/>
    </row>
    <row r="60" spans="1:14" ht="12.75" customHeight="1" x14ac:dyDescent="0.25">
      <c r="A60" s="108" t="str">
        <f>'B2-FinPerf SC'!A22</f>
        <v>Electricity</v>
      </c>
      <c r="B60" s="73"/>
      <c r="C60" s="109">
        <v>14800000</v>
      </c>
      <c r="D60" s="109"/>
      <c r="E60" s="109"/>
      <c r="F60" s="109"/>
      <c r="G60" s="109"/>
      <c r="H60" s="109"/>
      <c r="I60" s="109">
        <f>2265309-5315309</f>
        <v>-3050000</v>
      </c>
      <c r="J60" s="75">
        <f>SUM(E60:I60)</f>
        <v>-3050000</v>
      </c>
      <c r="K60" s="75">
        <f>IF(D60=0,C60+J60,D60+J60)</f>
        <v>11750000</v>
      </c>
      <c r="L60" s="109">
        <v>59800000</v>
      </c>
      <c r="M60" s="110">
        <v>68700000</v>
      </c>
      <c r="N60" s="128"/>
    </row>
    <row r="61" spans="1:14" ht="12.75" customHeight="1" x14ac:dyDescent="0.25">
      <c r="A61" s="108" t="str">
        <f>'B2-FinPerf SC'!A23</f>
        <v>Water</v>
      </c>
      <c r="B61" s="73"/>
      <c r="C61" s="109">
        <v>171000000</v>
      </c>
      <c r="D61" s="109"/>
      <c r="E61" s="109"/>
      <c r="F61" s="109"/>
      <c r="G61" s="109"/>
      <c r="H61" s="109">
        <v>715418</v>
      </c>
      <c r="I61" s="109">
        <f>75941745+5000000-45852802-664</f>
        <v>35088279</v>
      </c>
      <c r="J61" s="75">
        <f>SUM(E61:I61)</f>
        <v>35803697</v>
      </c>
      <c r="K61" s="75">
        <f>IF(D61=0,C61+J61,D61+J61)</f>
        <v>206803697</v>
      </c>
      <c r="L61" s="109">
        <v>114364000</v>
      </c>
      <c r="M61" s="110">
        <v>154182000</v>
      </c>
      <c r="N61" s="128"/>
    </row>
    <row r="62" spans="1:14" ht="12.75" customHeight="1" x14ac:dyDescent="0.25">
      <c r="A62" s="108" t="str">
        <f>'B2-FinPerf SC'!A24</f>
        <v>Waste water management</v>
      </c>
      <c r="B62" s="73"/>
      <c r="C62" s="111">
        <v>500000</v>
      </c>
      <c r="D62" s="111"/>
      <c r="E62" s="109"/>
      <c r="F62" s="109"/>
      <c r="G62" s="109"/>
      <c r="H62" s="111"/>
      <c r="I62" s="111">
        <v>95360</v>
      </c>
      <c r="J62" s="75">
        <f>SUM(E62:I62)</f>
        <v>95360</v>
      </c>
      <c r="K62" s="75">
        <f>IF(D62=0,C62+J62,D62+J62)</f>
        <v>595360</v>
      </c>
      <c r="L62" s="111">
        <v>3000000</v>
      </c>
      <c r="M62" s="112">
        <v>2750000</v>
      </c>
      <c r="N62" s="128"/>
    </row>
    <row r="63" spans="1:14" ht="12.75" customHeight="1" x14ac:dyDescent="0.25">
      <c r="A63" s="108" t="str">
        <f>'B2-FinPerf SC'!A25</f>
        <v>Waste management</v>
      </c>
      <c r="B63" s="73"/>
      <c r="C63" s="109">
        <v>4000000</v>
      </c>
      <c r="D63" s="109"/>
      <c r="E63" s="109"/>
      <c r="F63" s="109"/>
      <c r="G63" s="109"/>
      <c r="H63" s="109"/>
      <c r="I63" s="109">
        <f>3384476-223-595360-4239630</f>
        <v>-1450737</v>
      </c>
      <c r="J63" s="75">
        <f>SUM(E63:I63)</f>
        <v>-1450737</v>
      </c>
      <c r="K63" s="75">
        <f>IF(D63=0,C63+J63,D63+J63)</f>
        <v>2549263</v>
      </c>
      <c r="L63" s="109">
        <v>6686000</v>
      </c>
      <c r="M63" s="110">
        <v>11300000</v>
      </c>
      <c r="N63" s="128"/>
    </row>
    <row r="64" spans="1:14" ht="12.75" customHeight="1" x14ac:dyDescent="0.25">
      <c r="A64" s="107" t="str">
        <f>'B2-FinPerf SC'!A26</f>
        <v>Other</v>
      </c>
      <c r="B64" s="73"/>
      <c r="C64" s="109"/>
      <c r="D64" s="109"/>
      <c r="E64" s="109"/>
      <c r="F64" s="109"/>
      <c r="G64" s="109"/>
      <c r="H64" s="109"/>
      <c r="I64" s="109">
        <v>0</v>
      </c>
      <c r="J64" s="75">
        <f>SUM(E64:I64)</f>
        <v>0</v>
      </c>
      <c r="K64" s="75">
        <f>IF(D64=0,C64+J64,D64+J64)</f>
        <v>0</v>
      </c>
      <c r="L64" s="109">
        <v>0</v>
      </c>
      <c r="M64" s="113">
        <v>0</v>
      </c>
      <c r="N64" s="128"/>
    </row>
    <row r="65" spans="1:14" ht="12.75" customHeight="1" x14ac:dyDescent="0.25">
      <c r="A65" s="163" t="s">
        <v>482</v>
      </c>
      <c r="B65" s="79">
        <v>3</v>
      </c>
      <c r="C65" s="694">
        <f>C45+C49+C55+C59+C64</f>
        <v>580121000</v>
      </c>
      <c r="D65" s="692">
        <f t="shared" ref="D65:M65" si="11">D45+D49+D55+D59+D64</f>
        <v>0</v>
      </c>
      <c r="E65" s="692">
        <f t="shared" si="11"/>
        <v>0</v>
      </c>
      <c r="F65" s="692">
        <f t="shared" si="11"/>
        <v>0</v>
      </c>
      <c r="G65" s="692">
        <f t="shared" si="11"/>
        <v>0</v>
      </c>
      <c r="H65" s="692">
        <f t="shared" si="11"/>
        <v>42808656</v>
      </c>
      <c r="I65" s="692">
        <f>I45+I49+I55+I59+I64</f>
        <v>3355680</v>
      </c>
      <c r="J65" s="692">
        <f t="shared" si="11"/>
        <v>46164336</v>
      </c>
      <c r="K65" s="692">
        <f t="shared" si="11"/>
        <v>626285336</v>
      </c>
      <c r="L65" s="692">
        <f t="shared" si="11"/>
        <v>595848000</v>
      </c>
      <c r="M65" s="693">
        <f t="shared" si="11"/>
        <v>637695950</v>
      </c>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717</v>
      </c>
      <c r="B67" s="73"/>
      <c r="C67" s="74"/>
      <c r="D67" s="75"/>
      <c r="E67" s="75"/>
      <c r="F67" s="75"/>
      <c r="G67" s="75"/>
      <c r="H67" s="75"/>
      <c r="I67" s="75"/>
      <c r="J67" s="75"/>
      <c r="K67" s="75"/>
      <c r="L67" s="75"/>
      <c r="M67" s="76"/>
      <c r="N67" s="128"/>
    </row>
    <row r="68" spans="1:14" ht="12.75" customHeight="1" x14ac:dyDescent="0.25">
      <c r="A68" s="164" t="s">
        <v>718</v>
      </c>
      <c r="B68" s="73"/>
      <c r="C68" s="130">
        <v>466288000</v>
      </c>
      <c r="D68" s="109"/>
      <c r="E68" s="109"/>
      <c r="F68" s="109"/>
      <c r="G68" s="109"/>
      <c r="H68" s="109">
        <v>42808656</v>
      </c>
      <c r="I68" s="109">
        <f>-38243000</f>
        <v>-38243000</v>
      </c>
      <c r="J68" s="75">
        <f>SUM(E68:I68)</f>
        <v>4565656</v>
      </c>
      <c r="K68" s="75">
        <f>IF(D68=0,C68+J68,D68+J68)</f>
        <v>470853656</v>
      </c>
      <c r="L68" s="109">
        <v>417198000</v>
      </c>
      <c r="M68" s="110">
        <v>437607950</v>
      </c>
      <c r="N68" s="128"/>
    </row>
    <row r="69" spans="1:14" ht="12.75" customHeight="1" x14ac:dyDescent="0.25">
      <c r="A69" s="164" t="s">
        <v>719</v>
      </c>
      <c r="B69" s="73"/>
      <c r="C69" s="130"/>
      <c r="D69" s="109"/>
      <c r="E69" s="109"/>
      <c r="F69" s="109"/>
      <c r="G69" s="109"/>
      <c r="H69" s="109"/>
      <c r="I69" s="109">
        <v>0</v>
      </c>
      <c r="J69" s="75">
        <f>SUM(E69:I69)</f>
        <v>0</v>
      </c>
      <c r="K69" s="75">
        <f>IF(D69=0,C69+J69,D69+J69)</f>
        <v>0</v>
      </c>
      <c r="L69" s="109">
        <v>0</v>
      </c>
      <c r="M69" s="110">
        <v>0</v>
      </c>
      <c r="N69" s="128"/>
    </row>
    <row r="70" spans="1:14" ht="12.75" customHeight="1" x14ac:dyDescent="0.25">
      <c r="A70" s="164" t="s">
        <v>720</v>
      </c>
      <c r="B70" s="73"/>
      <c r="C70" s="130"/>
      <c r="D70" s="109"/>
      <c r="E70" s="109"/>
      <c r="F70" s="109"/>
      <c r="G70" s="109"/>
      <c r="H70" s="109"/>
      <c r="I70" s="109"/>
      <c r="J70" s="75">
        <f>SUM(E70:I70)</f>
        <v>0</v>
      </c>
      <c r="K70" s="75">
        <f>IF(D70=0,C70+J70,D70+J70)</f>
        <v>0</v>
      </c>
      <c r="L70" s="109">
        <v>0</v>
      </c>
      <c r="M70" s="110">
        <v>0</v>
      </c>
      <c r="N70" s="128"/>
    </row>
    <row r="71" spans="1:14" ht="12.75" customHeight="1" x14ac:dyDescent="0.25">
      <c r="A71" s="164" t="s">
        <v>1285</v>
      </c>
      <c r="B71" s="73"/>
      <c r="C71" s="130"/>
      <c r="D71" s="109"/>
      <c r="E71" s="109"/>
      <c r="F71" s="109"/>
      <c r="G71" s="109"/>
      <c r="H71" s="109"/>
      <c r="I71" s="109"/>
      <c r="J71" s="75">
        <f>SUM(E71:I71)</f>
        <v>0</v>
      </c>
      <c r="K71" s="75">
        <f>IF(D71=0,C71+J71,D71+J71)</f>
        <v>0</v>
      </c>
      <c r="L71" s="109">
        <v>0</v>
      </c>
      <c r="M71" s="110">
        <v>0</v>
      </c>
      <c r="N71" s="128"/>
    </row>
    <row r="72" spans="1:14" ht="12.75" customHeight="1" x14ac:dyDescent="0.25">
      <c r="A72" s="165" t="s">
        <v>721</v>
      </c>
      <c r="B72" s="73">
        <v>4</v>
      </c>
      <c r="C72" s="150">
        <f t="shared" ref="C72:M72" si="12">SUM(C68:C71)</f>
        <v>466288000</v>
      </c>
      <c r="D72" s="151">
        <f t="shared" si="12"/>
        <v>0</v>
      </c>
      <c r="E72" s="151">
        <f t="shared" si="12"/>
        <v>0</v>
      </c>
      <c r="F72" s="151">
        <f t="shared" si="12"/>
        <v>0</v>
      </c>
      <c r="G72" s="151">
        <f t="shared" si="12"/>
        <v>0</v>
      </c>
      <c r="H72" s="151">
        <f t="shared" si="12"/>
        <v>42808656</v>
      </c>
      <c r="I72" s="151">
        <f t="shared" si="12"/>
        <v>-38243000</v>
      </c>
      <c r="J72" s="151">
        <f t="shared" si="12"/>
        <v>4565656</v>
      </c>
      <c r="K72" s="151">
        <f t="shared" si="12"/>
        <v>470853656</v>
      </c>
      <c r="L72" s="151">
        <f t="shared" si="12"/>
        <v>417198000</v>
      </c>
      <c r="M72" s="152">
        <f t="shared" si="12"/>
        <v>437607950</v>
      </c>
      <c r="N72" s="128"/>
    </row>
    <row r="73" spans="1:14" ht="12.75" customHeight="1" x14ac:dyDescent="0.25">
      <c r="A73" s="165" t="s">
        <v>612</v>
      </c>
      <c r="B73" s="73"/>
      <c r="C73" s="130"/>
      <c r="D73" s="109"/>
      <c r="E73" s="109"/>
      <c r="F73" s="109"/>
      <c r="G73" s="109"/>
      <c r="H73" s="109"/>
      <c r="I73" s="109">
        <v>3355680</v>
      </c>
      <c r="J73" s="75">
        <f>SUM(E73:I73)</f>
        <v>3355680</v>
      </c>
      <c r="K73" s="75">
        <f>IF(D73=0,C73+J73,D73+J73)</f>
        <v>3355680</v>
      </c>
      <c r="L73" s="109"/>
      <c r="M73" s="110"/>
    </row>
    <row r="74" spans="1:14" ht="12.75" customHeight="1" x14ac:dyDescent="0.25">
      <c r="A74" s="166" t="s">
        <v>613</v>
      </c>
      <c r="B74" s="73"/>
      <c r="C74" s="130"/>
      <c r="D74" s="109"/>
      <c r="E74" s="109"/>
      <c r="F74" s="109"/>
      <c r="G74" s="109"/>
      <c r="H74" s="109"/>
      <c r="I74" s="109"/>
      <c r="J74" s="75">
        <f>SUM(E74:I74)</f>
        <v>0</v>
      </c>
      <c r="K74" s="75">
        <f>IF(D74=0,C74+J74,D74+J74)</f>
        <v>0</v>
      </c>
      <c r="L74" s="109"/>
      <c r="M74" s="110"/>
    </row>
    <row r="75" spans="1:14" ht="12.75" customHeight="1" x14ac:dyDescent="0.25">
      <c r="A75" s="166" t="s">
        <v>614</v>
      </c>
      <c r="B75" s="73"/>
      <c r="C75" s="130">
        <v>113833000</v>
      </c>
      <c r="D75" s="109"/>
      <c r="E75" s="109"/>
      <c r="F75" s="109"/>
      <c r="G75" s="109"/>
      <c r="H75" s="109"/>
      <c r="I75" s="109">
        <v>38243000</v>
      </c>
      <c r="J75" s="75">
        <f>SUM(E75:I75)</f>
        <v>38243000</v>
      </c>
      <c r="K75" s="75">
        <f>IF(D75=0,C75+J75,D75+J75)</f>
        <v>152076000</v>
      </c>
      <c r="L75" s="109">
        <v>178650000</v>
      </c>
      <c r="M75" s="110">
        <v>200088000</v>
      </c>
    </row>
    <row r="76" spans="1:14" ht="12.75" customHeight="1" x14ac:dyDescent="0.25">
      <c r="A76" s="155" t="s">
        <v>722</v>
      </c>
      <c r="B76" s="156"/>
      <c r="C76" s="157">
        <f t="shared" ref="C76:M76" si="13">SUM(C72:C75)</f>
        <v>580121000</v>
      </c>
      <c r="D76" s="117">
        <f t="shared" si="13"/>
        <v>0</v>
      </c>
      <c r="E76" s="117">
        <f t="shared" si="13"/>
        <v>0</v>
      </c>
      <c r="F76" s="117">
        <f t="shared" si="13"/>
        <v>0</v>
      </c>
      <c r="G76" s="117">
        <f t="shared" si="13"/>
        <v>0</v>
      </c>
      <c r="H76" s="117">
        <f t="shared" si="13"/>
        <v>42808656</v>
      </c>
      <c r="I76" s="117">
        <f t="shared" si="13"/>
        <v>3355680</v>
      </c>
      <c r="J76" s="117">
        <f t="shared" si="13"/>
        <v>46164336</v>
      </c>
      <c r="K76" s="117">
        <f t="shared" si="13"/>
        <v>626285336</v>
      </c>
      <c r="L76" s="117">
        <f t="shared" si="13"/>
        <v>595848000</v>
      </c>
      <c r="M76" s="118">
        <f t="shared" si="13"/>
        <v>637695950</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1177</v>
      </c>
      <c r="B78" s="93"/>
      <c r="C78" s="96"/>
      <c r="D78" s="96"/>
      <c r="E78" s="96"/>
      <c r="F78" s="96"/>
      <c r="G78" s="96"/>
      <c r="H78" s="96"/>
      <c r="I78" s="96"/>
      <c r="J78" s="96"/>
      <c r="K78" s="96"/>
      <c r="L78" s="96"/>
      <c r="M78" s="96"/>
    </row>
    <row r="79" spans="1:14" ht="13.5" customHeight="1" x14ac:dyDescent="0.25">
      <c r="A79" s="1331" t="s">
        <v>1178</v>
      </c>
      <c r="B79" s="1331"/>
      <c r="C79" s="1331"/>
      <c r="D79" s="1331"/>
      <c r="E79" s="1331"/>
      <c r="F79" s="1331"/>
      <c r="G79" s="1331"/>
      <c r="H79" s="1331"/>
      <c r="I79" s="1331"/>
      <c r="J79" s="1331"/>
      <c r="K79" s="1331"/>
      <c r="L79" s="1331"/>
      <c r="M79" s="1331"/>
    </row>
    <row r="80" spans="1:14" ht="12.75" customHeight="1" x14ac:dyDescent="0.25">
      <c r="A80" s="1332" t="s">
        <v>1286</v>
      </c>
      <c r="B80" s="1332"/>
      <c r="C80" s="1332"/>
      <c r="D80" s="1332"/>
      <c r="E80" s="1332"/>
      <c r="F80" s="1332"/>
      <c r="G80" s="1332"/>
      <c r="H80" s="1332"/>
      <c r="I80" s="1332"/>
      <c r="J80" s="1332"/>
      <c r="K80" s="1332"/>
      <c r="L80" s="1332"/>
      <c r="M80" s="167"/>
    </row>
    <row r="81" spans="1:13" ht="12.75" customHeight="1" x14ac:dyDescent="0.25">
      <c r="A81" s="1333" t="s">
        <v>1287</v>
      </c>
      <c r="B81" s="1333"/>
      <c r="C81" s="1333"/>
      <c r="D81" s="1333"/>
      <c r="E81" s="1333"/>
      <c r="F81" s="1333"/>
      <c r="G81" s="1333"/>
      <c r="H81" s="1333"/>
      <c r="I81" s="1333"/>
      <c r="J81" s="1333"/>
      <c r="K81" s="1333"/>
      <c r="L81" s="1333"/>
      <c r="M81" s="167"/>
    </row>
    <row r="82" spans="1:13" ht="12.75" customHeight="1" x14ac:dyDescent="0.25">
      <c r="A82" s="1320" t="s">
        <v>1100</v>
      </c>
      <c r="B82" s="1320"/>
      <c r="C82" s="1320"/>
      <c r="D82" s="1320"/>
      <c r="E82" s="1320"/>
      <c r="F82" s="1320"/>
      <c r="G82" s="1320"/>
      <c r="H82" s="1320"/>
      <c r="I82" s="1320"/>
      <c r="J82" s="1320"/>
      <c r="K82" s="1320"/>
      <c r="L82" s="1320"/>
      <c r="M82" s="1320"/>
    </row>
    <row r="83" spans="1:13" ht="12.75" customHeight="1" x14ac:dyDescent="0.25">
      <c r="A83" s="1320" t="s">
        <v>1165</v>
      </c>
      <c r="B83" s="1320"/>
      <c r="C83" s="1320"/>
      <c r="D83" s="1320"/>
      <c r="E83" s="1320"/>
      <c r="F83" s="1320"/>
      <c r="G83" s="1320"/>
      <c r="H83" s="1320"/>
      <c r="I83" s="1320"/>
      <c r="J83" s="1320"/>
      <c r="K83" s="1320"/>
      <c r="L83" s="1320"/>
      <c r="M83" s="1320"/>
    </row>
    <row r="84" spans="1:13" ht="12.75" customHeight="1" x14ac:dyDescent="0.25">
      <c r="A84" s="1314" t="s">
        <v>1166</v>
      </c>
      <c r="B84" s="1314"/>
      <c r="C84" s="1314"/>
      <c r="D84" s="1314"/>
      <c r="E84" s="1314"/>
      <c r="F84" s="1314"/>
      <c r="G84" s="1314"/>
      <c r="H84" s="1314"/>
      <c r="I84" s="1314"/>
      <c r="J84" s="1314"/>
      <c r="K84" s="1314"/>
      <c r="L84" s="1314"/>
      <c r="M84" s="1314"/>
    </row>
    <row r="85" spans="1:13" ht="12.75" customHeight="1" x14ac:dyDescent="0.25">
      <c r="A85" s="1314" t="s">
        <v>1167</v>
      </c>
      <c r="B85" s="1314"/>
      <c r="C85" s="1314"/>
      <c r="D85" s="1314"/>
      <c r="E85" s="1314"/>
      <c r="F85" s="1314"/>
      <c r="G85" s="1314"/>
      <c r="H85" s="1314"/>
      <c r="I85" s="1314"/>
      <c r="J85" s="1314"/>
      <c r="K85" s="1314"/>
      <c r="L85" s="1314"/>
      <c r="M85" s="1314"/>
    </row>
    <row r="86" spans="1:13" ht="12.75" customHeight="1" x14ac:dyDescent="0.25">
      <c r="A86" s="99" t="s">
        <v>1163</v>
      </c>
      <c r="B86" s="93"/>
      <c r="C86" s="96"/>
      <c r="D86" s="96"/>
      <c r="E86" s="96"/>
      <c r="F86" s="96"/>
      <c r="G86" s="96"/>
      <c r="H86" s="96"/>
      <c r="I86" s="96"/>
      <c r="J86" s="96"/>
      <c r="K86" s="96"/>
      <c r="L86" s="96"/>
      <c r="M86" s="96"/>
    </row>
    <row r="87" spans="1:13" ht="26.25" customHeight="1" x14ac:dyDescent="0.25">
      <c r="A87" s="1314" t="s">
        <v>1164</v>
      </c>
      <c r="B87" s="1314"/>
      <c r="C87" s="1314"/>
      <c r="D87" s="1314"/>
      <c r="E87" s="1314"/>
      <c r="F87" s="1314"/>
      <c r="G87" s="1314"/>
      <c r="H87" s="1314"/>
      <c r="I87" s="1314"/>
      <c r="J87" s="1314"/>
      <c r="K87" s="1314"/>
      <c r="L87" s="1314"/>
      <c r="M87" s="1314"/>
    </row>
    <row r="88" spans="1:13" ht="12.75" customHeight="1" x14ac:dyDescent="0.25">
      <c r="A88" s="99" t="s">
        <v>680</v>
      </c>
      <c r="B88" s="93"/>
      <c r="C88" s="96"/>
      <c r="D88" s="96"/>
      <c r="E88" s="96"/>
      <c r="F88" s="96"/>
      <c r="G88" s="96"/>
      <c r="H88" s="96"/>
      <c r="I88" s="96"/>
      <c r="J88" s="96"/>
      <c r="K88" s="96"/>
      <c r="L88" s="96"/>
      <c r="M88" s="96"/>
    </row>
    <row r="89" spans="1:13" ht="12.75" customHeight="1" x14ac:dyDescent="0.25">
      <c r="A89" s="1314" t="s">
        <v>681</v>
      </c>
      <c r="B89" s="1314"/>
      <c r="C89" s="1314"/>
      <c r="D89" s="1314"/>
      <c r="E89" s="1314"/>
      <c r="F89" s="1314"/>
      <c r="G89" s="1314"/>
      <c r="H89" s="1314"/>
      <c r="I89" s="1314"/>
      <c r="J89" s="1314"/>
      <c r="K89" s="1314"/>
      <c r="L89" s="1314"/>
      <c r="M89" s="1314"/>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724</v>
      </c>
      <c r="B91" s="93"/>
      <c r="C91" s="168">
        <f>C65-C76</f>
        <v>0</v>
      </c>
      <c r="D91" s="102">
        <f>D65-D76</f>
        <v>0</v>
      </c>
      <c r="E91" s="102">
        <f>E65-E76</f>
        <v>0</v>
      </c>
      <c r="F91" s="102"/>
      <c r="G91" s="102"/>
      <c r="H91" s="102">
        <f t="shared" ref="H91:M91" si="14">H65-H76</f>
        <v>0</v>
      </c>
      <c r="I91" s="102">
        <f t="shared" si="14"/>
        <v>0</v>
      </c>
      <c r="J91" s="102">
        <f t="shared" si="14"/>
        <v>0</v>
      </c>
      <c r="K91" s="102">
        <f t="shared" si="14"/>
        <v>0</v>
      </c>
      <c r="L91" s="102">
        <f t="shared" si="14"/>
        <v>0</v>
      </c>
      <c r="M91" s="102">
        <f t="shared" si="14"/>
        <v>0</v>
      </c>
    </row>
    <row r="92" spans="1:13" ht="11.25" customHeight="1" x14ac:dyDescent="0.25">
      <c r="C92" s="168"/>
      <c r="D92" s="169"/>
      <c r="E92" s="169"/>
      <c r="F92" s="169"/>
      <c r="G92" s="169"/>
      <c r="H92" s="169"/>
      <c r="I92" s="169"/>
      <c r="J92" s="169"/>
      <c r="K92" s="169"/>
      <c r="L92" s="169"/>
      <c r="M92" s="168"/>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sheet="1" objects="1" scenarios="1"/>
  <mergeCells count="12">
    <mergeCell ref="A87:M87"/>
    <mergeCell ref="A89:M89"/>
    <mergeCell ref="A2:A3"/>
    <mergeCell ref="B2:B3"/>
    <mergeCell ref="A79:M79"/>
    <mergeCell ref="C2:K2"/>
    <mergeCell ref="A80:L80"/>
    <mergeCell ref="A81:L81"/>
    <mergeCell ref="A82:M82"/>
    <mergeCell ref="A83:M83"/>
    <mergeCell ref="A84:M84"/>
    <mergeCell ref="A85:M85"/>
  </mergeCells>
  <phoneticPr fontId="3" type="noConversion"/>
  <printOptions horizontalCentered="1"/>
  <pageMargins left="0.35433070866141736" right="0.15748031496062992" top="0.78740157480314965" bottom="0.59055118110236227" header="0.51181102362204722" footer="0.39370078740157483"/>
  <pageSetup paperSize="9" scale="65" orientation="portrait" r:id="rId1"/>
  <headerFooter alignWithMargins="0"/>
  <ignoredErrors>
    <ignoredError sqref="J50:J58 K66:K72 J66:J72 J60:J63 K60:K64 K49 K51:K5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204" zoomScaleNormal="100" workbookViewId="0">
      <selection activeCell="F218" sqref="F218"/>
    </sheetView>
  </sheetViews>
  <sheetFormatPr defaultRowHeight="12.75" x14ac:dyDescent="0.2"/>
  <cols>
    <col min="1" max="1" width="27.42578125" style="899" customWidth="1"/>
    <col min="2" max="2" width="5.28515625" style="899" customWidth="1"/>
    <col min="3" max="13" width="10.140625" customWidth="1"/>
  </cols>
  <sheetData>
    <row r="1" spans="1:13" ht="13.5" x14ac:dyDescent="0.25">
      <c r="A1" s="882" t="str">
        <f>muni&amp;" - "&amp;_ADJ5&amp;" - B"&amp;" - "&amp;Date</f>
        <v>LIM354 Polokwane - Table B5 Adjustments Capital Expenditure Budget by vote and funding - B - 25 February 2016</v>
      </c>
      <c r="B1" s="883"/>
      <c r="C1" s="58"/>
      <c r="D1" s="5"/>
      <c r="E1" s="5"/>
      <c r="F1" s="5"/>
      <c r="G1" s="5"/>
      <c r="H1" s="5"/>
      <c r="I1" s="5"/>
      <c r="J1" s="5"/>
      <c r="K1" s="5"/>
      <c r="L1" s="5"/>
      <c r="M1" s="5"/>
    </row>
    <row r="2" spans="1:13" ht="25.5" x14ac:dyDescent="0.2">
      <c r="A2" s="1334" t="str">
        <f>Vdesc</f>
        <v>Vote Description</v>
      </c>
      <c r="B2" s="1336" t="str">
        <f>head27</f>
        <v>Ref</v>
      </c>
      <c r="C2" s="1315" t="str">
        <f>Head2</f>
        <v>Budget Year 2015/16</v>
      </c>
      <c r="D2" s="1316"/>
      <c r="E2" s="1316"/>
      <c r="F2" s="1316"/>
      <c r="G2" s="1316"/>
      <c r="H2" s="1316"/>
      <c r="I2" s="1316"/>
      <c r="J2" s="1316"/>
      <c r="K2" s="1316"/>
      <c r="L2" s="60" t="str">
        <f>Head10</f>
        <v>Budget Year +1 2016/17</v>
      </c>
      <c r="M2" s="61" t="str">
        <f>Head11</f>
        <v>Budget Year +2 2017/18</v>
      </c>
    </row>
    <row r="3" spans="1:13" ht="25.5" x14ac:dyDescent="0.2">
      <c r="A3" s="1335"/>
      <c r="B3" s="133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84" t="s">
        <v>640</v>
      </c>
      <c r="B4" s="1337"/>
      <c r="C4" s="65"/>
      <c r="D4" s="15">
        <v>3</v>
      </c>
      <c r="E4" s="15">
        <v>4</v>
      </c>
      <c r="F4" s="15">
        <v>5</v>
      </c>
      <c r="G4" s="15">
        <v>6</v>
      </c>
      <c r="H4" s="15">
        <v>7</v>
      </c>
      <c r="I4" s="15">
        <v>8</v>
      </c>
      <c r="J4" s="15">
        <v>9</v>
      </c>
      <c r="K4" s="15">
        <v>10</v>
      </c>
      <c r="L4" s="15"/>
      <c r="M4" s="17"/>
    </row>
    <row r="5" spans="1:13" ht="13.5" x14ac:dyDescent="0.25">
      <c r="A5" s="885" t="s">
        <v>641</v>
      </c>
      <c r="B5" s="1338"/>
      <c r="C5" s="67" t="s">
        <v>581</v>
      </c>
      <c r="D5" s="68" t="s">
        <v>582</v>
      </c>
      <c r="E5" s="68" t="s">
        <v>583</v>
      </c>
      <c r="F5" s="69" t="s">
        <v>584</v>
      </c>
      <c r="G5" s="69" t="s">
        <v>585</v>
      </c>
      <c r="H5" s="69" t="s">
        <v>586</v>
      </c>
      <c r="I5" s="70" t="s">
        <v>587</v>
      </c>
      <c r="J5" s="70" t="s">
        <v>588</v>
      </c>
      <c r="K5" s="70" t="s">
        <v>589</v>
      </c>
      <c r="L5" s="70"/>
      <c r="M5" s="71"/>
    </row>
    <row r="6" spans="1:13" ht="13.5" x14ac:dyDescent="0.25">
      <c r="A6" s="886" t="s">
        <v>1151</v>
      </c>
      <c r="B6" s="887"/>
      <c r="C6" s="748"/>
      <c r="D6" s="747"/>
      <c r="E6" s="747"/>
      <c r="F6" s="747"/>
      <c r="G6" s="747"/>
      <c r="H6" s="747"/>
      <c r="I6" s="747"/>
      <c r="J6" s="747"/>
      <c r="K6" s="747"/>
      <c r="L6" s="747"/>
      <c r="M6" s="776"/>
    </row>
    <row r="7" spans="1:13" ht="13.5" x14ac:dyDescent="0.25">
      <c r="A7" s="886" t="s">
        <v>1241</v>
      </c>
      <c r="B7" s="888">
        <v>2</v>
      </c>
      <c r="C7" s="784"/>
      <c r="D7" s="785"/>
      <c r="E7" s="785"/>
      <c r="F7" s="785"/>
      <c r="G7" s="785"/>
      <c r="H7" s="785"/>
      <c r="I7" s="785"/>
      <c r="J7" s="785"/>
      <c r="K7" s="785"/>
      <c r="L7" s="785"/>
      <c r="M7" s="786"/>
    </row>
    <row r="8" spans="1:13" ht="13.5" x14ac:dyDescent="0.25">
      <c r="A8" s="889" t="str">
        <f>'Org structure'!A2</f>
        <v>Vote 1 - COUNCIL</v>
      </c>
      <c r="B8" s="890"/>
      <c r="C8" s="750">
        <f>SUM(C9:C18)</f>
        <v>0</v>
      </c>
      <c r="D8" s="749">
        <f t="shared" ref="D8:I8" si="0">SUM(D9:D18)</f>
        <v>0</v>
      </c>
      <c r="E8" s="749">
        <f t="shared" si="0"/>
        <v>0</v>
      </c>
      <c r="F8" s="749">
        <f t="shared" si="0"/>
        <v>0</v>
      </c>
      <c r="G8" s="749">
        <f t="shared" si="0"/>
        <v>0</v>
      </c>
      <c r="H8" s="749">
        <f t="shared" si="0"/>
        <v>0</v>
      </c>
      <c r="I8" s="749">
        <f t="shared" si="0"/>
        <v>0</v>
      </c>
      <c r="J8" s="75">
        <f t="shared" ref="J8:J71" si="1">SUM(E8:I8)</f>
        <v>0</v>
      </c>
      <c r="K8" s="75">
        <f t="shared" ref="K8:K71" si="2">IF(D8=0,C8+J8,D8+J8)</f>
        <v>0</v>
      </c>
      <c r="L8" s="749">
        <f>SUM(L9:L18)</f>
        <v>0</v>
      </c>
      <c r="M8" s="777">
        <f>SUM(M9:M18)</f>
        <v>0</v>
      </c>
    </row>
    <row r="9" spans="1:13" ht="13.5" x14ac:dyDescent="0.25">
      <c r="A9" s="891" t="str">
        <f>'Org structure'!E3</f>
        <v>Council</v>
      </c>
      <c r="B9" s="888"/>
      <c r="C9" s="752"/>
      <c r="D9" s="751"/>
      <c r="E9" s="751"/>
      <c r="F9" s="751"/>
      <c r="G9" s="751"/>
      <c r="H9" s="751"/>
      <c r="I9" s="751"/>
      <c r="J9" s="75">
        <f t="shared" si="1"/>
        <v>0</v>
      </c>
      <c r="K9" s="75">
        <f t="shared" si="2"/>
        <v>0</v>
      </c>
      <c r="L9" s="751"/>
      <c r="M9" s="753"/>
    </row>
    <row r="10" spans="1:13" ht="13.5" x14ac:dyDescent="0.25">
      <c r="A10" s="891" t="str">
        <f>'Org structure'!E4</f>
        <v>Office of executive Mayor</v>
      </c>
      <c r="B10" s="888"/>
      <c r="C10" s="752"/>
      <c r="D10" s="751"/>
      <c r="E10" s="751"/>
      <c r="F10" s="751"/>
      <c r="G10" s="751"/>
      <c r="H10" s="751"/>
      <c r="I10" s="751"/>
      <c r="J10" s="75">
        <f t="shared" si="1"/>
        <v>0</v>
      </c>
      <c r="K10" s="75">
        <f t="shared" si="2"/>
        <v>0</v>
      </c>
      <c r="L10" s="751"/>
      <c r="M10" s="753"/>
    </row>
    <row r="11" spans="1:13" ht="13.5" x14ac:dyDescent="0.25">
      <c r="A11" s="891" t="str">
        <f>'Org structure'!E5</f>
        <v>Office of Speaker</v>
      </c>
      <c r="B11" s="888"/>
      <c r="C11" s="752"/>
      <c r="D11" s="751"/>
      <c r="E11" s="751"/>
      <c r="F11" s="751"/>
      <c r="G11" s="751"/>
      <c r="H11" s="751"/>
      <c r="I11" s="751"/>
      <c r="J11" s="75">
        <f t="shared" si="1"/>
        <v>0</v>
      </c>
      <c r="K11" s="75">
        <f t="shared" si="2"/>
        <v>0</v>
      </c>
      <c r="L11" s="751"/>
      <c r="M11" s="753"/>
    </row>
    <row r="12" spans="1:13" ht="13.5" x14ac:dyDescent="0.25">
      <c r="A12" s="891" t="str">
        <f>'Org structure'!E6</f>
        <v>Office of Chief Whip</v>
      </c>
      <c r="B12" s="888"/>
      <c r="C12" s="752"/>
      <c r="D12" s="751"/>
      <c r="E12" s="751"/>
      <c r="F12" s="751"/>
      <c r="G12" s="751"/>
      <c r="H12" s="751"/>
      <c r="I12" s="751"/>
      <c r="J12" s="75">
        <f t="shared" si="1"/>
        <v>0</v>
      </c>
      <c r="K12" s="75">
        <f t="shared" si="2"/>
        <v>0</v>
      </c>
      <c r="L12" s="751"/>
      <c r="M12" s="753"/>
    </row>
    <row r="13" spans="1:13" ht="13.5" x14ac:dyDescent="0.25">
      <c r="A13" s="891">
        <f>'Org structure'!E7</f>
        <v>0</v>
      </c>
      <c r="B13" s="888"/>
      <c r="C13" s="752"/>
      <c r="D13" s="751"/>
      <c r="E13" s="751"/>
      <c r="F13" s="751"/>
      <c r="G13" s="751"/>
      <c r="H13" s="751"/>
      <c r="I13" s="751"/>
      <c r="J13" s="75">
        <f t="shared" si="1"/>
        <v>0</v>
      </c>
      <c r="K13" s="75">
        <f t="shared" si="2"/>
        <v>0</v>
      </c>
      <c r="L13" s="751"/>
      <c r="M13" s="753"/>
    </row>
    <row r="14" spans="1:13" ht="13.5" x14ac:dyDescent="0.25">
      <c r="A14" s="891">
        <f>'Org structure'!E8</f>
        <v>0</v>
      </c>
      <c r="B14" s="888"/>
      <c r="C14" s="752"/>
      <c r="D14" s="751"/>
      <c r="E14" s="751"/>
      <c r="F14" s="751"/>
      <c r="G14" s="751"/>
      <c r="H14" s="751"/>
      <c r="I14" s="751"/>
      <c r="J14" s="75">
        <f t="shared" si="1"/>
        <v>0</v>
      </c>
      <c r="K14" s="75">
        <f t="shared" si="2"/>
        <v>0</v>
      </c>
      <c r="L14" s="751"/>
      <c r="M14" s="753"/>
    </row>
    <row r="15" spans="1:13" ht="13.5" x14ac:dyDescent="0.25">
      <c r="A15" s="891">
        <f>'Org structure'!E9</f>
        <v>0</v>
      </c>
      <c r="B15" s="888"/>
      <c r="C15" s="752"/>
      <c r="D15" s="751"/>
      <c r="E15" s="751"/>
      <c r="F15" s="751"/>
      <c r="G15" s="751"/>
      <c r="H15" s="751"/>
      <c r="I15" s="751"/>
      <c r="J15" s="75">
        <f t="shared" si="1"/>
        <v>0</v>
      </c>
      <c r="K15" s="75">
        <f t="shared" si="2"/>
        <v>0</v>
      </c>
      <c r="L15" s="751"/>
      <c r="M15" s="753"/>
    </row>
    <row r="16" spans="1:13" ht="13.5" x14ac:dyDescent="0.25">
      <c r="A16" s="891">
        <f>'Org structure'!E10</f>
        <v>0</v>
      </c>
      <c r="B16" s="888"/>
      <c r="C16" s="752"/>
      <c r="D16" s="751"/>
      <c r="E16" s="751"/>
      <c r="F16" s="751"/>
      <c r="G16" s="751"/>
      <c r="H16" s="751"/>
      <c r="I16" s="751"/>
      <c r="J16" s="75">
        <f t="shared" si="1"/>
        <v>0</v>
      </c>
      <c r="K16" s="75">
        <f t="shared" si="2"/>
        <v>0</v>
      </c>
      <c r="L16" s="751"/>
      <c r="M16" s="753"/>
    </row>
    <row r="17" spans="1:13" ht="13.5" x14ac:dyDescent="0.25">
      <c r="A17" s="891">
        <f>'Org structure'!E11</f>
        <v>0</v>
      </c>
      <c r="B17" s="888"/>
      <c r="C17" s="752"/>
      <c r="D17" s="751"/>
      <c r="E17" s="751"/>
      <c r="F17" s="751"/>
      <c r="G17" s="751"/>
      <c r="H17" s="751"/>
      <c r="I17" s="751"/>
      <c r="J17" s="75">
        <f t="shared" si="1"/>
        <v>0</v>
      </c>
      <c r="K17" s="75">
        <f t="shared" si="2"/>
        <v>0</v>
      </c>
      <c r="L17" s="751"/>
      <c r="M17" s="753"/>
    </row>
    <row r="18" spans="1:13" ht="13.5" x14ac:dyDescent="0.25">
      <c r="A18" s="891">
        <f>'Org structure'!E12</f>
        <v>0</v>
      </c>
      <c r="B18" s="888"/>
      <c r="C18" s="752"/>
      <c r="D18" s="751"/>
      <c r="E18" s="751"/>
      <c r="F18" s="751"/>
      <c r="G18" s="751"/>
      <c r="H18" s="751"/>
      <c r="I18" s="751"/>
      <c r="J18" s="75">
        <f t="shared" si="1"/>
        <v>0</v>
      </c>
      <c r="K18" s="75">
        <f t="shared" si="2"/>
        <v>0</v>
      </c>
      <c r="L18" s="751"/>
      <c r="M18" s="753"/>
    </row>
    <row r="19" spans="1:13" ht="13.5" x14ac:dyDescent="0.25">
      <c r="A19" s="889" t="str">
        <f>'Org structure'!A3</f>
        <v>Vote 2 - Office of the Municipal Manger</v>
      </c>
      <c r="B19" s="890"/>
      <c r="C19" s="750">
        <f>SUM(C20:C29)</f>
        <v>0</v>
      </c>
      <c r="D19" s="749">
        <f t="shared" ref="D19:I19" si="3">SUM(D20:D29)</f>
        <v>0</v>
      </c>
      <c r="E19" s="749">
        <f t="shared" si="3"/>
        <v>0</v>
      </c>
      <c r="F19" s="749">
        <f t="shared" si="3"/>
        <v>0</v>
      </c>
      <c r="G19" s="749">
        <f t="shared" si="3"/>
        <v>0</v>
      </c>
      <c r="H19" s="749">
        <f t="shared" si="3"/>
        <v>0</v>
      </c>
      <c r="I19" s="749">
        <f t="shared" si="3"/>
        <v>0</v>
      </c>
      <c r="J19" s="75">
        <f t="shared" si="1"/>
        <v>0</v>
      </c>
      <c r="K19" s="75">
        <f t="shared" si="2"/>
        <v>0</v>
      </c>
      <c r="L19" s="749">
        <f>SUM(L20:L29)</f>
        <v>0</v>
      </c>
      <c r="M19" s="777">
        <f>SUM(M20:M29)</f>
        <v>0</v>
      </c>
    </row>
    <row r="20" spans="1:13" ht="13.5" x14ac:dyDescent="0.25">
      <c r="A20" s="891" t="str">
        <f>'Org structure'!E14</f>
        <v>2,1 - Office of the Municipal Manager</v>
      </c>
      <c r="B20" s="888"/>
      <c r="C20" s="752"/>
      <c r="D20" s="751"/>
      <c r="E20" s="751"/>
      <c r="F20" s="751"/>
      <c r="G20" s="751"/>
      <c r="H20" s="751"/>
      <c r="I20" s="751"/>
      <c r="J20" s="75">
        <f t="shared" si="1"/>
        <v>0</v>
      </c>
      <c r="K20" s="75">
        <f t="shared" si="2"/>
        <v>0</v>
      </c>
      <c r="L20" s="751"/>
      <c r="M20" s="753"/>
    </row>
    <row r="21" spans="1:13" ht="13.5" x14ac:dyDescent="0.25">
      <c r="A21" s="891" t="str">
        <f>'Org structure'!E15</f>
        <v>2,2 - Communications and Marketing</v>
      </c>
      <c r="B21" s="888"/>
      <c r="C21" s="752"/>
      <c r="D21" s="751"/>
      <c r="E21" s="751"/>
      <c r="F21" s="751"/>
      <c r="G21" s="751"/>
      <c r="H21" s="751"/>
      <c r="I21" s="751"/>
      <c r="J21" s="75">
        <f t="shared" si="1"/>
        <v>0</v>
      </c>
      <c r="K21" s="75">
        <f t="shared" si="2"/>
        <v>0</v>
      </c>
      <c r="L21" s="751"/>
      <c r="M21" s="753"/>
    </row>
    <row r="22" spans="1:13" ht="13.5" x14ac:dyDescent="0.25">
      <c r="A22" s="891" t="str">
        <f>'Org structure'!E16</f>
        <v>2,3 - Risk Management</v>
      </c>
      <c r="B22" s="888"/>
      <c r="C22" s="752"/>
      <c r="D22" s="751"/>
      <c r="E22" s="751"/>
      <c r="F22" s="751"/>
      <c r="G22" s="751"/>
      <c r="H22" s="751"/>
      <c r="I22" s="751"/>
      <c r="J22" s="75">
        <f t="shared" si="1"/>
        <v>0</v>
      </c>
      <c r="K22" s="75">
        <f t="shared" si="2"/>
        <v>0</v>
      </c>
      <c r="L22" s="751"/>
      <c r="M22" s="753"/>
    </row>
    <row r="23" spans="1:13" ht="13.5" x14ac:dyDescent="0.25">
      <c r="A23" s="891" t="str">
        <f>'Org structure'!E17</f>
        <v>2,4 - Internal Audit</v>
      </c>
      <c r="B23" s="888"/>
      <c r="C23" s="752"/>
      <c r="D23" s="751"/>
      <c r="E23" s="751"/>
      <c r="F23" s="751"/>
      <c r="G23" s="751"/>
      <c r="H23" s="751"/>
      <c r="I23" s="751"/>
      <c r="J23" s="75">
        <f t="shared" si="1"/>
        <v>0</v>
      </c>
      <c r="K23" s="75">
        <f t="shared" si="2"/>
        <v>0</v>
      </c>
      <c r="L23" s="751"/>
      <c r="M23" s="753"/>
    </row>
    <row r="24" spans="1:13" ht="13.5" x14ac:dyDescent="0.25">
      <c r="A24" s="891">
        <f>'Org structure'!E18</f>
        <v>0</v>
      </c>
      <c r="B24" s="888"/>
      <c r="C24" s="752"/>
      <c r="D24" s="751"/>
      <c r="E24" s="751"/>
      <c r="F24" s="751"/>
      <c r="G24" s="751"/>
      <c r="H24" s="751"/>
      <c r="I24" s="751"/>
      <c r="J24" s="75">
        <f t="shared" si="1"/>
        <v>0</v>
      </c>
      <c r="K24" s="75">
        <f t="shared" si="2"/>
        <v>0</v>
      </c>
      <c r="L24" s="751"/>
      <c r="M24" s="753"/>
    </row>
    <row r="25" spans="1:13" ht="13.5" x14ac:dyDescent="0.25">
      <c r="A25" s="891">
        <f>'Org structure'!E19</f>
        <v>0</v>
      </c>
      <c r="B25" s="888"/>
      <c r="C25" s="752"/>
      <c r="D25" s="751"/>
      <c r="E25" s="751"/>
      <c r="F25" s="751"/>
      <c r="G25" s="751"/>
      <c r="H25" s="751"/>
      <c r="I25" s="751"/>
      <c r="J25" s="75">
        <f t="shared" si="1"/>
        <v>0</v>
      </c>
      <c r="K25" s="75">
        <f t="shared" si="2"/>
        <v>0</v>
      </c>
      <c r="L25" s="751"/>
      <c r="M25" s="753"/>
    </row>
    <row r="26" spans="1:13" ht="13.5" x14ac:dyDescent="0.25">
      <c r="A26" s="891">
        <f>'Org structure'!E20</f>
        <v>0</v>
      </c>
      <c r="B26" s="888"/>
      <c r="C26" s="752"/>
      <c r="D26" s="751"/>
      <c r="E26" s="751"/>
      <c r="F26" s="751"/>
      <c r="G26" s="751"/>
      <c r="H26" s="751"/>
      <c r="I26" s="751"/>
      <c r="J26" s="75">
        <f t="shared" si="1"/>
        <v>0</v>
      </c>
      <c r="K26" s="75">
        <f t="shared" si="2"/>
        <v>0</v>
      </c>
      <c r="L26" s="751"/>
      <c r="M26" s="753"/>
    </row>
    <row r="27" spans="1:13" ht="13.5" x14ac:dyDescent="0.25">
      <c r="A27" s="891">
        <f>'Org structure'!E21</f>
        <v>0</v>
      </c>
      <c r="B27" s="888"/>
      <c r="C27" s="752"/>
      <c r="D27" s="751"/>
      <c r="E27" s="751"/>
      <c r="F27" s="751"/>
      <c r="G27" s="751"/>
      <c r="H27" s="751"/>
      <c r="I27" s="751"/>
      <c r="J27" s="75">
        <f t="shared" si="1"/>
        <v>0</v>
      </c>
      <c r="K27" s="75">
        <f t="shared" si="2"/>
        <v>0</v>
      </c>
      <c r="L27" s="751"/>
      <c r="M27" s="753"/>
    </row>
    <row r="28" spans="1:13" ht="13.5" x14ac:dyDescent="0.25">
      <c r="A28" s="891">
        <f>'Org structure'!E22</f>
        <v>0</v>
      </c>
      <c r="B28" s="888"/>
      <c r="C28" s="752"/>
      <c r="D28" s="751"/>
      <c r="E28" s="751"/>
      <c r="F28" s="751"/>
      <c r="G28" s="751"/>
      <c r="H28" s="751"/>
      <c r="I28" s="751"/>
      <c r="J28" s="75">
        <f t="shared" si="1"/>
        <v>0</v>
      </c>
      <c r="K28" s="75">
        <f t="shared" si="2"/>
        <v>0</v>
      </c>
      <c r="L28" s="751"/>
      <c r="M28" s="753"/>
    </row>
    <row r="29" spans="1:13" ht="13.5" x14ac:dyDescent="0.25">
      <c r="A29" s="891">
        <f>'Org structure'!E23</f>
        <v>0</v>
      </c>
      <c r="B29" s="888"/>
      <c r="C29" s="752"/>
      <c r="D29" s="751"/>
      <c r="E29" s="751"/>
      <c r="F29" s="751"/>
      <c r="G29" s="751"/>
      <c r="H29" s="751"/>
      <c r="I29" s="751"/>
      <c r="J29" s="75">
        <f t="shared" si="1"/>
        <v>0</v>
      </c>
      <c r="K29" s="75">
        <f t="shared" si="2"/>
        <v>0</v>
      </c>
      <c r="L29" s="751"/>
      <c r="M29" s="753"/>
    </row>
    <row r="30" spans="1:13" ht="13.5" x14ac:dyDescent="0.25">
      <c r="A30" s="889" t="str">
        <f>'Org structure'!A4</f>
        <v>Vote 3 - Strategic Planning Monitoring and Evaluation</v>
      </c>
      <c r="B30" s="890"/>
      <c r="C30" s="750">
        <f>SUM(C31:C40)</f>
        <v>0</v>
      </c>
      <c r="D30" s="749">
        <f t="shared" ref="D30:I30" si="4">SUM(D31:D40)</f>
        <v>0</v>
      </c>
      <c r="E30" s="749">
        <f t="shared" si="4"/>
        <v>0</v>
      </c>
      <c r="F30" s="749">
        <f t="shared" si="4"/>
        <v>0</v>
      </c>
      <c r="G30" s="749">
        <f t="shared" si="4"/>
        <v>0</v>
      </c>
      <c r="H30" s="749">
        <f t="shared" si="4"/>
        <v>0</v>
      </c>
      <c r="I30" s="749">
        <f t="shared" si="4"/>
        <v>0</v>
      </c>
      <c r="J30" s="75">
        <f t="shared" si="1"/>
        <v>0</v>
      </c>
      <c r="K30" s="75">
        <f t="shared" si="2"/>
        <v>0</v>
      </c>
      <c r="L30" s="749">
        <f>SUM(L31:L40)</f>
        <v>0</v>
      </c>
      <c r="M30" s="777">
        <f>SUM(M31:M40)</f>
        <v>0</v>
      </c>
    </row>
    <row r="31" spans="1:13" ht="13.5" x14ac:dyDescent="0.25">
      <c r="A31" s="891" t="str">
        <f>'Org structure'!E25</f>
        <v>3.1 - Director Strategic Planning Monitoring and Evaluation</v>
      </c>
      <c r="B31" s="888"/>
      <c r="C31" s="752"/>
      <c r="D31" s="751"/>
      <c r="E31" s="751"/>
      <c r="F31" s="751"/>
      <c r="G31" s="751"/>
      <c r="H31" s="751"/>
      <c r="I31" s="751"/>
      <c r="J31" s="75">
        <f t="shared" si="1"/>
        <v>0</v>
      </c>
      <c r="K31" s="75">
        <f t="shared" si="2"/>
        <v>0</v>
      </c>
      <c r="L31" s="751"/>
      <c r="M31" s="753"/>
    </row>
    <row r="32" spans="1:13" ht="13.5" x14ac:dyDescent="0.25">
      <c r="A32" s="891" t="str">
        <f>'Org structure'!E26</f>
        <v>3.2 - Risk Management</v>
      </c>
      <c r="B32" s="888"/>
      <c r="C32" s="752"/>
      <c r="D32" s="751"/>
      <c r="E32" s="751"/>
      <c r="F32" s="751"/>
      <c r="G32" s="751"/>
      <c r="H32" s="751"/>
      <c r="I32" s="751"/>
      <c r="J32" s="75">
        <f t="shared" si="1"/>
        <v>0</v>
      </c>
      <c r="K32" s="75">
        <f t="shared" si="2"/>
        <v>0</v>
      </c>
      <c r="L32" s="751"/>
      <c r="M32" s="753"/>
    </row>
    <row r="33" spans="1:13" ht="13.5" x14ac:dyDescent="0.25">
      <c r="A33" s="891" t="str">
        <f>'Org structure'!E27</f>
        <v>3.3 - Internal Audit</v>
      </c>
      <c r="B33" s="888"/>
      <c r="C33" s="752"/>
      <c r="D33" s="751"/>
      <c r="E33" s="751"/>
      <c r="F33" s="751"/>
      <c r="G33" s="751"/>
      <c r="H33" s="751"/>
      <c r="I33" s="751"/>
      <c r="J33" s="75">
        <f t="shared" si="1"/>
        <v>0</v>
      </c>
      <c r="K33" s="75">
        <f t="shared" si="2"/>
        <v>0</v>
      </c>
      <c r="L33" s="751"/>
      <c r="M33" s="753"/>
    </row>
    <row r="34" spans="1:13" ht="13.5" x14ac:dyDescent="0.25">
      <c r="A34" s="891" t="str">
        <f>'Org structure'!E28</f>
        <v>3.4 - Project Management</v>
      </c>
      <c r="B34" s="888"/>
      <c r="C34" s="752"/>
      <c r="D34" s="751"/>
      <c r="E34" s="751"/>
      <c r="F34" s="751"/>
      <c r="G34" s="751"/>
      <c r="H34" s="751"/>
      <c r="I34" s="751"/>
      <c r="J34" s="75">
        <f t="shared" si="1"/>
        <v>0</v>
      </c>
      <c r="K34" s="75">
        <f t="shared" si="2"/>
        <v>0</v>
      </c>
      <c r="L34" s="751"/>
      <c r="M34" s="753"/>
    </row>
    <row r="35" spans="1:13" ht="13.5" x14ac:dyDescent="0.25">
      <c r="A35" s="891" t="str">
        <f>'Org structure'!E29</f>
        <v>3.5 - Perfomance Management</v>
      </c>
      <c r="B35" s="888"/>
      <c r="C35" s="752"/>
      <c r="D35" s="751"/>
      <c r="E35" s="751"/>
      <c r="F35" s="751"/>
      <c r="G35" s="751"/>
      <c r="H35" s="751"/>
      <c r="I35" s="751"/>
      <c r="J35" s="75">
        <f t="shared" si="1"/>
        <v>0</v>
      </c>
      <c r="K35" s="75">
        <f t="shared" si="2"/>
        <v>0</v>
      </c>
      <c r="L35" s="751"/>
      <c r="M35" s="753"/>
    </row>
    <row r="36" spans="1:13" ht="13.5" x14ac:dyDescent="0.25">
      <c r="A36" s="891" t="str">
        <f>'Org structure'!E30</f>
        <v>3.6 - IDP</v>
      </c>
      <c r="B36" s="888"/>
      <c r="C36" s="752"/>
      <c r="D36" s="751"/>
      <c r="E36" s="751"/>
      <c r="F36" s="751"/>
      <c r="G36" s="751"/>
      <c r="H36" s="751"/>
      <c r="I36" s="751"/>
      <c r="J36" s="75">
        <f t="shared" si="1"/>
        <v>0</v>
      </c>
      <c r="K36" s="75">
        <f t="shared" si="2"/>
        <v>0</v>
      </c>
      <c r="L36" s="751"/>
      <c r="M36" s="753"/>
    </row>
    <row r="37" spans="1:13" ht="13.5" x14ac:dyDescent="0.25">
      <c r="A37" s="891" t="str">
        <f>'Org structure'!E31</f>
        <v>3.7 - Cluster Offices</v>
      </c>
      <c r="B37" s="888"/>
      <c r="C37" s="752"/>
      <c r="D37" s="751"/>
      <c r="E37" s="751"/>
      <c r="F37" s="751"/>
      <c r="G37" s="751"/>
      <c r="H37" s="751"/>
      <c r="I37" s="751"/>
      <c r="J37" s="75">
        <f t="shared" si="1"/>
        <v>0</v>
      </c>
      <c r="K37" s="75">
        <f t="shared" si="2"/>
        <v>0</v>
      </c>
      <c r="L37" s="751"/>
      <c r="M37" s="753"/>
    </row>
    <row r="38" spans="1:13" ht="13.5" x14ac:dyDescent="0.25">
      <c r="A38" s="891">
        <f>'Org structure'!E32</f>
        <v>0</v>
      </c>
      <c r="B38" s="888"/>
      <c r="C38" s="752"/>
      <c r="D38" s="751"/>
      <c r="E38" s="751"/>
      <c r="F38" s="751"/>
      <c r="G38" s="751"/>
      <c r="H38" s="751"/>
      <c r="I38" s="751"/>
      <c r="J38" s="75">
        <f t="shared" si="1"/>
        <v>0</v>
      </c>
      <c r="K38" s="75">
        <f t="shared" si="2"/>
        <v>0</v>
      </c>
      <c r="L38" s="751"/>
      <c r="M38" s="753"/>
    </row>
    <row r="39" spans="1:13" ht="13.5" x14ac:dyDescent="0.25">
      <c r="A39" s="891">
        <f>'Org structure'!E33</f>
        <v>0</v>
      </c>
      <c r="B39" s="888"/>
      <c r="C39" s="752"/>
      <c r="D39" s="751"/>
      <c r="E39" s="751"/>
      <c r="F39" s="751"/>
      <c r="G39" s="751"/>
      <c r="H39" s="751"/>
      <c r="I39" s="751"/>
      <c r="J39" s="75">
        <f t="shared" si="1"/>
        <v>0</v>
      </c>
      <c r="K39" s="75">
        <f t="shared" si="2"/>
        <v>0</v>
      </c>
      <c r="L39" s="751"/>
      <c r="M39" s="753"/>
    </row>
    <row r="40" spans="1:13" ht="13.5" x14ac:dyDescent="0.25">
      <c r="A40" s="891">
        <f>'Org structure'!E34</f>
        <v>0</v>
      </c>
      <c r="B40" s="888"/>
      <c r="C40" s="752"/>
      <c r="D40" s="751"/>
      <c r="E40" s="751"/>
      <c r="F40" s="751"/>
      <c r="G40" s="751"/>
      <c r="H40" s="751"/>
      <c r="I40" s="751"/>
      <c r="J40" s="75">
        <f t="shared" si="1"/>
        <v>0</v>
      </c>
      <c r="K40" s="75">
        <f t="shared" si="2"/>
        <v>0</v>
      </c>
      <c r="L40" s="751"/>
      <c r="M40" s="753"/>
    </row>
    <row r="41" spans="1:13" ht="13.5" x14ac:dyDescent="0.25">
      <c r="A41" s="889" t="str">
        <f>'Org structure'!A5</f>
        <v>Vote 4 - Engineering Services</v>
      </c>
      <c r="B41" s="890"/>
      <c r="C41" s="750">
        <f>SUM(C42:C51)</f>
        <v>0</v>
      </c>
      <c r="D41" s="749">
        <f t="shared" ref="D41:I41" si="5">SUM(D42:D51)</f>
        <v>0</v>
      </c>
      <c r="E41" s="749">
        <f t="shared" si="5"/>
        <v>0</v>
      </c>
      <c r="F41" s="749">
        <f t="shared" si="5"/>
        <v>0</v>
      </c>
      <c r="G41" s="749">
        <f t="shared" si="5"/>
        <v>0</v>
      </c>
      <c r="H41" s="749">
        <f t="shared" si="5"/>
        <v>0</v>
      </c>
      <c r="I41" s="749">
        <f t="shared" si="5"/>
        <v>0</v>
      </c>
      <c r="J41" s="75">
        <f t="shared" si="1"/>
        <v>0</v>
      </c>
      <c r="K41" s="75">
        <f t="shared" si="2"/>
        <v>0</v>
      </c>
      <c r="L41" s="749">
        <f>SUM(L42:L51)</f>
        <v>0</v>
      </c>
      <c r="M41" s="777">
        <f>SUM(M42:M51)</f>
        <v>0</v>
      </c>
    </row>
    <row r="42" spans="1:13" ht="13.5" x14ac:dyDescent="0.25">
      <c r="A42" s="891" t="str">
        <f>'Org structure'!E36</f>
        <v>4.1 - Roads and streets</v>
      </c>
      <c r="B42" s="888"/>
      <c r="C42" s="752"/>
      <c r="D42" s="751"/>
      <c r="E42" s="751"/>
      <c r="F42" s="751"/>
      <c r="G42" s="751"/>
      <c r="H42" s="751"/>
      <c r="I42" s="751"/>
      <c r="J42" s="75">
        <f t="shared" si="1"/>
        <v>0</v>
      </c>
      <c r="K42" s="75">
        <f t="shared" si="2"/>
        <v>0</v>
      </c>
      <c r="L42" s="751"/>
      <c r="M42" s="753"/>
    </row>
    <row r="43" spans="1:13" ht="13.5" x14ac:dyDescent="0.25">
      <c r="A43" s="891" t="str">
        <f>'Org structure'!E37</f>
        <v>4.2 - Stormwater</v>
      </c>
      <c r="B43" s="888"/>
      <c r="C43" s="752"/>
      <c r="D43" s="751"/>
      <c r="E43" s="751"/>
      <c r="F43" s="751"/>
      <c r="G43" s="751"/>
      <c r="H43" s="751"/>
      <c r="I43" s="751"/>
      <c r="J43" s="75">
        <f t="shared" si="1"/>
        <v>0</v>
      </c>
      <c r="K43" s="75">
        <f t="shared" si="2"/>
        <v>0</v>
      </c>
      <c r="L43" s="751"/>
      <c r="M43" s="753"/>
    </row>
    <row r="44" spans="1:13" ht="13.5" x14ac:dyDescent="0.25">
      <c r="A44" s="891" t="str">
        <f>'Org structure'!E38</f>
        <v>4.3 - Sewer Purification</v>
      </c>
      <c r="B44" s="888"/>
      <c r="C44" s="752"/>
      <c r="D44" s="751"/>
      <c r="E44" s="751"/>
      <c r="F44" s="751"/>
      <c r="G44" s="751"/>
      <c r="H44" s="751"/>
      <c r="I44" s="751"/>
      <c r="J44" s="75">
        <f t="shared" si="1"/>
        <v>0</v>
      </c>
      <c r="K44" s="75">
        <f t="shared" si="2"/>
        <v>0</v>
      </c>
      <c r="L44" s="751"/>
      <c r="M44" s="753"/>
    </row>
    <row r="45" spans="1:13" ht="13.5" x14ac:dyDescent="0.25">
      <c r="A45" s="891" t="str">
        <f>'Org structure'!E39</f>
        <v>4.4 - Sewer Reticulation</v>
      </c>
      <c r="B45" s="888"/>
      <c r="C45" s="752"/>
      <c r="D45" s="751"/>
      <c r="E45" s="751"/>
      <c r="F45" s="751"/>
      <c r="G45" s="751"/>
      <c r="H45" s="751"/>
      <c r="I45" s="751"/>
      <c r="J45" s="75">
        <f t="shared" si="1"/>
        <v>0</v>
      </c>
      <c r="K45" s="75">
        <f t="shared" si="2"/>
        <v>0</v>
      </c>
      <c r="L45" s="751"/>
      <c r="M45" s="753"/>
    </row>
    <row r="46" spans="1:13" ht="13.5" x14ac:dyDescent="0.25">
      <c r="A46" s="891" t="str">
        <f>'Org structure'!E40</f>
        <v>4.5 - Water Distribution</v>
      </c>
      <c r="B46" s="888"/>
      <c r="C46" s="752"/>
      <c r="D46" s="751"/>
      <c r="E46" s="751"/>
      <c r="F46" s="751"/>
      <c r="G46" s="751"/>
      <c r="H46" s="751"/>
      <c r="I46" s="751"/>
      <c r="J46" s="75">
        <f t="shared" si="1"/>
        <v>0</v>
      </c>
      <c r="K46" s="75">
        <f t="shared" si="2"/>
        <v>0</v>
      </c>
      <c r="L46" s="751"/>
      <c r="M46" s="753"/>
    </row>
    <row r="47" spans="1:13" ht="13.5" x14ac:dyDescent="0.25">
      <c r="A47" s="891" t="str">
        <f>'Org structure'!E41</f>
        <v>4.6 - Water Purification</v>
      </c>
      <c r="B47" s="888"/>
      <c r="C47" s="752"/>
      <c r="D47" s="751"/>
      <c r="E47" s="751"/>
      <c r="F47" s="751"/>
      <c r="G47" s="751"/>
      <c r="H47" s="751"/>
      <c r="I47" s="751"/>
      <c r="J47" s="75">
        <f t="shared" si="1"/>
        <v>0</v>
      </c>
      <c r="K47" s="75">
        <f t="shared" si="2"/>
        <v>0</v>
      </c>
      <c r="L47" s="751"/>
      <c r="M47" s="753"/>
    </row>
    <row r="48" spans="1:13" ht="13.5" x14ac:dyDescent="0.25">
      <c r="A48" s="891" t="str">
        <f>'Org structure'!E42</f>
        <v>4.7 - Water Provision</v>
      </c>
      <c r="B48" s="888"/>
      <c r="C48" s="752"/>
      <c r="D48" s="751"/>
      <c r="E48" s="751"/>
      <c r="F48" s="751"/>
      <c r="G48" s="751"/>
      <c r="H48" s="751"/>
      <c r="I48" s="751"/>
      <c r="J48" s="75">
        <f t="shared" si="1"/>
        <v>0</v>
      </c>
      <c r="K48" s="75">
        <f t="shared" si="2"/>
        <v>0</v>
      </c>
      <c r="L48" s="751"/>
      <c r="M48" s="753"/>
    </row>
    <row r="49" spans="1:13" ht="13.5" x14ac:dyDescent="0.25">
      <c r="A49" s="891" t="str">
        <f>'Org structure'!E43</f>
        <v>4.8 - Electrical Workshop</v>
      </c>
      <c r="B49" s="888"/>
      <c r="C49" s="752"/>
      <c r="D49" s="751"/>
      <c r="E49" s="751"/>
      <c r="F49" s="751"/>
      <c r="G49" s="751"/>
      <c r="H49" s="751"/>
      <c r="I49" s="751"/>
      <c r="J49" s="75">
        <f t="shared" si="1"/>
        <v>0</v>
      </c>
      <c r="K49" s="75">
        <f t="shared" si="2"/>
        <v>0</v>
      </c>
      <c r="L49" s="751"/>
      <c r="M49" s="753"/>
    </row>
    <row r="50" spans="1:13" ht="13.5" x14ac:dyDescent="0.25">
      <c r="A50" s="891" t="str">
        <f>'Org structure'!E44</f>
        <v>4.9 - Electricity Distribution</v>
      </c>
      <c r="B50" s="888"/>
      <c r="C50" s="752"/>
      <c r="D50" s="751"/>
      <c r="E50" s="751"/>
      <c r="F50" s="751"/>
      <c r="G50" s="751"/>
      <c r="H50" s="751"/>
      <c r="I50" s="751"/>
      <c r="J50" s="75">
        <f t="shared" si="1"/>
        <v>0</v>
      </c>
      <c r="K50" s="75">
        <f t="shared" si="2"/>
        <v>0</v>
      </c>
      <c r="L50" s="751"/>
      <c r="M50" s="753"/>
    </row>
    <row r="51" spans="1:13" ht="13.5" x14ac:dyDescent="0.25">
      <c r="A51" s="891" t="str">
        <f>'Org structure'!E45</f>
        <v>4.10 - Other Engineering services</v>
      </c>
      <c r="B51" s="888"/>
      <c r="C51" s="752"/>
      <c r="D51" s="751"/>
      <c r="E51" s="751"/>
      <c r="F51" s="751"/>
      <c r="G51" s="751"/>
      <c r="H51" s="751"/>
      <c r="I51" s="751"/>
      <c r="J51" s="75">
        <f t="shared" si="1"/>
        <v>0</v>
      </c>
      <c r="K51" s="75">
        <f t="shared" si="2"/>
        <v>0</v>
      </c>
      <c r="L51" s="751"/>
      <c r="M51" s="753"/>
    </row>
    <row r="52" spans="1:13" ht="13.5" x14ac:dyDescent="0.25">
      <c r="A52" s="889" t="str">
        <f>'Org structure'!A6</f>
        <v>Vote 5 -  Community Services</v>
      </c>
      <c r="B52" s="890"/>
      <c r="C52" s="750">
        <f>SUM(C53:C62)</f>
        <v>0</v>
      </c>
      <c r="D52" s="749">
        <f t="shared" ref="D52:I52" si="6">SUM(D53:D62)</f>
        <v>0</v>
      </c>
      <c r="E52" s="749">
        <f t="shared" si="6"/>
        <v>0</v>
      </c>
      <c r="F52" s="749">
        <f t="shared" si="6"/>
        <v>0</v>
      </c>
      <c r="G52" s="749">
        <f t="shared" si="6"/>
        <v>0</v>
      </c>
      <c r="H52" s="749">
        <f t="shared" si="6"/>
        <v>0</v>
      </c>
      <c r="I52" s="749">
        <f t="shared" si="6"/>
        <v>0</v>
      </c>
      <c r="J52" s="75">
        <f t="shared" si="1"/>
        <v>0</v>
      </c>
      <c r="K52" s="75">
        <f t="shared" si="2"/>
        <v>0</v>
      </c>
      <c r="L52" s="749">
        <f>SUM(L53:L62)</f>
        <v>0</v>
      </c>
      <c r="M52" s="777">
        <f>SUM(M53:M62)</f>
        <v>0</v>
      </c>
    </row>
    <row r="53" spans="1:13" ht="13.5" x14ac:dyDescent="0.25">
      <c r="A53" s="891" t="str">
        <f>'Org structure'!E47</f>
        <v>5.1 - Sport and Recreation</v>
      </c>
      <c r="B53" s="888"/>
      <c r="C53" s="752"/>
      <c r="D53" s="751"/>
      <c r="E53" s="751"/>
      <c r="F53" s="751"/>
      <c r="G53" s="751"/>
      <c r="H53" s="751"/>
      <c r="I53" s="751"/>
      <c r="J53" s="75">
        <f t="shared" si="1"/>
        <v>0</v>
      </c>
      <c r="K53" s="75">
        <f t="shared" si="2"/>
        <v>0</v>
      </c>
      <c r="L53" s="751"/>
      <c r="M53" s="753"/>
    </row>
    <row r="54" spans="1:13" ht="13.5" x14ac:dyDescent="0.25">
      <c r="A54" s="891" t="str">
        <f>'Org structure'!E48</f>
        <v>5.2 - Swimming Pools</v>
      </c>
      <c r="B54" s="888"/>
      <c r="C54" s="752"/>
      <c r="D54" s="751"/>
      <c r="E54" s="751"/>
      <c r="F54" s="751"/>
      <c r="G54" s="751"/>
      <c r="H54" s="751"/>
      <c r="I54" s="751"/>
      <c r="J54" s="75">
        <f t="shared" si="1"/>
        <v>0</v>
      </c>
      <c r="K54" s="75">
        <f t="shared" si="2"/>
        <v>0</v>
      </c>
      <c r="L54" s="751"/>
      <c r="M54" s="753"/>
    </row>
    <row r="55" spans="1:13" ht="13.5" x14ac:dyDescent="0.25">
      <c r="A55" s="891" t="str">
        <f>'Org structure'!E49</f>
        <v>5.3 - Facility commercialization</v>
      </c>
      <c r="B55" s="888"/>
      <c r="C55" s="752"/>
      <c r="D55" s="751"/>
      <c r="E55" s="751"/>
      <c r="F55" s="751"/>
      <c r="G55" s="751"/>
      <c r="H55" s="751"/>
      <c r="I55" s="751"/>
      <c r="J55" s="75">
        <f t="shared" si="1"/>
        <v>0</v>
      </c>
      <c r="K55" s="75">
        <f t="shared" si="2"/>
        <v>0</v>
      </c>
      <c r="L55" s="751"/>
      <c r="M55" s="753"/>
    </row>
    <row r="56" spans="1:13" ht="13.5" x14ac:dyDescent="0.25">
      <c r="A56" s="891" t="str">
        <f>'Org structure'!E50</f>
        <v>5.4 - Civic Centre</v>
      </c>
      <c r="B56" s="892"/>
      <c r="C56" s="752"/>
      <c r="D56" s="751"/>
      <c r="E56" s="751"/>
      <c r="F56" s="751"/>
      <c r="G56" s="751"/>
      <c r="H56" s="751"/>
      <c r="I56" s="751"/>
      <c r="J56" s="75">
        <f t="shared" si="1"/>
        <v>0</v>
      </c>
      <c r="K56" s="75">
        <f t="shared" si="2"/>
        <v>0</v>
      </c>
      <c r="L56" s="751"/>
      <c r="M56" s="753"/>
    </row>
    <row r="57" spans="1:13" ht="13.5" x14ac:dyDescent="0.25">
      <c r="A57" s="891" t="str">
        <f>'Org structure'!E51</f>
        <v>5.5 - Public Toilets</v>
      </c>
      <c r="B57" s="888"/>
      <c r="C57" s="752"/>
      <c r="D57" s="751"/>
      <c r="E57" s="751"/>
      <c r="F57" s="751"/>
      <c r="G57" s="751"/>
      <c r="H57" s="751"/>
      <c r="I57" s="751"/>
      <c r="J57" s="75">
        <f t="shared" si="1"/>
        <v>0</v>
      </c>
      <c r="K57" s="75">
        <f t="shared" si="2"/>
        <v>0</v>
      </c>
      <c r="L57" s="751"/>
      <c r="M57" s="753"/>
    </row>
    <row r="58" spans="1:13" ht="13.5" x14ac:dyDescent="0.25">
      <c r="A58" s="891" t="str">
        <f>'Org structure'!E52</f>
        <v>5.6 - Community centres</v>
      </c>
      <c r="B58" s="888"/>
      <c r="C58" s="752"/>
      <c r="D58" s="751"/>
      <c r="E58" s="751"/>
      <c r="F58" s="751"/>
      <c r="G58" s="751"/>
      <c r="H58" s="751"/>
      <c r="I58" s="751"/>
      <c r="J58" s="75">
        <f t="shared" si="1"/>
        <v>0</v>
      </c>
      <c r="K58" s="75">
        <f t="shared" si="2"/>
        <v>0</v>
      </c>
      <c r="L58" s="751"/>
      <c r="M58" s="753"/>
    </row>
    <row r="59" spans="1:13" ht="13.5" x14ac:dyDescent="0.25">
      <c r="A59" s="891" t="str">
        <f>'Org structure'!E53</f>
        <v>5.7 - Art Museum</v>
      </c>
      <c r="B59" s="888"/>
      <c r="C59" s="752"/>
      <c r="D59" s="751"/>
      <c r="E59" s="751"/>
      <c r="F59" s="751"/>
      <c r="G59" s="751"/>
      <c r="H59" s="751"/>
      <c r="I59" s="751"/>
      <c r="J59" s="75">
        <f t="shared" si="1"/>
        <v>0</v>
      </c>
      <c r="K59" s="75">
        <f t="shared" si="2"/>
        <v>0</v>
      </c>
      <c r="L59" s="751"/>
      <c r="M59" s="753"/>
    </row>
    <row r="60" spans="1:13" ht="13.5" x14ac:dyDescent="0.25">
      <c r="A60" s="891" t="str">
        <f>'Org structure'!E54</f>
        <v>5.8 - Libraries</v>
      </c>
      <c r="B60" s="888"/>
      <c r="C60" s="752"/>
      <c r="D60" s="751"/>
      <c r="E60" s="751"/>
      <c r="F60" s="751"/>
      <c r="G60" s="751"/>
      <c r="H60" s="751"/>
      <c r="I60" s="751"/>
      <c r="J60" s="75">
        <f t="shared" si="1"/>
        <v>0</v>
      </c>
      <c r="K60" s="75">
        <f t="shared" si="2"/>
        <v>0</v>
      </c>
      <c r="L60" s="751"/>
      <c r="M60" s="753"/>
    </row>
    <row r="61" spans="1:13" ht="13.5" x14ac:dyDescent="0.25">
      <c r="A61" s="891" t="str">
        <f>'Org structure'!E55</f>
        <v>5.9 - Museums</v>
      </c>
      <c r="B61" s="888"/>
      <c r="C61" s="752"/>
      <c r="D61" s="751"/>
      <c r="E61" s="751"/>
      <c r="F61" s="751"/>
      <c r="G61" s="751"/>
      <c r="H61" s="751"/>
      <c r="I61" s="751"/>
      <c r="J61" s="75">
        <f t="shared" si="1"/>
        <v>0</v>
      </c>
      <c r="K61" s="75">
        <f t="shared" si="2"/>
        <v>0</v>
      </c>
      <c r="L61" s="751"/>
      <c r="M61" s="753"/>
    </row>
    <row r="62" spans="1:13" ht="13.5" x14ac:dyDescent="0.25">
      <c r="A62" s="891" t="str">
        <f>'Org structure'!E56</f>
        <v>5.10 - Other Community Development</v>
      </c>
      <c r="B62" s="888"/>
      <c r="C62" s="752"/>
      <c r="D62" s="751"/>
      <c r="E62" s="751"/>
      <c r="F62" s="751"/>
      <c r="G62" s="751"/>
      <c r="H62" s="751"/>
      <c r="I62" s="751"/>
      <c r="J62" s="75">
        <f t="shared" si="1"/>
        <v>0</v>
      </c>
      <c r="K62" s="75">
        <f t="shared" si="2"/>
        <v>0</v>
      </c>
      <c r="L62" s="751"/>
      <c r="M62" s="753"/>
    </row>
    <row r="63" spans="1:13" ht="13.5" x14ac:dyDescent="0.25">
      <c r="A63" s="889" t="str">
        <f>'Org structure'!A7</f>
        <v>Vote 6 - Community Development</v>
      </c>
      <c r="B63" s="890"/>
      <c r="C63" s="750">
        <f>SUM(C64:C73)</f>
        <v>0</v>
      </c>
      <c r="D63" s="749">
        <f t="shared" ref="D63:I63" si="7">SUM(D64:D73)</f>
        <v>0</v>
      </c>
      <c r="E63" s="749">
        <f t="shared" si="7"/>
        <v>0</v>
      </c>
      <c r="F63" s="749">
        <f t="shared" si="7"/>
        <v>0</v>
      </c>
      <c r="G63" s="749">
        <f t="shared" si="7"/>
        <v>0</v>
      </c>
      <c r="H63" s="749">
        <f t="shared" si="7"/>
        <v>0</v>
      </c>
      <c r="I63" s="749">
        <f t="shared" si="7"/>
        <v>0</v>
      </c>
      <c r="J63" s="75">
        <f t="shared" si="1"/>
        <v>0</v>
      </c>
      <c r="K63" s="75">
        <f t="shared" si="2"/>
        <v>0</v>
      </c>
      <c r="L63" s="749">
        <f>SUM(L64:L73)</f>
        <v>0</v>
      </c>
      <c r="M63" s="777">
        <f>SUM(M64:M73)</f>
        <v>0</v>
      </c>
    </row>
    <row r="64" spans="1:13" ht="13.5" x14ac:dyDescent="0.25">
      <c r="A64" s="891" t="str">
        <f>'Org structure'!E58</f>
        <v>6.1 - Information Services</v>
      </c>
      <c r="B64" s="888"/>
      <c r="C64" s="752"/>
      <c r="D64" s="751"/>
      <c r="E64" s="751"/>
      <c r="F64" s="751"/>
      <c r="G64" s="751"/>
      <c r="H64" s="751"/>
      <c r="I64" s="751"/>
      <c r="J64" s="75">
        <f t="shared" si="1"/>
        <v>0</v>
      </c>
      <c r="K64" s="75">
        <f t="shared" si="2"/>
        <v>0</v>
      </c>
      <c r="L64" s="751"/>
      <c r="M64" s="753"/>
    </row>
    <row r="65" spans="1:13" ht="13.5" x14ac:dyDescent="0.25">
      <c r="A65" s="891" t="str">
        <f>'Org structure'!E59</f>
        <v>6.2 - Organisational Development</v>
      </c>
      <c r="B65" s="888"/>
      <c r="C65" s="752"/>
      <c r="D65" s="751"/>
      <c r="E65" s="751"/>
      <c r="F65" s="751"/>
      <c r="G65" s="751"/>
      <c r="H65" s="751"/>
      <c r="I65" s="751"/>
      <c r="J65" s="75">
        <f t="shared" si="1"/>
        <v>0</v>
      </c>
      <c r="K65" s="75">
        <f t="shared" si="2"/>
        <v>0</v>
      </c>
      <c r="L65" s="751"/>
      <c r="M65" s="753"/>
    </row>
    <row r="66" spans="1:13" ht="13.5" x14ac:dyDescent="0.25">
      <c r="A66" s="891" t="str">
        <f>'Org structure'!E60</f>
        <v>6.3 - Personnel</v>
      </c>
      <c r="B66" s="888"/>
      <c r="C66" s="752"/>
      <c r="D66" s="751"/>
      <c r="E66" s="751"/>
      <c r="F66" s="751"/>
      <c r="G66" s="751"/>
      <c r="H66" s="751"/>
      <c r="I66" s="751"/>
      <c r="J66" s="75">
        <f t="shared" si="1"/>
        <v>0</v>
      </c>
      <c r="K66" s="75">
        <f t="shared" si="2"/>
        <v>0</v>
      </c>
      <c r="L66" s="751"/>
      <c r="M66" s="753"/>
    </row>
    <row r="67" spans="1:13" ht="13.5" x14ac:dyDescent="0.25">
      <c r="A67" s="891" t="str">
        <f>'Org structure'!E61</f>
        <v>6.4 - Training and Skills Development</v>
      </c>
      <c r="B67" s="888"/>
      <c r="C67" s="752"/>
      <c r="D67" s="751"/>
      <c r="E67" s="751"/>
      <c r="F67" s="751"/>
      <c r="G67" s="751"/>
      <c r="H67" s="751"/>
      <c r="I67" s="751"/>
      <c r="J67" s="75">
        <f t="shared" si="1"/>
        <v>0</v>
      </c>
      <c r="K67" s="75">
        <f t="shared" si="2"/>
        <v>0</v>
      </c>
      <c r="L67" s="751"/>
      <c r="M67" s="753"/>
    </row>
    <row r="68" spans="1:13" ht="13.5" x14ac:dyDescent="0.25">
      <c r="A68" s="891" t="str">
        <f>'Org structure'!E62</f>
        <v>6.5 - Occupational Health and Safety</v>
      </c>
      <c r="B68" s="888"/>
      <c r="C68" s="752"/>
      <c r="D68" s="751"/>
      <c r="E68" s="751"/>
      <c r="F68" s="751"/>
      <c r="G68" s="751"/>
      <c r="H68" s="751"/>
      <c r="I68" s="751"/>
      <c r="J68" s="75">
        <f t="shared" si="1"/>
        <v>0</v>
      </c>
      <c r="K68" s="75">
        <f t="shared" si="2"/>
        <v>0</v>
      </c>
      <c r="L68" s="751"/>
      <c r="M68" s="753"/>
    </row>
    <row r="69" spans="1:13" ht="13.5" x14ac:dyDescent="0.25">
      <c r="A69" s="891" t="str">
        <f>'Org structure'!E63</f>
        <v>6.6 - Legal Services</v>
      </c>
      <c r="B69" s="888"/>
      <c r="C69" s="752"/>
      <c r="D69" s="751"/>
      <c r="E69" s="751"/>
      <c r="F69" s="751"/>
      <c r="G69" s="751"/>
      <c r="H69" s="751"/>
      <c r="I69" s="751"/>
      <c r="J69" s="75">
        <f t="shared" si="1"/>
        <v>0</v>
      </c>
      <c r="K69" s="75">
        <f t="shared" si="2"/>
        <v>0</v>
      </c>
      <c r="L69" s="751"/>
      <c r="M69" s="753"/>
    </row>
    <row r="70" spans="1:13" ht="13.5" x14ac:dyDescent="0.25">
      <c r="A70" s="891" t="str">
        <f>'Org structure'!E64</f>
        <v>6.7 - Secretariat</v>
      </c>
      <c r="B70" s="888"/>
      <c r="C70" s="752"/>
      <c r="D70" s="751"/>
      <c r="E70" s="751"/>
      <c r="F70" s="751"/>
      <c r="G70" s="751"/>
      <c r="H70" s="751"/>
      <c r="I70" s="751"/>
      <c r="J70" s="75">
        <f t="shared" si="1"/>
        <v>0</v>
      </c>
      <c r="K70" s="75">
        <f t="shared" si="2"/>
        <v>0</v>
      </c>
      <c r="L70" s="751"/>
      <c r="M70" s="753"/>
    </row>
    <row r="71" spans="1:13" ht="13.5" x14ac:dyDescent="0.25">
      <c r="A71" s="891" t="str">
        <f>'Org structure'!E65</f>
        <v>6.8 - Mechanical Workshop</v>
      </c>
      <c r="B71" s="888"/>
      <c r="C71" s="752"/>
      <c r="D71" s="751"/>
      <c r="E71" s="751"/>
      <c r="F71" s="751"/>
      <c r="G71" s="751"/>
      <c r="H71" s="751"/>
      <c r="I71" s="751"/>
      <c r="J71" s="75">
        <f t="shared" si="1"/>
        <v>0</v>
      </c>
      <c r="K71" s="75">
        <f t="shared" si="2"/>
        <v>0</v>
      </c>
      <c r="L71" s="751"/>
      <c r="M71" s="753"/>
    </row>
    <row r="72" spans="1:13" ht="13.5" x14ac:dyDescent="0.25">
      <c r="A72" s="891" t="str">
        <f>'Org structure'!E66</f>
        <v>6.9 - Fleet Management</v>
      </c>
      <c r="B72" s="888"/>
      <c r="C72" s="752"/>
      <c r="D72" s="751"/>
      <c r="E72" s="751"/>
      <c r="F72" s="751"/>
      <c r="G72" s="751"/>
      <c r="H72" s="751"/>
      <c r="I72" s="751"/>
      <c r="J72" s="75">
        <f t="shared" ref="J72:J135" si="8">SUM(E72:I72)</f>
        <v>0</v>
      </c>
      <c r="K72" s="75">
        <f t="shared" ref="K72:K135" si="9">IF(D72=0,C72+J72,D72+J72)</f>
        <v>0</v>
      </c>
      <c r="L72" s="751"/>
      <c r="M72" s="753"/>
    </row>
    <row r="73" spans="1:13" ht="13.5" x14ac:dyDescent="0.25">
      <c r="A73" s="891" t="str">
        <f>'Org structure'!E67</f>
        <v>6.10 - Other Corporate and Shared services</v>
      </c>
      <c r="B73" s="888"/>
      <c r="C73" s="752"/>
      <c r="D73" s="751"/>
      <c r="E73" s="751"/>
      <c r="F73" s="751"/>
      <c r="G73" s="751"/>
      <c r="H73" s="751"/>
      <c r="I73" s="751"/>
      <c r="J73" s="75">
        <f t="shared" si="8"/>
        <v>0</v>
      </c>
      <c r="K73" s="75">
        <f t="shared" si="9"/>
        <v>0</v>
      </c>
      <c r="L73" s="751"/>
      <c r="M73" s="753"/>
    </row>
    <row r="74" spans="1:13" ht="13.5" x14ac:dyDescent="0.25">
      <c r="A74" s="889" t="str">
        <f>'Org structure'!A8</f>
        <v>Vote 7 - Corporate  and Shared Services</v>
      </c>
      <c r="B74" s="890"/>
      <c r="C74" s="750">
        <f>SUM(C75:C84)</f>
        <v>0</v>
      </c>
      <c r="D74" s="749">
        <f t="shared" ref="D74:I74" si="10">SUM(D75:D84)</f>
        <v>0</v>
      </c>
      <c r="E74" s="749">
        <f t="shared" si="10"/>
        <v>0</v>
      </c>
      <c r="F74" s="749">
        <f t="shared" si="10"/>
        <v>0</v>
      </c>
      <c r="G74" s="749">
        <f t="shared" si="10"/>
        <v>0</v>
      </c>
      <c r="H74" s="749">
        <f t="shared" si="10"/>
        <v>0</v>
      </c>
      <c r="I74" s="749">
        <f t="shared" si="10"/>
        <v>0</v>
      </c>
      <c r="J74" s="75">
        <f t="shared" si="8"/>
        <v>0</v>
      </c>
      <c r="K74" s="75">
        <f t="shared" si="9"/>
        <v>0</v>
      </c>
      <c r="L74" s="749">
        <f>SUM(L75:L84)</f>
        <v>0</v>
      </c>
      <c r="M74" s="777">
        <f>SUM(M75:M84)</f>
        <v>0</v>
      </c>
    </row>
    <row r="75" spans="1:13" ht="13.5" x14ac:dyDescent="0.25">
      <c r="A75" s="891" t="str">
        <f>'Org structure'!E69</f>
        <v>7.1 - Information Services</v>
      </c>
      <c r="B75" s="888"/>
      <c r="C75" s="752"/>
      <c r="D75" s="751"/>
      <c r="E75" s="751"/>
      <c r="F75" s="751"/>
      <c r="G75" s="751"/>
      <c r="H75" s="751"/>
      <c r="I75" s="751"/>
      <c r="J75" s="75">
        <f t="shared" si="8"/>
        <v>0</v>
      </c>
      <c r="K75" s="75">
        <f t="shared" si="9"/>
        <v>0</v>
      </c>
      <c r="L75" s="751"/>
      <c r="M75" s="753"/>
    </row>
    <row r="76" spans="1:13" ht="13.5" x14ac:dyDescent="0.25">
      <c r="A76" s="891" t="str">
        <f>'Org structure'!E70</f>
        <v>7.2 - Organisational Development</v>
      </c>
      <c r="B76" s="888"/>
      <c r="C76" s="752"/>
      <c r="D76" s="751"/>
      <c r="E76" s="751"/>
      <c r="F76" s="751"/>
      <c r="G76" s="751"/>
      <c r="H76" s="751"/>
      <c r="I76" s="751"/>
      <c r="J76" s="75">
        <f t="shared" si="8"/>
        <v>0</v>
      </c>
      <c r="K76" s="75">
        <f t="shared" si="9"/>
        <v>0</v>
      </c>
      <c r="L76" s="751"/>
      <c r="M76" s="753"/>
    </row>
    <row r="77" spans="1:13" ht="13.5" x14ac:dyDescent="0.25">
      <c r="A77" s="891" t="str">
        <f>'Org structure'!E71</f>
        <v>7.3 - Personnel</v>
      </c>
      <c r="B77" s="888"/>
      <c r="C77" s="752"/>
      <c r="D77" s="751"/>
      <c r="E77" s="751"/>
      <c r="F77" s="751"/>
      <c r="G77" s="751"/>
      <c r="H77" s="751"/>
      <c r="I77" s="751"/>
      <c r="J77" s="75">
        <f t="shared" si="8"/>
        <v>0</v>
      </c>
      <c r="K77" s="75">
        <f t="shared" si="9"/>
        <v>0</v>
      </c>
      <c r="L77" s="751"/>
      <c r="M77" s="753"/>
    </row>
    <row r="78" spans="1:13" ht="13.5" x14ac:dyDescent="0.25">
      <c r="A78" s="891" t="str">
        <f>'Org structure'!E72</f>
        <v>7.4 - Training and Skills Development</v>
      </c>
      <c r="B78" s="888"/>
      <c r="C78" s="752"/>
      <c r="D78" s="751"/>
      <c r="E78" s="751"/>
      <c r="F78" s="751"/>
      <c r="G78" s="751"/>
      <c r="H78" s="751"/>
      <c r="I78" s="751"/>
      <c r="J78" s="75">
        <f t="shared" si="8"/>
        <v>0</v>
      </c>
      <c r="K78" s="75">
        <f t="shared" si="9"/>
        <v>0</v>
      </c>
      <c r="L78" s="751"/>
      <c r="M78" s="753"/>
    </row>
    <row r="79" spans="1:13" ht="13.5" x14ac:dyDescent="0.25">
      <c r="A79" s="891" t="str">
        <f>'Org structure'!E73</f>
        <v>7.5 - Occupational Health and Safety</v>
      </c>
      <c r="B79" s="888"/>
      <c r="C79" s="752"/>
      <c r="D79" s="751"/>
      <c r="E79" s="751"/>
      <c r="F79" s="751"/>
      <c r="G79" s="751"/>
      <c r="H79" s="751"/>
      <c r="I79" s="751"/>
      <c r="J79" s="75">
        <f t="shared" si="8"/>
        <v>0</v>
      </c>
      <c r="K79" s="75">
        <f t="shared" si="9"/>
        <v>0</v>
      </c>
      <c r="L79" s="751"/>
      <c r="M79" s="753"/>
    </row>
    <row r="80" spans="1:13" ht="13.5" x14ac:dyDescent="0.25">
      <c r="A80" s="891" t="str">
        <f>'Org structure'!E74</f>
        <v>7.6 - Legal Services</v>
      </c>
      <c r="B80" s="888"/>
      <c r="C80" s="752"/>
      <c r="D80" s="751"/>
      <c r="E80" s="751"/>
      <c r="F80" s="751"/>
      <c r="G80" s="751"/>
      <c r="H80" s="751"/>
      <c r="I80" s="751"/>
      <c r="J80" s="75">
        <f t="shared" si="8"/>
        <v>0</v>
      </c>
      <c r="K80" s="75">
        <f t="shared" si="9"/>
        <v>0</v>
      </c>
      <c r="L80" s="751"/>
      <c r="M80" s="753"/>
    </row>
    <row r="81" spans="1:13" ht="13.5" x14ac:dyDescent="0.25">
      <c r="A81" s="891" t="str">
        <f>'Org structure'!E75</f>
        <v>7.7 - Secretariat</v>
      </c>
      <c r="B81" s="888"/>
      <c r="C81" s="752"/>
      <c r="D81" s="751"/>
      <c r="E81" s="751"/>
      <c r="F81" s="751"/>
      <c r="G81" s="751"/>
      <c r="H81" s="751"/>
      <c r="I81" s="751"/>
      <c r="J81" s="75">
        <f t="shared" si="8"/>
        <v>0</v>
      </c>
      <c r="K81" s="75">
        <f t="shared" si="9"/>
        <v>0</v>
      </c>
      <c r="L81" s="751"/>
      <c r="M81" s="753"/>
    </row>
    <row r="82" spans="1:13" ht="13.5" x14ac:dyDescent="0.25">
      <c r="A82" s="891" t="str">
        <f>'Org structure'!E76</f>
        <v>7.8 - Mechanical Workshop</v>
      </c>
      <c r="B82" s="888"/>
      <c r="C82" s="752"/>
      <c r="D82" s="751"/>
      <c r="E82" s="751"/>
      <c r="F82" s="751"/>
      <c r="G82" s="751"/>
      <c r="H82" s="751"/>
      <c r="I82" s="751"/>
      <c r="J82" s="75">
        <f t="shared" si="8"/>
        <v>0</v>
      </c>
      <c r="K82" s="75">
        <f t="shared" si="9"/>
        <v>0</v>
      </c>
      <c r="L82" s="751"/>
      <c r="M82" s="753"/>
    </row>
    <row r="83" spans="1:13" ht="13.5" x14ac:dyDescent="0.25">
      <c r="A83" s="891" t="str">
        <f>'Org structure'!E77</f>
        <v>7.9 - Fleet Management</v>
      </c>
      <c r="B83" s="888"/>
      <c r="C83" s="752"/>
      <c r="D83" s="751"/>
      <c r="E83" s="751"/>
      <c r="F83" s="751"/>
      <c r="G83" s="751"/>
      <c r="H83" s="751"/>
      <c r="I83" s="751"/>
      <c r="J83" s="75">
        <f t="shared" si="8"/>
        <v>0</v>
      </c>
      <c r="K83" s="75">
        <f t="shared" si="9"/>
        <v>0</v>
      </c>
      <c r="L83" s="751"/>
      <c r="M83" s="753"/>
    </row>
    <row r="84" spans="1:13" ht="13.5" x14ac:dyDescent="0.25">
      <c r="A84" s="891" t="str">
        <f>'Org structure'!E78</f>
        <v>7.8 - Mechanical Workshop</v>
      </c>
      <c r="B84" s="888"/>
      <c r="C84" s="752"/>
      <c r="D84" s="751"/>
      <c r="E84" s="751"/>
      <c r="F84" s="751"/>
      <c r="G84" s="751"/>
      <c r="H84" s="751"/>
      <c r="I84" s="751"/>
      <c r="J84" s="75">
        <f t="shared" si="8"/>
        <v>0</v>
      </c>
      <c r="K84" s="75">
        <f t="shared" si="9"/>
        <v>0</v>
      </c>
      <c r="L84" s="751"/>
      <c r="M84" s="753"/>
    </row>
    <row r="85" spans="1:13" ht="13.5" x14ac:dyDescent="0.25">
      <c r="A85" s="889" t="str">
        <f>'Org structure'!A9</f>
        <v>Vote 8 - Planning and Economic Development</v>
      </c>
      <c r="B85" s="888"/>
      <c r="C85" s="750">
        <f>SUM(C86:C95)</f>
        <v>0</v>
      </c>
      <c r="D85" s="749">
        <f t="shared" ref="D85:I85" si="11">SUM(D86:D95)</f>
        <v>0</v>
      </c>
      <c r="E85" s="749">
        <f t="shared" si="11"/>
        <v>0</v>
      </c>
      <c r="F85" s="749">
        <f t="shared" si="11"/>
        <v>0</v>
      </c>
      <c r="G85" s="749">
        <f t="shared" si="11"/>
        <v>0</v>
      </c>
      <c r="H85" s="749">
        <f t="shared" si="11"/>
        <v>0</v>
      </c>
      <c r="I85" s="749">
        <f t="shared" si="11"/>
        <v>0</v>
      </c>
      <c r="J85" s="75">
        <f t="shared" si="8"/>
        <v>0</v>
      </c>
      <c r="K85" s="75">
        <f t="shared" si="9"/>
        <v>0</v>
      </c>
      <c r="L85" s="749">
        <f>SUM(L86:L95)</f>
        <v>0</v>
      </c>
      <c r="M85" s="777">
        <f>SUM(M86:M95)</f>
        <v>0</v>
      </c>
    </row>
    <row r="86" spans="1:13" ht="13.5" x14ac:dyDescent="0.25">
      <c r="A86" s="891" t="str">
        <f>'Org structure'!E80</f>
        <v>8.1 - Landuse Management</v>
      </c>
      <c r="B86" s="888"/>
      <c r="C86" s="752"/>
      <c r="D86" s="751"/>
      <c r="E86" s="751"/>
      <c r="F86" s="751"/>
      <c r="G86" s="751"/>
      <c r="H86" s="751"/>
      <c r="I86" s="751"/>
      <c r="J86" s="75">
        <f t="shared" si="8"/>
        <v>0</v>
      </c>
      <c r="K86" s="75">
        <f t="shared" si="9"/>
        <v>0</v>
      </c>
      <c r="L86" s="751"/>
      <c r="M86" s="753"/>
    </row>
    <row r="87" spans="1:13" ht="13.5" x14ac:dyDescent="0.25">
      <c r="A87" s="891" t="str">
        <f>'Org structure'!E81</f>
        <v>8.2 - Spatial Planning</v>
      </c>
      <c r="B87" s="888"/>
      <c r="C87" s="752"/>
      <c r="D87" s="751"/>
      <c r="E87" s="751"/>
      <c r="F87" s="751"/>
      <c r="G87" s="751"/>
      <c r="H87" s="751"/>
      <c r="I87" s="751"/>
      <c r="J87" s="75">
        <f t="shared" si="8"/>
        <v>0</v>
      </c>
      <c r="K87" s="75">
        <f t="shared" si="9"/>
        <v>0</v>
      </c>
      <c r="L87" s="751"/>
      <c r="M87" s="753"/>
    </row>
    <row r="88" spans="1:13" ht="13.5" x14ac:dyDescent="0.25">
      <c r="A88" s="891" t="str">
        <f>'Org structure'!E82</f>
        <v>8.3 - Property Management</v>
      </c>
      <c r="B88" s="888"/>
      <c r="C88" s="752"/>
      <c r="D88" s="751"/>
      <c r="E88" s="751"/>
      <c r="F88" s="751"/>
      <c r="G88" s="751"/>
      <c r="H88" s="751"/>
      <c r="I88" s="751"/>
      <c r="J88" s="75">
        <f t="shared" si="8"/>
        <v>0</v>
      </c>
      <c r="K88" s="75">
        <f t="shared" si="9"/>
        <v>0</v>
      </c>
      <c r="L88" s="751"/>
      <c r="M88" s="753"/>
    </row>
    <row r="89" spans="1:13" ht="13.5" x14ac:dyDescent="0.25">
      <c r="A89" s="891" t="str">
        <f>'Org structure'!E83</f>
        <v>8.4 - Housing</v>
      </c>
      <c r="B89" s="888"/>
      <c r="C89" s="752"/>
      <c r="D89" s="751"/>
      <c r="E89" s="751"/>
      <c r="F89" s="751"/>
      <c r="G89" s="751"/>
      <c r="H89" s="751"/>
      <c r="I89" s="751"/>
      <c r="J89" s="75">
        <f t="shared" si="8"/>
        <v>0</v>
      </c>
      <c r="K89" s="75">
        <f t="shared" si="9"/>
        <v>0</v>
      </c>
      <c r="L89" s="751"/>
      <c r="M89" s="753"/>
    </row>
    <row r="90" spans="1:13" ht="13.5" x14ac:dyDescent="0.25">
      <c r="A90" s="891" t="str">
        <f>'Org structure'!E84</f>
        <v>8.5 - Building Inspectorate</v>
      </c>
      <c r="B90" s="888"/>
      <c r="C90" s="752"/>
      <c r="D90" s="751"/>
      <c r="E90" s="751"/>
      <c r="F90" s="751"/>
      <c r="G90" s="751"/>
      <c r="H90" s="751"/>
      <c r="I90" s="751"/>
      <c r="J90" s="75">
        <f t="shared" si="8"/>
        <v>0</v>
      </c>
      <c r="K90" s="75">
        <f t="shared" si="9"/>
        <v>0</v>
      </c>
      <c r="L90" s="751"/>
      <c r="M90" s="753"/>
    </row>
    <row r="91" spans="1:13" ht="13.5" x14ac:dyDescent="0.25">
      <c r="A91" s="891" t="str">
        <f>'Org structure'!E85</f>
        <v>8.6 - Enterprise Development</v>
      </c>
      <c r="B91" s="888"/>
      <c r="C91" s="752"/>
      <c r="D91" s="751"/>
      <c r="E91" s="751"/>
      <c r="F91" s="751"/>
      <c r="G91" s="751"/>
      <c r="H91" s="751"/>
      <c r="I91" s="751"/>
      <c r="J91" s="75">
        <f t="shared" si="8"/>
        <v>0</v>
      </c>
      <c r="K91" s="75">
        <f t="shared" si="9"/>
        <v>0</v>
      </c>
      <c r="L91" s="751"/>
      <c r="M91" s="753"/>
    </row>
    <row r="92" spans="1:13" ht="13.5" x14ac:dyDescent="0.25">
      <c r="A92" s="891" t="str">
        <f>'Org structure'!E86</f>
        <v>8.7 - Investment Promotion and Tourism</v>
      </c>
      <c r="B92" s="888"/>
      <c r="C92" s="752"/>
      <c r="D92" s="751"/>
      <c r="E92" s="751"/>
      <c r="F92" s="751"/>
      <c r="G92" s="751"/>
      <c r="H92" s="751"/>
      <c r="I92" s="751"/>
      <c r="J92" s="75">
        <f t="shared" si="8"/>
        <v>0</v>
      </c>
      <c r="K92" s="75">
        <f t="shared" si="9"/>
        <v>0</v>
      </c>
      <c r="L92" s="751"/>
      <c r="M92" s="753"/>
    </row>
    <row r="93" spans="1:13" ht="13.5" x14ac:dyDescent="0.25">
      <c r="A93" s="891" t="str">
        <f>'Org structure'!E87</f>
        <v>8.8 - Economic Planning and Development</v>
      </c>
      <c r="B93" s="888"/>
      <c r="C93" s="752"/>
      <c r="D93" s="751"/>
      <c r="E93" s="751"/>
      <c r="F93" s="751"/>
      <c r="G93" s="751"/>
      <c r="H93" s="751"/>
      <c r="I93" s="751"/>
      <c r="J93" s="75">
        <f t="shared" si="8"/>
        <v>0</v>
      </c>
      <c r="K93" s="75">
        <f t="shared" si="9"/>
        <v>0</v>
      </c>
      <c r="L93" s="751"/>
      <c r="M93" s="753"/>
    </row>
    <row r="94" spans="1:13" ht="13.5" x14ac:dyDescent="0.25">
      <c r="A94" s="891" t="str">
        <f>'Org structure'!E88</f>
        <v>8.9 - Other Planning and Economic Development</v>
      </c>
      <c r="B94" s="888"/>
      <c r="C94" s="752"/>
      <c r="D94" s="751"/>
      <c r="E94" s="751"/>
      <c r="F94" s="751"/>
      <c r="G94" s="751"/>
      <c r="H94" s="751"/>
      <c r="I94" s="751"/>
      <c r="J94" s="75">
        <f t="shared" si="8"/>
        <v>0</v>
      </c>
      <c r="K94" s="75">
        <f t="shared" si="9"/>
        <v>0</v>
      </c>
      <c r="L94" s="751"/>
      <c r="M94" s="753"/>
    </row>
    <row r="95" spans="1:13" ht="13.5" x14ac:dyDescent="0.25">
      <c r="A95" s="891">
        <f>'Org structure'!E89</f>
        <v>0</v>
      </c>
      <c r="B95" s="888"/>
      <c r="C95" s="752"/>
      <c r="D95" s="751"/>
      <c r="E95" s="751"/>
      <c r="F95" s="751"/>
      <c r="G95" s="751"/>
      <c r="H95" s="751"/>
      <c r="I95" s="751"/>
      <c r="J95" s="75">
        <f t="shared" si="8"/>
        <v>0</v>
      </c>
      <c r="K95" s="75">
        <f t="shared" si="9"/>
        <v>0</v>
      </c>
      <c r="L95" s="751"/>
      <c r="M95" s="753"/>
    </row>
    <row r="96" spans="1:13" ht="13.5" x14ac:dyDescent="0.25">
      <c r="A96" s="889" t="str">
        <f>'Org structure'!A10</f>
        <v>Vote 9 - Budget and Treasury</v>
      </c>
      <c r="B96" s="888"/>
      <c r="C96" s="750">
        <f>SUM(C97:C106)</f>
        <v>0</v>
      </c>
      <c r="D96" s="749">
        <f t="shared" ref="D96:I96" si="12">SUM(D97:D106)</f>
        <v>0</v>
      </c>
      <c r="E96" s="749">
        <f t="shared" si="12"/>
        <v>0</v>
      </c>
      <c r="F96" s="749">
        <f t="shared" si="12"/>
        <v>0</v>
      </c>
      <c r="G96" s="749">
        <f t="shared" si="12"/>
        <v>0</v>
      </c>
      <c r="H96" s="749">
        <f t="shared" si="12"/>
        <v>0</v>
      </c>
      <c r="I96" s="749">
        <f t="shared" si="12"/>
        <v>0</v>
      </c>
      <c r="J96" s="75">
        <f t="shared" si="8"/>
        <v>0</v>
      </c>
      <c r="K96" s="75">
        <f t="shared" si="9"/>
        <v>0</v>
      </c>
      <c r="L96" s="749">
        <f>SUM(L97:L106)</f>
        <v>0</v>
      </c>
      <c r="M96" s="777">
        <f>SUM(M97:M106)</f>
        <v>0</v>
      </c>
    </row>
    <row r="97" spans="1:13" ht="13.5" x14ac:dyDescent="0.25">
      <c r="A97" s="891" t="str">
        <f>'Org structure'!E91</f>
        <v>9.1 - Chief Financial Officer</v>
      </c>
      <c r="B97" s="888"/>
      <c r="C97" s="752"/>
      <c r="D97" s="751"/>
      <c r="E97" s="751"/>
      <c r="F97" s="751"/>
      <c r="G97" s="751"/>
      <c r="H97" s="751"/>
      <c r="I97" s="751"/>
      <c r="J97" s="75">
        <f t="shared" si="8"/>
        <v>0</v>
      </c>
      <c r="K97" s="75">
        <f t="shared" si="9"/>
        <v>0</v>
      </c>
      <c r="L97" s="751"/>
      <c r="M97" s="753"/>
    </row>
    <row r="98" spans="1:13" ht="13.5" x14ac:dyDescent="0.25">
      <c r="A98" s="891" t="str">
        <f>'Org structure'!E92</f>
        <v>9.2 - Inter Govenmental Transfers</v>
      </c>
      <c r="B98" s="888"/>
      <c r="C98" s="752"/>
      <c r="D98" s="751"/>
      <c r="E98" s="751"/>
      <c r="F98" s="751"/>
      <c r="G98" s="751"/>
      <c r="H98" s="751"/>
      <c r="I98" s="751"/>
      <c r="J98" s="75">
        <f t="shared" si="8"/>
        <v>0</v>
      </c>
      <c r="K98" s="75">
        <f t="shared" si="9"/>
        <v>0</v>
      </c>
      <c r="L98" s="751"/>
      <c r="M98" s="753"/>
    </row>
    <row r="99" spans="1:13" ht="13.5" x14ac:dyDescent="0.25">
      <c r="A99" s="891" t="str">
        <f>'Org structure'!E93</f>
        <v>9.3 - Budget and Treasury</v>
      </c>
      <c r="B99" s="888"/>
      <c r="C99" s="752"/>
      <c r="D99" s="751"/>
      <c r="E99" s="751"/>
      <c r="F99" s="751"/>
      <c r="G99" s="751"/>
      <c r="H99" s="751"/>
      <c r="I99" s="751"/>
      <c r="J99" s="75">
        <f t="shared" si="8"/>
        <v>0</v>
      </c>
      <c r="K99" s="75">
        <f t="shared" si="9"/>
        <v>0</v>
      </c>
      <c r="L99" s="751"/>
      <c r="M99" s="753"/>
    </row>
    <row r="100" spans="1:13" ht="13.5" x14ac:dyDescent="0.25">
      <c r="A100" s="891" t="str">
        <f>'Org structure'!E94</f>
        <v>9.4 - Assesment Rates</v>
      </c>
      <c r="B100" s="888"/>
      <c r="C100" s="752"/>
      <c r="D100" s="751"/>
      <c r="E100" s="751"/>
      <c r="F100" s="751"/>
      <c r="G100" s="751"/>
      <c r="H100" s="751"/>
      <c r="I100" s="751"/>
      <c r="J100" s="75">
        <f t="shared" si="8"/>
        <v>0</v>
      </c>
      <c r="K100" s="75">
        <f t="shared" si="9"/>
        <v>0</v>
      </c>
      <c r="L100" s="751"/>
      <c r="M100" s="753"/>
    </row>
    <row r="101" spans="1:13" ht="13.5" x14ac:dyDescent="0.25">
      <c r="A101" s="891" t="str">
        <f>'Org structure'!E95</f>
        <v>9.5 - Supply Chain Management</v>
      </c>
      <c r="B101" s="888"/>
      <c r="C101" s="752"/>
      <c r="D101" s="751"/>
      <c r="E101" s="751"/>
      <c r="F101" s="751"/>
      <c r="G101" s="751"/>
      <c r="H101" s="751"/>
      <c r="I101" s="751"/>
      <c r="J101" s="75">
        <f t="shared" si="8"/>
        <v>0</v>
      </c>
      <c r="K101" s="75">
        <f t="shared" si="9"/>
        <v>0</v>
      </c>
      <c r="L101" s="751"/>
      <c r="M101" s="753"/>
    </row>
    <row r="102" spans="1:13" ht="13.5" x14ac:dyDescent="0.25">
      <c r="A102" s="891">
        <f>'Org structure'!E96</f>
        <v>0</v>
      </c>
      <c r="B102" s="888"/>
      <c r="C102" s="752"/>
      <c r="D102" s="751"/>
      <c r="E102" s="751"/>
      <c r="F102" s="751"/>
      <c r="G102" s="751"/>
      <c r="H102" s="751"/>
      <c r="I102" s="751"/>
      <c r="J102" s="75">
        <f t="shared" si="8"/>
        <v>0</v>
      </c>
      <c r="K102" s="75">
        <f t="shared" si="9"/>
        <v>0</v>
      </c>
      <c r="L102" s="751"/>
      <c r="M102" s="753"/>
    </row>
    <row r="103" spans="1:13" ht="13.5" x14ac:dyDescent="0.25">
      <c r="A103" s="891">
        <f>'Org structure'!E97</f>
        <v>0</v>
      </c>
      <c r="B103" s="888"/>
      <c r="C103" s="752"/>
      <c r="D103" s="751"/>
      <c r="E103" s="751"/>
      <c r="F103" s="751"/>
      <c r="G103" s="751"/>
      <c r="H103" s="751"/>
      <c r="I103" s="751"/>
      <c r="J103" s="75">
        <f t="shared" si="8"/>
        <v>0</v>
      </c>
      <c r="K103" s="75">
        <f t="shared" si="9"/>
        <v>0</v>
      </c>
      <c r="L103" s="751"/>
      <c r="M103" s="753"/>
    </row>
    <row r="104" spans="1:13" ht="13.5" x14ac:dyDescent="0.25">
      <c r="A104" s="891">
        <f>'Org structure'!E98</f>
        <v>0</v>
      </c>
      <c r="B104" s="888"/>
      <c r="C104" s="752"/>
      <c r="D104" s="751"/>
      <c r="E104" s="751"/>
      <c r="F104" s="751"/>
      <c r="G104" s="751"/>
      <c r="H104" s="751"/>
      <c r="I104" s="751"/>
      <c r="J104" s="75">
        <f t="shared" si="8"/>
        <v>0</v>
      </c>
      <c r="K104" s="75">
        <f t="shared" si="9"/>
        <v>0</v>
      </c>
      <c r="L104" s="751"/>
      <c r="M104" s="753"/>
    </row>
    <row r="105" spans="1:13" ht="13.5" x14ac:dyDescent="0.25">
      <c r="A105" s="891">
        <f>'Org structure'!E99</f>
        <v>0</v>
      </c>
      <c r="B105" s="888"/>
      <c r="C105" s="752"/>
      <c r="D105" s="751"/>
      <c r="E105" s="751"/>
      <c r="F105" s="751"/>
      <c r="G105" s="751"/>
      <c r="H105" s="751"/>
      <c r="I105" s="751"/>
      <c r="J105" s="75">
        <f t="shared" si="8"/>
        <v>0</v>
      </c>
      <c r="K105" s="75">
        <f t="shared" si="9"/>
        <v>0</v>
      </c>
      <c r="L105" s="751"/>
      <c r="M105" s="753"/>
    </row>
    <row r="106" spans="1:13" ht="13.5" x14ac:dyDescent="0.25">
      <c r="A106" s="891">
        <f>'Org structure'!E100</f>
        <v>0</v>
      </c>
      <c r="B106" s="888"/>
      <c r="C106" s="752"/>
      <c r="D106" s="751"/>
      <c r="E106" s="751"/>
      <c r="F106" s="751"/>
      <c r="G106" s="751"/>
      <c r="H106" s="751"/>
      <c r="I106" s="751"/>
      <c r="J106" s="75">
        <f t="shared" si="8"/>
        <v>0</v>
      </c>
      <c r="K106" s="75">
        <f t="shared" si="9"/>
        <v>0</v>
      </c>
      <c r="L106" s="751"/>
      <c r="M106" s="753"/>
    </row>
    <row r="107" spans="1:13" ht="13.5" x14ac:dyDescent="0.25">
      <c r="A107" s="889" t="str">
        <f>'Org structure'!A11</f>
        <v>Vote 10 - Transport Operations</v>
      </c>
      <c r="B107" s="888"/>
      <c r="C107" s="750">
        <f>SUM(C108:C117)</f>
        <v>0</v>
      </c>
      <c r="D107" s="749">
        <f t="shared" ref="D107:I107" si="13">SUM(D108:D117)</f>
        <v>0</v>
      </c>
      <c r="E107" s="749">
        <f t="shared" si="13"/>
        <v>0</v>
      </c>
      <c r="F107" s="749">
        <f t="shared" si="13"/>
        <v>0</v>
      </c>
      <c r="G107" s="749">
        <f t="shared" si="13"/>
        <v>0</v>
      </c>
      <c r="H107" s="749">
        <f t="shared" si="13"/>
        <v>0</v>
      </c>
      <c r="I107" s="749">
        <f t="shared" si="13"/>
        <v>0</v>
      </c>
      <c r="J107" s="75">
        <f t="shared" si="8"/>
        <v>0</v>
      </c>
      <c r="K107" s="75">
        <f t="shared" si="9"/>
        <v>0</v>
      </c>
      <c r="L107" s="749">
        <f>SUM(L108:L117)</f>
        <v>0</v>
      </c>
      <c r="M107" s="777">
        <f>SUM(M108:M117)</f>
        <v>0</v>
      </c>
    </row>
    <row r="108" spans="1:13" ht="13.5" x14ac:dyDescent="0.25">
      <c r="A108" s="891" t="str">
        <f>'Org structure'!E102</f>
        <v>10.1 - Transport Operations</v>
      </c>
      <c r="B108" s="888"/>
      <c r="C108" s="752"/>
      <c r="D108" s="751"/>
      <c r="E108" s="751"/>
      <c r="F108" s="751"/>
      <c r="G108" s="751"/>
      <c r="H108" s="751"/>
      <c r="I108" s="751"/>
      <c r="J108" s="75">
        <f t="shared" si="8"/>
        <v>0</v>
      </c>
      <c r="K108" s="75">
        <f t="shared" si="9"/>
        <v>0</v>
      </c>
      <c r="L108" s="751"/>
      <c r="M108" s="753"/>
    </row>
    <row r="109" spans="1:13" ht="13.5" x14ac:dyDescent="0.25">
      <c r="A109" s="891">
        <f>'Org structure'!E103</f>
        <v>0</v>
      </c>
      <c r="B109" s="888"/>
      <c r="C109" s="752"/>
      <c r="D109" s="751"/>
      <c r="E109" s="751"/>
      <c r="F109" s="751"/>
      <c r="G109" s="751"/>
      <c r="H109" s="751"/>
      <c r="I109" s="751"/>
      <c r="J109" s="75">
        <f t="shared" si="8"/>
        <v>0</v>
      </c>
      <c r="K109" s="75">
        <f t="shared" si="9"/>
        <v>0</v>
      </c>
      <c r="L109" s="751"/>
      <c r="M109" s="753"/>
    </row>
    <row r="110" spans="1:13" ht="13.5" x14ac:dyDescent="0.25">
      <c r="A110" s="891">
        <f>'Org structure'!E104</f>
        <v>0</v>
      </c>
      <c r="B110" s="888"/>
      <c r="C110" s="752"/>
      <c r="D110" s="751"/>
      <c r="E110" s="751"/>
      <c r="F110" s="751"/>
      <c r="G110" s="751"/>
      <c r="H110" s="751"/>
      <c r="I110" s="751"/>
      <c r="J110" s="75">
        <f t="shared" si="8"/>
        <v>0</v>
      </c>
      <c r="K110" s="75">
        <f t="shared" si="9"/>
        <v>0</v>
      </c>
      <c r="L110" s="751"/>
      <c r="M110" s="753"/>
    </row>
    <row r="111" spans="1:13" ht="13.5" x14ac:dyDescent="0.25">
      <c r="A111" s="891">
        <f>'Org structure'!E105</f>
        <v>0</v>
      </c>
      <c r="B111" s="888"/>
      <c r="C111" s="752"/>
      <c r="D111" s="751"/>
      <c r="E111" s="751"/>
      <c r="F111" s="751"/>
      <c r="G111" s="751"/>
      <c r="H111" s="751"/>
      <c r="I111" s="751"/>
      <c r="J111" s="75">
        <f t="shared" si="8"/>
        <v>0</v>
      </c>
      <c r="K111" s="75">
        <f t="shared" si="9"/>
        <v>0</v>
      </c>
      <c r="L111" s="751"/>
      <c r="M111" s="753"/>
    </row>
    <row r="112" spans="1:13" ht="13.5" x14ac:dyDescent="0.25">
      <c r="A112" s="891">
        <f>'Org structure'!E106</f>
        <v>0</v>
      </c>
      <c r="B112" s="888"/>
      <c r="C112" s="752"/>
      <c r="D112" s="751"/>
      <c r="E112" s="751"/>
      <c r="F112" s="751"/>
      <c r="G112" s="751"/>
      <c r="H112" s="751"/>
      <c r="I112" s="751"/>
      <c r="J112" s="75">
        <f t="shared" si="8"/>
        <v>0</v>
      </c>
      <c r="K112" s="75">
        <f t="shared" si="9"/>
        <v>0</v>
      </c>
      <c r="L112" s="751"/>
      <c r="M112" s="753"/>
    </row>
    <row r="113" spans="1:13" ht="13.5" x14ac:dyDescent="0.25">
      <c r="A113" s="891">
        <f>'Org structure'!E107</f>
        <v>0</v>
      </c>
      <c r="B113" s="888"/>
      <c r="C113" s="752"/>
      <c r="D113" s="751"/>
      <c r="E113" s="751"/>
      <c r="F113" s="751"/>
      <c r="G113" s="751"/>
      <c r="H113" s="751"/>
      <c r="I113" s="751"/>
      <c r="J113" s="75">
        <f t="shared" si="8"/>
        <v>0</v>
      </c>
      <c r="K113" s="75">
        <f t="shared" si="9"/>
        <v>0</v>
      </c>
      <c r="L113" s="751"/>
      <c r="M113" s="753"/>
    </row>
    <row r="114" spans="1:13" ht="13.5" x14ac:dyDescent="0.25">
      <c r="A114" s="891">
        <f>'Org structure'!E108</f>
        <v>0</v>
      </c>
      <c r="B114" s="888"/>
      <c r="C114" s="752"/>
      <c r="D114" s="751"/>
      <c r="E114" s="751"/>
      <c r="F114" s="751"/>
      <c r="G114" s="751"/>
      <c r="H114" s="751"/>
      <c r="I114" s="751"/>
      <c r="J114" s="75">
        <f t="shared" si="8"/>
        <v>0</v>
      </c>
      <c r="K114" s="75">
        <f t="shared" si="9"/>
        <v>0</v>
      </c>
      <c r="L114" s="751"/>
      <c r="M114" s="753"/>
    </row>
    <row r="115" spans="1:13" ht="13.5" x14ac:dyDescent="0.25">
      <c r="A115" s="891">
        <f>'Org structure'!E109</f>
        <v>0</v>
      </c>
      <c r="B115" s="888"/>
      <c r="C115" s="752"/>
      <c r="D115" s="751"/>
      <c r="E115" s="751"/>
      <c r="F115" s="751"/>
      <c r="G115" s="751"/>
      <c r="H115" s="751"/>
      <c r="I115" s="751"/>
      <c r="J115" s="75">
        <f t="shared" si="8"/>
        <v>0</v>
      </c>
      <c r="K115" s="75">
        <f t="shared" si="9"/>
        <v>0</v>
      </c>
      <c r="L115" s="751"/>
      <c r="M115" s="753"/>
    </row>
    <row r="116" spans="1:13" ht="13.5" x14ac:dyDescent="0.25">
      <c r="A116" s="891">
        <f>'Org structure'!E110</f>
        <v>0</v>
      </c>
      <c r="B116" s="888"/>
      <c r="C116" s="752"/>
      <c r="D116" s="751"/>
      <c r="E116" s="751"/>
      <c r="F116" s="751"/>
      <c r="G116" s="751"/>
      <c r="H116" s="751"/>
      <c r="I116" s="751"/>
      <c r="J116" s="75">
        <f t="shared" si="8"/>
        <v>0</v>
      </c>
      <c r="K116" s="75">
        <f t="shared" si="9"/>
        <v>0</v>
      </c>
      <c r="L116" s="751"/>
      <c r="M116" s="753"/>
    </row>
    <row r="117" spans="1:13" ht="13.5" x14ac:dyDescent="0.25">
      <c r="A117" s="891">
        <f>'Org structure'!E111</f>
        <v>0</v>
      </c>
      <c r="B117" s="888"/>
      <c r="C117" s="752"/>
      <c r="D117" s="751"/>
      <c r="E117" s="751"/>
      <c r="F117" s="751"/>
      <c r="G117" s="751"/>
      <c r="H117" s="751"/>
      <c r="I117" s="751"/>
      <c r="J117" s="75">
        <f t="shared" si="8"/>
        <v>0</v>
      </c>
      <c r="K117" s="75">
        <f t="shared" si="9"/>
        <v>0</v>
      </c>
      <c r="L117" s="751"/>
      <c r="M117" s="753"/>
    </row>
    <row r="118" spans="1:13" ht="13.5" x14ac:dyDescent="0.25">
      <c r="A118" s="889" t="str">
        <f>'Org structure'!A12</f>
        <v>Vote 11 - [NAME OF VOTE 11]</v>
      </c>
      <c r="B118" s="888"/>
      <c r="C118" s="750">
        <f>SUM(C119:C128)</f>
        <v>0</v>
      </c>
      <c r="D118" s="749">
        <f t="shared" ref="D118:I118" si="14">SUM(D119:D128)</f>
        <v>0</v>
      </c>
      <c r="E118" s="749">
        <f t="shared" si="14"/>
        <v>0</v>
      </c>
      <c r="F118" s="749">
        <f t="shared" si="14"/>
        <v>0</v>
      </c>
      <c r="G118" s="749">
        <f t="shared" si="14"/>
        <v>0</v>
      </c>
      <c r="H118" s="749">
        <f t="shared" si="14"/>
        <v>0</v>
      </c>
      <c r="I118" s="749">
        <f t="shared" si="14"/>
        <v>0</v>
      </c>
      <c r="J118" s="75">
        <f t="shared" si="8"/>
        <v>0</v>
      </c>
      <c r="K118" s="75">
        <f t="shared" si="9"/>
        <v>0</v>
      </c>
      <c r="L118" s="749">
        <f>SUM(L119:L128)</f>
        <v>0</v>
      </c>
      <c r="M118" s="777">
        <f>SUM(M119:M128)</f>
        <v>0</v>
      </c>
    </row>
    <row r="119" spans="1:13" ht="13.5" x14ac:dyDescent="0.25">
      <c r="A119" s="891" t="str">
        <f>'Org structure'!E113</f>
        <v>11.1 - [Name of sub-vote]</v>
      </c>
      <c r="B119" s="888"/>
      <c r="C119" s="752"/>
      <c r="D119" s="751"/>
      <c r="E119" s="751"/>
      <c r="F119" s="751"/>
      <c r="G119" s="751"/>
      <c r="H119" s="751"/>
      <c r="I119" s="751"/>
      <c r="J119" s="75">
        <f t="shared" si="8"/>
        <v>0</v>
      </c>
      <c r="K119" s="75">
        <f t="shared" si="9"/>
        <v>0</v>
      </c>
      <c r="L119" s="751"/>
      <c r="M119" s="753"/>
    </row>
    <row r="120" spans="1:13" ht="13.5" x14ac:dyDescent="0.25">
      <c r="A120" s="891">
        <f>'Org structure'!E114</f>
        <v>0</v>
      </c>
      <c r="B120" s="888"/>
      <c r="C120" s="752"/>
      <c r="D120" s="751"/>
      <c r="E120" s="751"/>
      <c r="F120" s="751"/>
      <c r="G120" s="751"/>
      <c r="H120" s="751"/>
      <c r="I120" s="751"/>
      <c r="J120" s="75">
        <f t="shared" si="8"/>
        <v>0</v>
      </c>
      <c r="K120" s="75">
        <f t="shared" si="9"/>
        <v>0</v>
      </c>
      <c r="L120" s="751"/>
      <c r="M120" s="753"/>
    </row>
    <row r="121" spans="1:13" ht="13.5" x14ac:dyDescent="0.25">
      <c r="A121" s="891">
        <f>'Org structure'!E115</f>
        <v>0</v>
      </c>
      <c r="B121" s="888"/>
      <c r="C121" s="752"/>
      <c r="D121" s="751"/>
      <c r="E121" s="751"/>
      <c r="F121" s="751"/>
      <c r="G121" s="751"/>
      <c r="H121" s="751"/>
      <c r="I121" s="751"/>
      <c r="J121" s="75">
        <f t="shared" si="8"/>
        <v>0</v>
      </c>
      <c r="K121" s="75">
        <f t="shared" si="9"/>
        <v>0</v>
      </c>
      <c r="L121" s="751"/>
      <c r="M121" s="753"/>
    </row>
    <row r="122" spans="1:13" ht="13.5" x14ac:dyDescent="0.25">
      <c r="A122" s="891">
        <f>'Org structure'!E116</f>
        <v>0</v>
      </c>
      <c r="B122" s="888"/>
      <c r="C122" s="752"/>
      <c r="D122" s="751"/>
      <c r="E122" s="751"/>
      <c r="F122" s="751"/>
      <c r="G122" s="751"/>
      <c r="H122" s="751"/>
      <c r="I122" s="751"/>
      <c r="J122" s="75">
        <f t="shared" si="8"/>
        <v>0</v>
      </c>
      <c r="K122" s="75">
        <f t="shared" si="9"/>
        <v>0</v>
      </c>
      <c r="L122" s="751"/>
      <c r="M122" s="753"/>
    </row>
    <row r="123" spans="1:13" ht="13.5" x14ac:dyDescent="0.25">
      <c r="A123" s="891">
        <f>'Org structure'!E117</f>
        <v>0</v>
      </c>
      <c r="B123" s="888"/>
      <c r="C123" s="752"/>
      <c r="D123" s="751"/>
      <c r="E123" s="751"/>
      <c r="F123" s="751"/>
      <c r="G123" s="751"/>
      <c r="H123" s="751"/>
      <c r="I123" s="751"/>
      <c r="J123" s="75">
        <f t="shared" si="8"/>
        <v>0</v>
      </c>
      <c r="K123" s="75">
        <f t="shared" si="9"/>
        <v>0</v>
      </c>
      <c r="L123" s="751"/>
      <c r="M123" s="753"/>
    </row>
    <row r="124" spans="1:13" ht="13.5" x14ac:dyDescent="0.25">
      <c r="A124" s="891">
        <f>'Org structure'!E118</f>
        <v>0</v>
      </c>
      <c r="B124" s="888"/>
      <c r="C124" s="752"/>
      <c r="D124" s="751"/>
      <c r="E124" s="751"/>
      <c r="F124" s="751"/>
      <c r="G124" s="751"/>
      <c r="H124" s="751"/>
      <c r="I124" s="751"/>
      <c r="J124" s="75">
        <f t="shared" si="8"/>
        <v>0</v>
      </c>
      <c r="K124" s="75">
        <f t="shared" si="9"/>
        <v>0</v>
      </c>
      <c r="L124" s="751"/>
      <c r="M124" s="753"/>
    </row>
    <row r="125" spans="1:13" ht="13.5" x14ac:dyDescent="0.25">
      <c r="A125" s="891">
        <f>'Org structure'!E119</f>
        <v>0</v>
      </c>
      <c r="B125" s="888"/>
      <c r="C125" s="752"/>
      <c r="D125" s="751"/>
      <c r="E125" s="751"/>
      <c r="F125" s="751"/>
      <c r="G125" s="751"/>
      <c r="H125" s="751"/>
      <c r="I125" s="751"/>
      <c r="J125" s="75">
        <f t="shared" si="8"/>
        <v>0</v>
      </c>
      <c r="K125" s="75">
        <f t="shared" si="9"/>
        <v>0</v>
      </c>
      <c r="L125" s="751"/>
      <c r="M125" s="753"/>
    </row>
    <row r="126" spans="1:13" ht="13.5" x14ac:dyDescent="0.25">
      <c r="A126" s="891">
        <f>'Org structure'!E120</f>
        <v>0</v>
      </c>
      <c r="B126" s="888"/>
      <c r="C126" s="752"/>
      <c r="D126" s="751"/>
      <c r="E126" s="751"/>
      <c r="F126" s="751"/>
      <c r="G126" s="751"/>
      <c r="H126" s="751"/>
      <c r="I126" s="751"/>
      <c r="J126" s="75">
        <f t="shared" si="8"/>
        <v>0</v>
      </c>
      <c r="K126" s="75">
        <f t="shared" si="9"/>
        <v>0</v>
      </c>
      <c r="L126" s="751"/>
      <c r="M126" s="753"/>
    </row>
    <row r="127" spans="1:13" ht="13.5" x14ac:dyDescent="0.25">
      <c r="A127" s="891">
        <f>'Org structure'!E121</f>
        <v>0</v>
      </c>
      <c r="B127" s="888"/>
      <c r="C127" s="752"/>
      <c r="D127" s="751"/>
      <c r="E127" s="751"/>
      <c r="F127" s="751"/>
      <c r="G127" s="751"/>
      <c r="H127" s="751"/>
      <c r="I127" s="751"/>
      <c r="J127" s="75">
        <f t="shared" si="8"/>
        <v>0</v>
      </c>
      <c r="K127" s="75">
        <f t="shared" si="9"/>
        <v>0</v>
      </c>
      <c r="L127" s="751"/>
      <c r="M127" s="753"/>
    </row>
    <row r="128" spans="1:13" ht="13.5" x14ac:dyDescent="0.25">
      <c r="A128" s="891">
        <f>'Org structure'!E122</f>
        <v>0</v>
      </c>
      <c r="B128" s="888"/>
      <c r="C128" s="752"/>
      <c r="D128" s="751"/>
      <c r="E128" s="751"/>
      <c r="F128" s="751"/>
      <c r="G128" s="751"/>
      <c r="H128" s="751"/>
      <c r="I128" s="751"/>
      <c r="J128" s="75">
        <f t="shared" si="8"/>
        <v>0</v>
      </c>
      <c r="K128" s="75">
        <f t="shared" si="9"/>
        <v>0</v>
      </c>
      <c r="L128" s="751"/>
      <c r="M128" s="753"/>
    </row>
    <row r="129" spans="1:13" ht="13.5" x14ac:dyDescent="0.25">
      <c r="A129" s="889" t="str">
        <f>'Org structure'!A13</f>
        <v>Vote 12 - [NAME OF VOTE 12]</v>
      </c>
      <c r="B129" s="888"/>
      <c r="C129" s="750">
        <f>SUM(C130:C139)</f>
        <v>0</v>
      </c>
      <c r="D129" s="749">
        <f t="shared" ref="D129:I129" si="15">SUM(D130:D139)</f>
        <v>0</v>
      </c>
      <c r="E129" s="749">
        <f t="shared" si="15"/>
        <v>0</v>
      </c>
      <c r="F129" s="749">
        <f t="shared" si="15"/>
        <v>0</v>
      </c>
      <c r="G129" s="749">
        <f t="shared" si="15"/>
        <v>0</v>
      </c>
      <c r="H129" s="749">
        <f t="shared" si="15"/>
        <v>0</v>
      </c>
      <c r="I129" s="749">
        <f t="shared" si="15"/>
        <v>0</v>
      </c>
      <c r="J129" s="75">
        <f t="shared" si="8"/>
        <v>0</v>
      </c>
      <c r="K129" s="75">
        <f t="shared" si="9"/>
        <v>0</v>
      </c>
      <c r="L129" s="749">
        <f>SUM(L130:L139)</f>
        <v>0</v>
      </c>
      <c r="M129" s="777">
        <f>SUM(M130:M139)</f>
        <v>0</v>
      </c>
    </row>
    <row r="130" spans="1:13" ht="13.5" x14ac:dyDescent="0.25">
      <c r="A130" s="891" t="str">
        <f>'Org structure'!E124</f>
        <v>12.1 - [Name of sub-vote]</v>
      </c>
      <c r="B130" s="888"/>
      <c r="C130" s="752"/>
      <c r="D130" s="751"/>
      <c r="E130" s="751"/>
      <c r="F130" s="751"/>
      <c r="G130" s="751"/>
      <c r="H130" s="751"/>
      <c r="I130" s="751"/>
      <c r="J130" s="75">
        <f t="shared" si="8"/>
        <v>0</v>
      </c>
      <c r="K130" s="75">
        <f t="shared" si="9"/>
        <v>0</v>
      </c>
      <c r="L130" s="751"/>
      <c r="M130" s="753"/>
    </row>
    <row r="131" spans="1:13" ht="13.5" x14ac:dyDescent="0.25">
      <c r="A131" s="891">
        <f>'Org structure'!E125</f>
        <v>0</v>
      </c>
      <c r="B131" s="888"/>
      <c r="C131" s="752"/>
      <c r="D131" s="751"/>
      <c r="E131" s="751"/>
      <c r="F131" s="751"/>
      <c r="G131" s="751"/>
      <c r="H131" s="751"/>
      <c r="I131" s="751"/>
      <c r="J131" s="75">
        <f t="shared" si="8"/>
        <v>0</v>
      </c>
      <c r="K131" s="75">
        <f t="shared" si="9"/>
        <v>0</v>
      </c>
      <c r="L131" s="751"/>
      <c r="M131" s="753"/>
    </row>
    <row r="132" spans="1:13" ht="13.5" x14ac:dyDescent="0.25">
      <c r="A132" s="891">
        <f>'Org structure'!E126</f>
        <v>0</v>
      </c>
      <c r="B132" s="888"/>
      <c r="C132" s="752"/>
      <c r="D132" s="751"/>
      <c r="E132" s="751"/>
      <c r="F132" s="751"/>
      <c r="G132" s="751"/>
      <c r="H132" s="751"/>
      <c r="I132" s="751"/>
      <c r="J132" s="75">
        <f t="shared" si="8"/>
        <v>0</v>
      </c>
      <c r="K132" s="75">
        <f t="shared" si="9"/>
        <v>0</v>
      </c>
      <c r="L132" s="751"/>
      <c r="M132" s="753"/>
    </row>
    <row r="133" spans="1:13" ht="13.5" x14ac:dyDescent="0.25">
      <c r="A133" s="891">
        <f>'Org structure'!E127</f>
        <v>0</v>
      </c>
      <c r="B133" s="888"/>
      <c r="C133" s="752"/>
      <c r="D133" s="751"/>
      <c r="E133" s="751"/>
      <c r="F133" s="751"/>
      <c r="G133" s="751"/>
      <c r="H133" s="751"/>
      <c r="I133" s="751"/>
      <c r="J133" s="75">
        <f t="shared" si="8"/>
        <v>0</v>
      </c>
      <c r="K133" s="75">
        <f t="shared" si="9"/>
        <v>0</v>
      </c>
      <c r="L133" s="751"/>
      <c r="M133" s="753"/>
    </row>
    <row r="134" spans="1:13" ht="13.5" x14ac:dyDescent="0.25">
      <c r="A134" s="891">
        <f>'Org structure'!E128</f>
        <v>0</v>
      </c>
      <c r="B134" s="888"/>
      <c r="C134" s="752"/>
      <c r="D134" s="751"/>
      <c r="E134" s="751"/>
      <c r="F134" s="751"/>
      <c r="G134" s="751"/>
      <c r="H134" s="751"/>
      <c r="I134" s="751"/>
      <c r="J134" s="75">
        <f t="shared" si="8"/>
        <v>0</v>
      </c>
      <c r="K134" s="75">
        <f t="shared" si="9"/>
        <v>0</v>
      </c>
      <c r="L134" s="751"/>
      <c r="M134" s="753"/>
    </row>
    <row r="135" spans="1:13" ht="13.5" x14ac:dyDescent="0.25">
      <c r="A135" s="891">
        <f>'Org structure'!E129</f>
        <v>0</v>
      </c>
      <c r="B135" s="888"/>
      <c r="C135" s="752"/>
      <c r="D135" s="751"/>
      <c r="E135" s="751"/>
      <c r="F135" s="751"/>
      <c r="G135" s="751"/>
      <c r="H135" s="751"/>
      <c r="I135" s="751"/>
      <c r="J135" s="75">
        <f t="shared" si="8"/>
        <v>0</v>
      </c>
      <c r="K135" s="75">
        <f t="shared" si="9"/>
        <v>0</v>
      </c>
      <c r="L135" s="751"/>
      <c r="M135" s="753"/>
    </row>
    <row r="136" spans="1:13" ht="13.5" x14ac:dyDescent="0.25">
      <c r="A136" s="891">
        <f>'Org structure'!E130</f>
        <v>0</v>
      </c>
      <c r="B136" s="888"/>
      <c r="C136" s="752"/>
      <c r="D136" s="751"/>
      <c r="E136" s="751"/>
      <c r="F136" s="751"/>
      <c r="G136" s="751"/>
      <c r="H136" s="751"/>
      <c r="I136" s="751"/>
      <c r="J136" s="75">
        <f t="shared" ref="J136:J173" si="16">SUM(E136:I136)</f>
        <v>0</v>
      </c>
      <c r="K136" s="75">
        <f t="shared" ref="K136:K173" si="17">IF(D136=0,C136+J136,D136+J136)</f>
        <v>0</v>
      </c>
      <c r="L136" s="751"/>
      <c r="M136" s="753"/>
    </row>
    <row r="137" spans="1:13" ht="13.5" x14ac:dyDescent="0.25">
      <c r="A137" s="891">
        <f>'Org structure'!E131</f>
        <v>0</v>
      </c>
      <c r="B137" s="888"/>
      <c r="C137" s="752"/>
      <c r="D137" s="751"/>
      <c r="E137" s="751"/>
      <c r="F137" s="751"/>
      <c r="G137" s="751"/>
      <c r="H137" s="751"/>
      <c r="I137" s="751"/>
      <c r="J137" s="75">
        <f t="shared" si="16"/>
        <v>0</v>
      </c>
      <c r="K137" s="75">
        <f t="shared" si="17"/>
        <v>0</v>
      </c>
      <c r="L137" s="751"/>
      <c r="M137" s="753"/>
    </row>
    <row r="138" spans="1:13" ht="13.5" x14ac:dyDescent="0.25">
      <c r="A138" s="891">
        <f>'Org structure'!E132</f>
        <v>0</v>
      </c>
      <c r="B138" s="888"/>
      <c r="C138" s="752"/>
      <c r="D138" s="751"/>
      <c r="E138" s="751"/>
      <c r="F138" s="751"/>
      <c r="G138" s="751"/>
      <c r="H138" s="751"/>
      <c r="I138" s="751"/>
      <c r="J138" s="75">
        <f t="shared" si="16"/>
        <v>0</v>
      </c>
      <c r="K138" s="75">
        <f t="shared" si="17"/>
        <v>0</v>
      </c>
      <c r="L138" s="751"/>
      <c r="M138" s="753"/>
    </row>
    <row r="139" spans="1:13" ht="13.5" x14ac:dyDescent="0.25">
      <c r="A139" s="891">
        <f>'Org structure'!E133</f>
        <v>0</v>
      </c>
      <c r="B139" s="888"/>
      <c r="C139" s="752"/>
      <c r="D139" s="751"/>
      <c r="E139" s="751"/>
      <c r="F139" s="751"/>
      <c r="G139" s="751"/>
      <c r="H139" s="751"/>
      <c r="I139" s="751"/>
      <c r="J139" s="75">
        <f t="shared" si="16"/>
        <v>0</v>
      </c>
      <c r="K139" s="75">
        <f t="shared" si="17"/>
        <v>0</v>
      </c>
      <c r="L139" s="751"/>
      <c r="M139" s="753"/>
    </row>
    <row r="140" spans="1:13" ht="13.5" x14ac:dyDescent="0.25">
      <c r="A140" s="889" t="str">
        <f>'Org structure'!A14</f>
        <v>Vote 13 - [NAME OF VOTE 13]</v>
      </c>
      <c r="B140" s="888"/>
      <c r="C140" s="750">
        <f>SUM(C141:C150)</f>
        <v>0</v>
      </c>
      <c r="D140" s="749">
        <f t="shared" ref="D140:I140" si="18">SUM(D141:D150)</f>
        <v>0</v>
      </c>
      <c r="E140" s="749">
        <f t="shared" si="18"/>
        <v>0</v>
      </c>
      <c r="F140" s="749">
        <f t="shared" si="18"/>
        <v>0</v>
      </c>
      <c r="G140" s="749">
        <f t="shared" si="18"/>
        <v>0</v>
      </c>
      <c r="H140" s="749">
        <f t="shared" si="18"/>
        <v>0</v>
      </c>
      <c r="I140" s="749">
        <f t="shared" si="18"/>
        <v>0</v>
      </c>
      <c r="J140" s="75">
        <f t="shared" si="16"/>
        <v>0</v>
      </c>
      <c r="K140" s="75">
        <f t="shared" si="17"/>
        <v>0</v>
      </c>
      <c r="L140" s="749">
        <f>SUM(L141:L150)</f>
        <v>0</v>
      </c>
      <c r="M140" s="777">
        <f>SUM(M141:M150)</f>
        <v>0</v>
      </c>
    </row>
    <row r="141" spans="1:13" ht="13.5" x14ac:dyDescent="0.25">
      <c r="A141" s="891" t="str">
        <f>'Org structure'!E135</f>
        <v>13.1 - [Name of sub-vote]</v>
      </c>
      <c r="B141" s="888"/>
      <c r="C141" s="752"/>
      <c r="D141" s="751"/>
      <c r="E141" s="751"/>
      <c r="F141" s="751"/>
      <c r="G141" s="751"/>
      <c r="H141" s="751"/>
      <c r="I141" s="751"/>
      <c r="J141" s="75">
        <f t="shared" si="16"/>
        <v>0</v>
      </c>
      <c r="K141" s="75">
        <f t="shared" si="17"/>
        <v>0</v>
      </c>
      <c r="L141" s="751"/>
      <c r="M141" s="753"/>
    </row>
    <row r="142" spans="1:13" ht="13.5" x14ac:dyDescent="0.25">
      <c r="A142" s="891">
        <f>'Org structure'!E136</f>
        <v>0</v>
      </c>
      <c r="B142" s="888"/>
      <c r="C142" s="752"/>
      <c r="D142" s="751"/>
      <c r="E142" s="751"/>
      <c r="F142" s="751"/>
      <c r="G142" s="751"/>
      <c r="H142" s="751"/>
      <c r="I142" s="751"/>
      <c r="J142" s="75">
        <f t="shared" si="16"/>
        <v>0</v>
      </c>
      <c r="K142" s="75">
        <f t="shared" si="17"/>
        <v>0</v>
      </c>
      <c r="L142" s="751"/>
      <c r="M142" s="753"/>
    </row>
    <row r="143" spans="1:13" ht="13.5" x14ac:dyDescent="0.25">
      <c r="A143" s="891">
        <f>'Org structure'!E137</f>
        <v>0</v>
      </c>
      <c r="B143" s="888"/>
      <c r="C143" s="752"/>
      <c r="D143" s="751"/>
      <c r="E143" s="751"/>
      <c r="F143" s="751"/>
      <c r="G143" s="751"/>
      <c r="H143" s="751"/>
      <c r="I143" s="751"/>
      <c r="J143" s="75">
        <f t="shared" si="16"/>
        <v>0</v>
      </c>
      <c r="K143" s="75">
        <f t="shared" si="17"/>
        <v>0</v>
      </c>
      <c r="L143" s="751"/>
      <c r="M143" s="753"/>
    </row>
    <row r="144" spans="1:13" ht="13.5" x14ac:dyDescent="0.25">
      <c r="A144" s="891">
        <f>'Org structure'!E138</f>
        <v>0</v>
      </c>
      <c r="B144" s="888"/>
      <c r="C144" s="752"/>
      <c r="D144" s="751"/>
      <c r="E144" s="751"/>
      <c r="F144" s="751"/>
      <c r="G144" s="751"/>
      <c r="H144" s="751"/>
      <c r="I144" s="751"/>
      <c r="J144" s="75">
        <f t="shared" si="16"/>
        <v>0</v>
      </c>
      <c r="K144" s="75">
        <f t="shared" si="17"/>
        <v>0</v>
      </c>
      <c r="L144" s="751"/>
      <c r="M144" s="753"/>
    </row>
    <row r="145" spans="1:13" ht="13.5" x14ac:dyDescent="0.25">
      <c r="A145" s="891">
        <f>'Org structure'!E139</f>
        <v>0</v>
      </c>
      <c r="B145" s="888"/>
      <c r="C145" s="752"/>
      <c r="D145" s="751"/>
      <c r="E145" s="751"/>
      <c r="F145" s="751"/>
      <c r="G145" s="751"/>
      <c r="H145" s="751"/>
      <c r="I145" s="751"/>
      <c r="J145" s="75">
        <f t="shared" si="16"/>
        <v>0</v>
      </c>
      <c r="K145" s="75">
        <f t="shared" si="17"/>
        <v>0</v>
      </c>
      <c r="L145" s="751"/>
      <c r="M145" s="753"/>
    </row>
    <row r="146" spans="1:13" ht="13.5" x14ac:dyDescent="0.25">
      <c r="A146" s="891">
        <f>'Org structure'!E140</f>
        <v>0</v>
      </c>
      <c r="B146" s="888"/>
      <c r="C146" s="752"/>
      <c r="D146" s="751"/>
      <c r="E146" s="751"/>
      <c r="F146" s="751"/>
      <c r="G146" s="751"/>
      <c r="H146" s="751"/>
      <c r="I146" s="751"/>
      <c r="J146" s="75">
        <f t="shared" si="16"/>
        <v>0</v>
      </c>
      <c r="K146" s="75">
        <f t="shared" si="17"/>
        <v>0</v>
      </c>
      <c r="L146" s="751"/>
      <c r="M146" s="753"/>
    </row>
    <row r="147" spans="1:13" ht="13.5" x14ac:dyDescent="0.25">
      <c r="A147" s="891">
        <f>'Org structure'!E141</f>
        <v>0</v>
      </c>
      <c r="B147" s="888"/>
      <c r="C147" s="752"/>
      <c r="D147" s="751"/>
      <c r="E147" s="751"/>
      <c r="F147" s="751"/>
      <c r="G147" s="751"/>
      <c r="H147" s="751"/>
      <c r="I147" s="751"/>
      <c r="J147" s="75">
        <f t="shared" si="16"/>
        <v>0</v>
      </c>
      <c r="K147" s="75">
        <f t="shared" si="17"/>
        <v>0</v>
      </c>
      <c r="L147" s="751"/>
      <c r="M147" s="753"/>
    </row>
    <row r="148" spans="1:13" ht="13.5" x14ac:dyDescent="0.25">
      <c r="A148" s="891">
        <f>'Org structure'!E142</f>
        <v>0</v>
      </c>
      <c r="B148" s="888"/>
      <c r="C148" s="752"/>
      <c r="D148" s="751"/>
      <c r="E148" s="751"/>
      <c r="F148" s="751"/>
      <c r="G148" s="751"/>
      <c r="H148" s="751"/>
      <c r="I148" s="751"/>
      <c r="J148" s="75">
        <f t="shared" si="16"/>
        <v>0</v>
      </c>
      <c r="K148" s="75">
        <f t="shared" si="17"/>
        <v>0</v>
      </c>
      <c r="L148" s="751"/>
      <c r="M148" s="753"/>
    </row>
    <row r="149" spans="1:13" ht="13.5" x14ac:dyDescent="0.25">
      <c r="A149" s="891">
        <f>'Org structure'!E143</f>
        <v>0</v>
      </c>
      <c r="B149" s="888"/>
      <c r="C149" s="752"/>
      <c r="D149" s="751"/>
      <c r="E149" s="751"/>
      <c r="F149" s="751"/>
      <c r="G149" s="751"/>
      <c r="H149" s="751"/>
      <c r="I149" s="751"/>
      <c r="J149" s="75">
        <f t="shared" si="16"/>
        <v>0</v>
      </c>
      <c r="K149" s="75">
        <f t="shared" si="17"/>
        <v>0</v>
      </c>
      <c r="L149" s="751"/>
      <c r="M149" s="753"/>
    </row>
    <row r="150" spans="1:13" ht="13.5" x14ac:dyDescent="0.25">
      <c r="A150" s="891">
        <f>'Org structure'!E144</f>
        <v>0</v>
      </c>
      <c r="B150" s="888"/>
      <c r="C150" s="752"/>
      <c r="D150" s="751"/>
      <c r="E150" s="751"/>
      <c r="F150" s="751"/>
      <c r="G150" s="751"/>
      <c r="H150" s="751"/>
      <c r="I150" s="751"/>
      <c r="J150" s="75">
        <f t="shared" si="16"/>
        <v>0</v>
      </c>
      <c r="K150" s="75">
        <f t="shared" si="17"/>
        <v>0</v>
      </c>
      <c r="L150" s="751"/>
      <c r="M150" s="753"/>
    </row>
    <row r="151" spans="1:13" ht="13.5" x14ac:dyDescent="0.25">
      <c r="A151" s="889" t="str">
        <f>'Org structure'!A15</f>
        <v>Vote 14 - [NAME OF VOTE 14]</v>
      </c>
      <c r="B151" s="888"/>
      <c r="C151" s="750">
        <f>SUM(C152:C161)</f>
        <v>0</v>
      </c>
      <c r="D151" s="749">
        <f t="shared" ref="D151:I151" si="19">SUM(D152:D161)</f>
        <v>0</v>
      </c>
      <c r="E151" s="749">
        <f t="shared" si="19"/>
        <v>0</v>
      </c>
      <c r="F151" s="749">
        <f t="shared" si="19"/>
        <v>0</v>
      </c>
      <c r="G151" s="749">
        <f t="shared" si="19"/>
        <v>0</v>
      </c>
      <c r="H151" s="749">
        <f t="shared" si="19"/>
        <v>0</v>
      </c>
      <c r="I151" s="749">
        <f t="shared" si="19"/>
        <v>0</v>
      </c>
      <c r="J151" s="75">
        <f t="shared" si="16"/>
        <v>0</v>
      </c>
      <c r="K151" s="75">
        <f t="shared" si="17"/>
        <v>0</v>
      </c>
      <c r="L151" s="749">
        <f>SUM(L152:L161)</f>
        <v>0</v>
      </c>
      <c r="M151" s="777">
        <f>SUM(M152:M161)</f>
        <v>0</v>
      </c>
    </row>
    <row r="152" spans="1:13" ht="13.5" x14ac:dyDescent="0.25">
      <c r="A152" s="891" t="str">
        <f>'Org structure'!E146</f>
        <v>14.1 - [Name of sub-vote]</v>
      </c>
      <c r="B152" s="888"/>
      <c r="C152" s="752"/>
      <c r="D152" s="751"/>
      <c r="E152" s="751"/>
      <c r="F152" s="751"/>
      <c r="G152" s="751"/>
      <c r="H152" s="751"/>
      <c r="I152" s="751"/>
      <c r="J152" s="75">
        <f t="shared" si="16"/>
        <v>0</v>
      </c>
      <c r="K152" s="75">
        <f t="shared" si="17"/>
        <v>0</v>
      </c>
      <c r="L152" s="751"/>
      <c r="M152" s="753"/>
    </row>
    <row r="153" spans="1:13" ht="13.5" x14ac:dyDescent="0.25">
      <c r="A153" s="891">
        <f>'Org structure'!E147</f>
        <v>0</v>
      </c>
      <c r="B153" s="888"/>
      <c r="C153" s="752"/>
      <c r="D153" s="751"/>
      <c r="E153" s="751"/>
      <c r="F153" s="751"/>
      <c r="G153" s="751"/>
      <c r="H153" s="751"/>
      <c r="I153" s="751"/>
      <c r="J153" s="75">
        <f t="shared" si="16"/>
        <v>0</v>
      </c>
      <c r="K153" s="75">
        <f t="shared" si="17"/>
        <v>0</v>
      </c>
      <c r="L153" s="751"/>
      <c r="M153" s="753"/>
    </row>
    <row r="154" spans="1:13" ht="13.5" x14ac:dyDescent="0.25">
      <c r="A154" s="891">
        <f>'Org structure'!E148</f>
        <v>0</v>
      </c>
      <c r="B154" s="888"/>
      <c r="C154" s="752"/>
      <c r="D154" s="751"/>
      <c r="E154" s="751"/>
      <c r="F154" s="751"/>
      <c r="G154" s="751"/>
      <c r="H154" s="751"/>
      <c r="I154" s="751"/>
      <c r="J154" s="75">
        <f t="shared" si="16"/>
        <v>0</v>
      </c>
      <c r="K154" s="75">
        <f t="shared" si="17"/>
        <v>0</v>
      </c>
      <c r="L154" s="751"/>
      <c r="M154" s="753"/>
    </row>
    <row r="155" spans="1:13" ht="13.5" x14ac:dyDescent="0.25">
      <c r="A155" s="891">
        <f>'Org structure'!E149</f>
        <v>0</v>
      </c>
      <c r="B155" s="888"/>
      <c r="C155" s="752"/>
      <c r="D155" s="751"/>
      <c r="E155" s="751"/>
      <c r="F155" s="751"/>
      <c r="G155" s="751"/>
      <c r="H155" s="751"/>
      <c r="I155" s="751"/>
      <c r="J155" s="75">
        <f t="shared" si="16"/>
        <v>0</v>
      </c>
      <c r="K155" s="75">
        <f t="shared" si="17"/>
        <v>0</v>
      </c>
      <c r="L155" s="751"/>
      <c r="M155" s="753"/>
    </row>
    <row r="156" spans="1:13" ht="13.5" x14ac:dyDescent="0.25">
      <c r="A156" s="891">
        <f>'Org structure'!E150</f>
        <v>0</v>
      </c>
      <c r="B156" s="888"/>
      <c r="C156" s="752"/>
      <c r="D156" s="751"/>
      <c r="E156" s="751"/>
      <c r="F156" s="751"/>
      <c r="G156" s="751"/>
      <c r="H156" s="751"/>
      <c r="I156" s="751"/>
      <c r="J156" s="75">
        <f t="shared" si="16"/>
        <v>0</v>
      </c>
      <c r="K156" s="75">
        <f t="shared" si="17"/>
        <v>0</v>
      </c>
      <c r="L156" s="751"/>
      <c r="M156" s="753"/>
    </row>
    <row r="157" spans="1:13" ht="13.5" x14ac:dyDescent="0.25">
      <c r="A157" s="891">
        <f>'Org structure'!E151</f>
        <v>0</v>
      </c>
      <c r="B157" s="888"/>
      <c r="C157" s="752"/>
      <c r="D157" s="751"/>
      <c r="E157" s="751"/>
      <c r="F157" s="751"/>
      <c r="G157" s="751"/>
      <c r="H157" s="751"/>
      <c r="I157" s="751"/>
      <c r="J157" s="75">
        <f t="shared" si="16"/>
        <v>0</v>
      </c>
      <c r="K157" s="75">
        <f t="shared" si="17"/>
        <v>0</v>
      </c>
      <c r="L157" s="751"/>
      <c r="M157" s="753"/>
    </row>
    <row r="158" spans="1:13" ht="13.5" x14ac:dyDescent="0.25">
      <c r="A158" s="891">
        <f>'Org structure'!E152</f>
        <v>0</v>
      </c>
      <c r="B158" s="888"/>
      <c r="C158" s="752"/>
      <c r="D158" s="751"/>
      <c r="E158" s="751"/>
      <c r="F158" s="751"/>
      <c r="G158" s="751"/>
      <c r="H158" s="751"/>
      <c r="I158" s="751"/>
      <c r="J158" s="75">
        <f t="shared" si="16"/>
        <v>0</v>
      </c>
      <c r="K158" s="75">
        <f t="shared" si="17"/>
        <v>0</v>
      </c>
      <c r="L158" s="751"/>
      <c r="M158" s="753"/>
    </row>
    <row r="159" spans="1:13" ht="13.5" x14ac:dyDescent="0.25">
      <c r="A159" s="891">
        <f>'Org structure'!E153</f>
        <v>0</v>
      </c>
      <c r="B159" s="888"/>
      <c r="C159" s="752"/>
      <c r="D159" s="751"/>
      <c r="E159" s="751"/>
      <c r="F159" s="751"/>
      <c r="G159" s="751"/>
      <c r="H159" s="751"/>
      <c r="I159" s="751"/>
      <c r="J159" s="75">
        <f t="shared" si="16"/>
        <v>0</v>
      </c>
      <c r="K159" s="75">
        <f t="shared" si="17"/>
        <v>0</v>
      </c>
      <c r="L159" s="751"/>
      <c r="M159" s="753"/>
    </row>
    <row r="160" spans="1:13" ht="13.5" x14ac:dyDescent="0.25">
      <c r="A160" s="891">
        <f>'Org structure'!E154</f>
        <v>0</v>
      </c>
      <c r="B160" s="888"/>
      <c r="C160" s="752"/>
      <c r="D160" s="751"/>
      <c r="E160" s="751"/>
      <c r="F160" s="751"/>
      <c r="G160" s="751"/>
      <c r="H160" s="751"/>
      <c r="I160" s="751"/>
      <c r="J160" s="75">
        <f t="shared" si="16"/>
        <v>0</v>
      </c>
      <c r="K160" s="75">
        <f t="shared" si="17"/>
        <v>0</v>
      </c>
      <c r="L160" s="751"/>
      <c r="M160" s="753"/>
    </row>
    <row r="161" spans="1:14" ht="13.5" x14ac:dyDescent="0.25">
      <c r="A161" s="891">
        <f>'Org structure'!E155</f>
        <v>0</v>
      </c>
      <c r="B161" s="888"/>
      <c r="C161" s="752"/>
      <c r="D161" s="751"/>
      <c r="E161" s="751"/>
      <c r="F161" s="751"/>
      <c r="G161" s="751"/>
      <c r="H161" s="751"/>
      <c r="I161" s="751"/>
      <c r="J161" s="75">
        <f t="shared" si="16"/>
        <v>0</v>
      </c>
      <c r="K161" s="75">
        <f t="shared" si="17"/>
        <v>0</v>
      </c>
      <c r="L161" s="751"/>
      <c r="M161" s="753"/>
    </row>
    <row r="162" spans="1:14" ht="13.5" x14ac:dyDescent="0.25">
      <c r="A162" s="889" t="str">
        <f>'Org structure'!A16</f>
        <v>Vote 15 - [NAME OF VOTE 15]</v>
      </c>
      <c r="B162" s="888"/>
      <c r="C162" s="750">
        <f>SUM(C163:C172)</f>
        <v>0</v>
      </c>
      <c r="D162" s="749">
        <f t="shared" ref="D162:I162" si="20">SUM(D163:D172)</f>
        <v>0</v>
      </c>
      <c r="E162" s="749">
        <f t="shared" si="20"/>
        <v>0</v>
      </c>
      <c r="F162" s="749">
        <f t="shared" si="20"/>
        <v>0</v>
      </c>
      <c r="G162" s="749">
        <f t="shared" si="20"/>
        <v>0</v>
      </c>
      <c r="H162" s="749">
        <f t="shared" si="20"/>
        <v>0</v>
      </c>
      <c r="I162" s="749">
        <f t="shared" si="20"/>
        <v>0</v>
      </c>
      <c r="J162" s="75">
        <f t="shared" si="16"/>
        <v>0</v>
      </c>
      <c r="K162" s="75">
        <f t="shared" si="17"/>
        <v>0</v>
      </c>
      <c r="L162" s="749">
        <f>SUM(L163:L172)</f>
        <v>0</v>
      </c>
      <c r="M162" s="777">
        <f>SUM(M163:M172)</f>
        <v>0</v>
      </c>
    </row>
    <row r="163" spans="1:14" ht="13.5" x14ac:dyDescent="0.25">
      <c r="A163" s="891" t="str">
        <f>'Org structure'!E157</f>
        <v>15.1 - [Name of sub-vote]</v>
      </c>
      <c r="B163" s="888"/>
      <c r="C163" s="752"/>
      <c r="D163" s="751"/>
      <c r="E163" s="751"/>
      <c r="F163" s="751"/>
      <c r="G163" s="751"/>
      <c r="H163" s="751"/>
      <c r="I163" s="751"/>
      <c r="J163" s="75">
        <f t="shared" si="16"/>
        <v>0</v>
      </c>
      <c r="K163" s="75">
        <f t="shared" si="17"/>
        <v>0</v>
      </c>
      <c r="L163" s="751"/>
      <c r="M163" s="753"/>
    </row>
    <row r="164" spans="1:14" ht="13.5" x14ac:dyDescent="0.25">
      <c r="A164" s="891">
        <f>'Org structure'!E158</f>
        <v>0</v>
      </c>
      <c r="B164" s="888"/>
      <c r="C164" s="752"/>
      <c r="D164" s="751"/>
      <c r="E164" s="751"/>
      <c r="F164" s="751"/>
      <c r="G164" s="751"/>
      <c r="H164" s="751"/>
      <c r="I164" s="751"/>
      <c r="J164" s="75">
        <f t="shared" si="16"/>
        <v>0</v>
      </c>
      <c r="K164" s="75">
        <f t="shared" si="17"/>
        <v>0</v>
      </c>
      <c r="L164" s="751"/>
      <c r="M164" s="753"/>
    </row>
    <row r="165" spans="1:14" ht="13.5" x14ac:dyDescent="0.25">
      <c r="A165" s="891">
        <f>'Org structure'!E159</f>
        <v>0</v>
      </c>
      <c r="B165" s="888"/>
      <c r="C165" s="752"/>
      <c r="D165" s="751"/>
      <c r="E165" s="751"/>
      <c r="F165" s="751"/>
      <c r="G165" s="751"/>
      <c r="H165" s="751"/>
      <c r="I165" s="751"/>
      <c r="J165" s="75">
        <f t="shared" si="16"/>
        <v>0</v>
      </c>
      <c r="K165" s="75">
        <f t="shared" si="17"/>
        <v>0</v>
      </c>
      <c r="L165" s="751"/>
      <c r="M165" s="753"/>
    </row>
    <row r="166" spans="1:14" ht="13.5" x14ac:dyDescent="0.25">
      <c r="A166" s="891">
        <f>'Org structure'!E160</f>
        <v>0</v>
      </c>
      <c r="B166" s="888"/>
      <c r="C166" s="752"/>
      <c r="D166" s="751"/>
      <c r="E166" s="751"/>
      <c r="F166" s="751"/>
      <c r="G166" s="751"/>
      <c r="H166" s="751"/>
      <c r="I166" s="751"/>
      <c r="J166" s="75">
        <f t="shared" si="16"/>
        <v>0</v>
      </c>
      <c r="K166" s="75">
        <f t="shared" si="17"/>
        <v>0</v>
      </c>
      <c r="L166" s="751"/>
      <c r="M166" s="753"/>
    </row>
    <row r="167" spans="1:14" ht="13.5" x14ac:dyDescent="0.25">
      <c r="A167" s="891">
        <f>'Org structure'!E161</f>
        <v>0</v>
      </c>
      <c r="B167" s="888"/>
      <c r="C167" s="752"/>
      <c r="D167" s="751"/>
      <c r="E167" s="751"/>
      <c r="F167" s="751"/>
      <c r="G167" s="751"/>
      <c r="H167" s="751"/>
      <c r="I167" s="751"/>
      <c r="J167" s="75">
        <f t="shared" si="16"/>
        <v>0</v>
      </c>
      <c r="K167" s="75">
        <f t="shared" si="17"/>
        <v>0</v>
      </c>
      <c r="L167" s="751"/>
      <c r="M167" s="753"/>
    </row>
    <row r="168" spans="1:14" ht="13.5" x14ac:dyDescent="0.25">
      <c r="A168" s="891">
        <f>'Org structure'!E162</f>
        <v>0</v>
      </c>
      <c r="B168" s="888"/>
      <c r="C168" s="752"/>
      <c r="D168" s="751"/>
      <c r="E168" s="751"/>
      <c r="F168" s="751"/>
      <c r="G168" s="751"/>
      <c r="H168" s="751"/>
      <c r="I168" s="751"/>
      <c r="J168" s="75">
        <f t="shared" si="16"/>
        <v>0</v>
      </c>
      <c r="K168" s="75">
        <f t="shared" si="17"/>
        <v>0</v>
      </c>
      <c r="L168" s="751"/>
      <c r="M168" s="753"/>
    </row>
    <row r="169" spans="1:14" ht="13.5" x14ac:dyDescent="0.25">
      <c r="A169" s="891">
        <f>'Org structure'!E163</f>
        <v>0</v>
      </c>
      <c r="B169" s="888"/>
      <c r="C169" s="752"/>
      <c r="D169" s="751"/>
      <c r="E169" s="751"/>
      <c r="F169" s="751"/>
      <c r="G169" s="751"/>
      <c r="H169" s="751"/>
      <c r="I169" s="751"/>
      <c r="J169" s="75">
        <f t="shared" si="16"/>
        <v>0</v>
      </c>
      <c r="K169" s="75">
        <f t="shared" si="17"/>
        <v>0</v>
      </c>
      <c r="L169" s="751"/>
      <c r="M169" s="753"/>
    </row>
    <row r="170" spans="1:14" ht="13.5" x14ac:dyDescent="0.25">
      <c r="A170" s="891">
        <f>'Org structure'!E164</f>
        <v>0</v>
      </c>
      <c r="B170" s="888"/>
      <c r="C170" s="752"/>
      <c r="D170" s="751"/>
      <c r="E170" s="751"/>
      <c r="F170" s="751"/>
      <c r="G170" s="751"/>
      <c r="H170" s="751"/>
      <c r="I170" s="751"/>
      <c r="J170" s="75">
        <f t="shared" si="16"/>
        <v>0</v>
      </c>
      <c r="K170" s="75">
        <f t="shared" si="17"/>
        <v>0</v>
      </c>
      <c r="L170" s="751"/>
      <c r="M170" s="753"/>
    </row>
    <row r="171" spans="1:14" ht="13.5" x14ac:dyDescent="0.25">
      <c r="A171" s="891">
        <f>'Org structure'!E165</f>
        <v>0</v>
      </c>
      <c r="B171" s="888"/>
      <c r="C171" s="752"/>
      <c r="D171" s="751"/>
      <c r="E171" s="751"/>
      <c r="F171" s="751"/>
      <c r="G171" s="751"/>
      <c r="H171" s="751"/>
      <c r="I171" s="751"/>
      <c r="J171" s="75">
        <f t="shared" si="16"/>
        <v>0</v>
      </c>
      <c r="K171" s="75">
        <f t="shared" si="17"/>
        <v>0</v>
      </c>
      <c r="L171" s="751"/>
      <c r="M171" s="753"/>
    </row>
    <row r="172" spans="1:14" ht="13.5" x14ac:dyDescent="0.25">
      <c r="A172" s="891">
        <f>'Org structure'!E166</f>
        <v>0</v>
      </c>
      <c r="B172" s="888"/>
      <c r="C172" s="752"/>
      <c r="D172" s="751"/>
      <c r="E172" s="751"/>
      <c r="F172" s="751"/>
      <c r="G172" s="751"/>
      <c r="H172" s="751"/>
      <c r="I172" s="751"/>
      <c r="J172" s="75">
        <f t="shared" si="16"/>
        <v>0</v>
      </c>
      <c r="K172" s="75">
        <f t="shared" si="17"/>
        <v>0</v>
      </c>
      <c r="L172" s="751"/>
      <c r="M172" s="753"/>
    </row>
    <row r="173" spans="1:14" ht="13.5" x14ac:dyDescent="0.25">
      <c r="A173" s="893" t="s">
        <v>714</v>
      </c>
      <c r="B173" s="888"/>
      <c r="C173" s="756">
        <f>C8+C19+C30+C41+C52+C63+C74+C85+C96+C107+C118+C129+C140+C151+C162</f>
        <v>0</v>
      </c>
      <c r="D173" s="755">
        <f t="shared" ref="D173:I173" si="21">D8+D19+D30+D41+D52+D63+D74+D85+D96+D107+D118+D129+D140+D151+D162</f>
        <v>0</v>
      </c>
      <c r="E173" s="755">
        <f t="shared" si="21"/>
        <v>0</v>
      </c>
      <c r="F173" s="755">
        <f t="shared" si="21"/>
        <v>0</v>
      </c>
      <c r="G173" s="755">
        <f t="shared" si="21"/>
        <v>0</v>
      </c>
      <c r="H173" s="755">
        <f t="shared" si="21"/>
        <v>0</v>
      </c>
      <c r="I173" s="755">
        <f t="shared" si="21"/>
        <v>0</v>
      </c>
      <c r="J173" s="75">
        <f t="shared" si="16"/>
        <v>0</v>
      </c>
      <c r="K173" s="75">
        <f t="shared" si="17"/>
        <v>0</v>
      </c>
      <c r="L173" s="755">
        <f>L8+L19+L30+L41+L52+L63+L74+L85+L96+L107+L118+L129+L140+L151+L162</f>
        <v>0</v>
      </c>
      <c r="M173" s="778">
        <f>M8+M19+M30+M41+M52+M63+M74+M85+M96+M107+M118+M129+M140+M151+M162</f>
        <v>0</v>
      </c>
    </row>
    <row r="174" spans="1:14" ht="5.25" customHeight="1" x14ac:dyDescent="0.25">
      <c r="A174" s="894"/>
      <c r="B174" s="888"/>
      <c r="C174" s="759"/>
      <c r="D174" s="758"/>
      <c r="E174" s="758"/>
      <c r="F174" s="758"/>
      <c r="G174" s="758"/>
      <c r="H174" s="758"/>
      <c r="I174" s="758"/>
      <c r="J174" s="758"/>
      <c r="K174" s="758"/>
      <c r="L174" s="758"/>
      <c r="M174" s="779"/>
    </row>
    <row r="175" spans="1:14" ht="17.25" customHeight="1" x14ac:dyDescent="0.25">
      <c r="A175" s="886" t="s">
        <v>1151</v>
      </c>
      <c r="B175" s="895">
        <v>2</v>
      </c>
      <c r="C175" s="783"/>
      <c r="D175" s="138"/>
      <c r="E175" s="138"/>
      <c r="F175" s="138"/>
      <c r="G175" s="138"/>
      <c r="H175" s="138"/>
      <c r="I175" s="138"/>
      <c r="J175" s="138"/>
      <c r="K175" s="138"/>
      <c r="L175" s="138"/>
      <c r="M175" s="206"/>
      <c r="N175" s="787"/>
    </row>
    <row r="176" spans="1:14" ht="13.5" x14ac:dyDescent="0.25">
      <c r="A176" s="886" t="s">
        <v>1242</v>
      </c>
      <c r="B176" s="896"/>
      <c r="C176" s="783"/>
      <c r="D176" s="138"/>
      <c r="E176" s="138"/>
      <c r="F176" s="138"/>
      <c r="G176" s="138"/>
      <c r="H176" s="138"/>
      <c r="I176" s="138"/>
      <c r="J176" s="138"/>
      <c r="K176" s="138"/>
      <c r="L176" s="138"/>
      <c r="M176" s="206"/>
    </row>
    <row r="177" spans="1:13" ht="13.5" x14ac:dyDescent="0.25">
      <c r="A177" s="889" t="str">
        <f>B5B!A8</f>
        <v>Vote 1 - COUNCIL</v>
      </c>
      <c r="B177" s="888"/>
      <c r="C177" s="765">
        <f>SUM(C178:C187)</f>
        <v>1200000</v>
      </c>
      <c r="D177" s="764">
        <f t="shared" ref="D177:I177" si="22">SUM(D178:D187)</f>
        <v>0</v>
      </c>
      <c r="E177" s="764">
        <f t="shared" si="22"/>
        <v>0</v>
      </c>
      <c r="F177" s="764">
        <f t="shared" si="22"/>
        <v>0</v>
      </c>
      <c r="G177" s="764">
        <f t="shared" si="22"/>
        <v>0</v>
      </c>
      <c r="H177" s="764">
        <f t="shared" si="22"/>
        <v>0</v>
      </c>
      <c r="I177" s="764">
        <f t="shared" si="22"/>
        <v>-293843</v>
      </c>
      <c r="J177" s="75">
        <f t="shared" ref="J177:J240" si="23">SUM(E177:I177)</f>
        <v>-293843</v>
      </c>
      <c r="K177" s="75">
        <f t="shared" ref="K177:K240" si="24">IF(D177=0,C177+J177,D177+J177)</f>
        <v>906157</v>
      </c>
      <c r="L177" s="764">
        <f>SUM(L178:L187)</f>
        <v>0</v>
      </c>
      <c r="M177" s="781">
        <f>SUM(M178:M187)</f>
        <v>0</v>
      </c>
    </row>
    <row r="178" spans="1:13" ht="13.5" x14ac:dyDescent="0.25">
      <c r="A178" s="891" t="str">
        <f>B5B!A9</f>
        <v>Council</v>
      </c>
      <c r="B178" s="890"/>
      <c r="C178" s="1281">
        <v>1200000</v>
      </c>
      <c r="D178" s="109"/>
      <c r="E178" s="109"/>
      <c r="F178" s="109"/>
      <c r="G178" s="109"/>
      <c r="H178" s="109"/>
      <c r="I178" s="109">
        <v>-293843</v>
      </c>
      <c r="J178" s="75">
        <f t="shared" si="23"/>
        <v>-293843</v>
      </c>
      <c r="K178" s="75">
        <f t="shared" si="24"/>
        <v>906157</v>
      </c>
      <c r="L178" s="109"/>
      <c r="M178" s="110"/>
    </row>
    <row r="179" spans="1:13" ht="13.5" x14ac:dyDescent="0.25">
      <c r="A179" s="891" t="str">
        <f>B5B!A10</f>
        <v>Office of executive Mayor</v>
      </c>
      <c r="B179" s="888"/>
      <c r="C179" s="391"/>
      <c r="D179" s="109"/>
      <c r="E179" s="109"/>
      <c r="F179" s="109"/>
      <c r="G179" s="109"/>
      <c r="H179" s="109"/>
      <c r="I179" s="109"/>
      <c r="J179" s="75">
        <f t="shared" si="23"/>
        <v>0</v>
      </c>
      <c r="K179" s="75">
        <f t="shared" si="24"/>
        <v>0</v>
      </c>
      <c r="L179" s="109"/>
      <c r="M179" s="110"/>
    </row>
    <row r="180" spans="1:13" ht="13.5" x14ac:dyDescent="0.25">
      <c r="A180" s="891" t="str">
        <f>B5B!A11</f>
        <v>Office of Speaker</v>
      </c>
      <c r="B180" s="888"/>
      <c r="C180" s="391"/>
      <c r="D180" s="109"/>
      <c r="E180" s="109"/>
      <c r="F180" s="109"/>
      <c r="G180" s="109"/>
      <c r="H180" s="109"/>
      <c r="I180" s="109"/>
      <c r="J180" s="75">
        <f t="shared" si="23"/>
        <v>0</v>
      </c>
      <c r="K180" s="75">
        <f t="shared" si="24"/>
        <v>0</v>
      </c>
      <c r="L180" s="109"/>
      <c r="M180" s="110"/>
    </row>
    <row r="181" spans="1:13" ht="13.5" x14ac:dyDescent="0.25">
      <c r="A181" s="891" t="str">
        <f>B5B!A12</f>
        <v>Office of Chief Whip</v>
      </c>
      <c r="B181" s="888"/>
      <c r="C181" s="391"/>
      <c r="D181" s="109"/>
      <c r="E181" s="109"/>
      <c r="F181" s="109"/>
      <c r="G181" s="109"/>
      <c r="H181" s="109"/>
      <c r="I181" s="109"/>
      <c r="J181" s="75">
        <f t="shared" si="23"/>
        <v>0</v>
      </c>
      <c r="K181" s="75">
        <f t="shared" si="24"/>
        <v>0</v>
      </c>
      <c r="L181" s="109"/>
      <c r="M181" s="110"/>
    </row>
    <row r="182" spans="1:13" ht="13.5" x14ac:dyDescent="0.25">
      <c r="A182" s="891">
        <f>B5B!A13</f>
        <v>0</v>
      </c>
      <c r="B182" s="888"/>
      <c r="C182" s="391"/>
      <c r="D182" s="109"/>
      <c r="E182" s="109"/>
      <c r="F182" s="109"/>
      <c r="G182" s="109"/>
      <c r="H182" s="109"/>
      <c r="I182" s="109"/>
      <c r="J182" s="75">
        <f t="shared" si="23"/>
        <v>0</v>
      </c>
      <c r="K182" s="75">
        <f t="shared" si="24"/>
        <v>0</v>
      </c>
      <c r="L182" s="109"/>
      <c r="M182" s="110"/>
    </row>
    <row r="183" spans="1:13" ht="13.5" x14ac:dyDescent="0.25">
      <c r="A183" s="891">
        <f>B5B!A14</f>
        <v>0</v>
      </c>
      <c r="B183" s="888"/>
      <c r="C183" s="391"/>
      <c r="D183" s="109"/>
      <c r="E183" s="109"/>
      <c r="F183" s="109"/>
      <c r="G183" s="109"/>
      <c r="H183" s="109"/>
      <c r="I183" s="109"/>
      <c r="J183" s="75">
        <f t="shared" si="23"/>
        <v>0</v>
      </c>
      <c r="K183" s="75">
        <f t="shared" si="24"/>
        <v>0</v>
      </c>
      <c r="L183" s="109"/>
      <c r="M183" s="110"/>
    </row>
    <row r="184" spans="1:13" ht="13.5" x14ac:dyDescent="0.25">
      <c r="A184" s="891">
        <f>B5B!A15</f>
        <v>0</v>
      </c>
      <c r="B184" s="888"/>
      <c r="C184" s="391"/>
      <c r="D184" s="109"/>
      <c r="E184" s="109"/>
      <c r="F184" s="109"/>
      <c r="G184" s="109"/>
      <c r="H184" s="109"/>
      <c r="I184" s="109"/>
      <c r="J184" s="75">
        <f t="shared" si="23"/>
        <v>0</v>
      </c>
      <c r="K184" s="75">
        <f t="shared" si="24"/>
        <v>0</v>
      </c>
      <c r="L184" s="109"/>
      <c r="M184" s="110"/>
    </row>
    <row r="185" spans="1:13" ht="13.5" x14ac:dyDescent="0.25">
      <c r="A185" s="891">
        <f>B5B!A16</f>
        <v>0</v>
      </c>
      <c r="B185" s="888"/>
      <c r="C185" s="391"/>
      <c r="D185" s="109"/>
      <c r="E185" s="109"/>
      <c r="F185" s="109"/>
      <c r="G185" s="109"/>
      <c r="H185" s="109"/>
      <c r="I185" s="109"/>
      <c r="J185" s="75">
        <f t="shared" si="23"/>
        <v>0</v>
      </c>
      <c r="K185" s="75">
        <f t="shared" si="24"/>
        <v>0</v>
      </c>
      <c r="L185" s="109"/>
      <c r="M185" s="110"/>
    </row>
    <row r="186" spans="1:13" ht="13.5" x14ac:dyDescent="0.25">
      <c r="A186" s="891">
        <f>B5B!A17</f>
        <v>0</v>
      </c>
      <c r="B186" s="888"/>
      <c r="C186" s="391"/>
      <c r="D186" s="109"/>
      <c r="E186" s="109"/>
      <c r="F186" s="109"/>
      <c r="G186" s="109"/>
      <c r="H186" s="109"/>
      <c r="I186" s="109"/>
      <c r="J186" s="75">
        <f t="shared" si="23"/>
        <v>0</v>
      </c>
      <c r="K186" s="75">
        <f t="shared" si="24"/>
        <v>0</v>
      </c>
      <c r="L186" s="109"/>
      <c r="M186" s="110"/>
    </row>
    <row r="187" spans="1:13" ht="13.5" x14ac:dyDescent="0.25">
      <c r="A187" s="891">
        <f>B5B!A18</f>
        <v>0</v>
      </c>
      <c r="B187" s="888"/>
      <c r="C187" s="391"/>
      <c r="D187" s="109"/>
      <c r="E187" s="109"/>
      <c r="F187" s="109"/>
      <c r="G187" s="109"/>
      <c r="H187" s="109"/>
      <c r="I187" s="109"/>
      <c r="J187" s="75">
        <f t="shared" si="23"/>
        <v>0</v>
      </c>
      <c r="K187" s="75">
        <f t="shared" si="24"/>
        <v>0</v>
      </c>
      <c r="L187" s="109"/>
      <c r="M187" s="110"/>
    </row>
    <row r="188" spans="1:13" ht="13.5" x14ac:dyDescent="0.25">
      <c r="A188" s="889" t="str">
        <f>B5B!A19</f>
        <v>Vote 2 - Office of the Municipal Manger</v>
      </c>
      <c r="B188" s="888"/>
      <c r="C188" s="750">
        <f>SUM(C189:C198)</f>
        <v>0</v>
      </c>
      <c r="D188" s="749">
        <f t="shared" ref="D188:I188" si="25">SUM(D189:D198)</f>
        <v>0</v>
      </c>
      <c r="E188" s="749">
        <f t="shared" si="25"/>
        <v>0</v>
      </c>
      <c r="F188" s="749">
        <f t="shared" si="25"/>
        <v>0</v>
      </c>
      <c r="G188" s="749">
        <f t="shared" si="25"/>
        <v>0</v>
      </c>
      <c r="H188" s="749">
        <f t="shared" si="25"/>
        <v>0</v>
      </c>
      <c r="I188" s="749">
        <f t="shared" si="25"/>
        <v>0</v>
      </c>
      <c r="J188" s="75">
        <f t="shared" si="23"/>
        <v>0</v>
      </c>
      <c r="K188" s="75">
        <f t="shared" si="24"/>
        <v>0</v>
      </c>
      <c r="L188" s="749">
        <f>SUM(L189:L198)</f>
        <v>0</v>
      </c>
      <c r="M188" s="777">
        <f>SUM(M189:M198)</f>
        <v>0</v>
      </c>
    </row>
    <row r="189" spans="1:13" ht="13.5" x14ac:dyDescent="0.25">
      <c r="A189" s="891" t="str">
        <f>B5B!A20</f>
        <v>2,1 - Office of the Municipal Manager</v>
      </c>
      <c r="B189" s="888"/>
      <c r="C189" s="391"/>
      <c r="D189" s="109"/>
      <c r="E189" s="109"/>
      <c r="F189" s="109"/>
      <c r="G189" s="109"/>
      <c r="H189" s="109"/>
      <c r="I189" s="109"/>
      <c r="J189" s="75">
        <f t="shared" si="23"/>
        <v>0</v>
      </c>
      <c r="K189" s="75">
        <f t="shared" si="24"/>
        <v>0</v>
      </c>
      <c r="L189" s="109"/>
      <c r="M189" s="110"/>
    </row>
    <row r="190" spans="1:13" ht="13.5" x14ac:dyDescent="0.25">
      <c r="A190" s="891" t="str">
        <f>B5B!A21</f>
        <v>2,2 - Communications and Marketing</v>
      </c>
      <c r="B190" s="888"/>
      <c r="C190" s="391"/>
      <c r="D190" s="109"/>
      <c r="E190" s="109"/>
      <c r="F190" s="109"/>
      <c r="G190" s="109"/>
      <c r="H190" s="109"/>
      <c r="I190" s="109"/>
      <c r="J190" s="75">
        <f t="shared" si="23"/>
        <v>0</v>
      </c>
      <c r="K190" s="75">
        <f t="shared" si="24"/>
        <v>0</v>
      </c>
      <c r="L190" s="109"/>
      <c r="M190" s="110"/>
    </row>
    <row r="191" spans="1:13" ht="13.5" x14ac:dyDescent="0.25">
      <c r="A191" s="891" t="str">
        <f>B5B!A22</f>
        <v>2,3 - Risk Management</v>
      </c>
      <c r="B191" s="888"/>
      <c r="C191" s="391"/>
      <c r="D191" s="109"/>
      <c r="E191" s="109"/>
      <c r="F191" s="109"/>
      <c r="G191" s="109"/>
      <c r="H191" s="109"/>
      <c r="I191" s="109"/>
      <c r="J191" s="75">
        <f t="shared" si="23"/>
        <v>0</v>
      </c>
      <c r="K191" s="75">
        <f t="shared" si="24"/>
        <v>0</v>
      </c>
      <c r="L191" s="109"/>
      <c r="M191" s="110"/>
    </row>
    <row r="192" spans="1:13" ht="13.5" x14ac:dyDescent="0.25">
      <c r="A192" s="891" t="str">
        <f>B5B!A23</f>
        <v>2,4 - Internal Audit</v>
      </c>
      <c r="B192" s="888"/>
      <c r="C192" s="391"/>
      <c r="D192" s="109"/>
      <c r="E192" s="109"/>
      <c r="F192" s="109"/>
      <c r="G192" s="109"/>
      <c r="H192" s="109"/>
      <c r="I192" s="109"/>
      <c r="J192" s="75">
        <f t="shared" si="23"/>
        <v>0</v>
      </c>
      <c r="K192" s="75">
        <f t="shared" si="24"/>
        <v>0</v>
      </c>
      <c r="L192" s="109"/>
      <c r="M192" s="110"/>
    </row>
    <row r="193" spans="1:13" ht="13.5" x14ac:dyDescent="0.25">
      <c r="A193" s="891">
        <f>B5B!A24</f>
        <v>0</v>
      </c>
      <c r="B193" s="888"/>
      <c r="C193" s="391"/>
      <c r="D193" s="109"/>
      <c r="E193" s="109"/>
      <c r="F193" s="109"/>
      <c r="G193" s="109"/>
      <c r="H193" s="109"/>
      <c r="I193" s="109"/>
      <c r="J193" s="75">
        <f t="shared" si="23"/>
        <v>0</v>
      </c>
      <c r="K193" s="75">
        <f t="shared" si="24"/>
        <v>0</v>
      </c>
      <c r="L193" s="109"/>
      <c r="M193" s="110"/>
    </row>
    <row r="194" spans="1:13" ht="13.5" x14ac:dyDescent="0.25">
      <c r="A194" s="891">
        <f>B5B!A25</f>
        <v>0</v>
      </c>
      <c r="B194" s="888"/>
      <c r="C194" s="391"/>
      <c r="D194" s="109"/>
      <c r="E194" s="109"/>
      <c r="F194" s="109"/>
      <c r="G194" s="109"/>
      <c r="H194" s="109"/>
      <c r="I194" s="109"/>
      <c r="J194" s="75">
        <f t="shared" si="23"/>
        <v>0</v>
      </c>
      <c r="K194" s="75">
        <f t="shared" si="24"/>
        <v>0</v>
      </c>
      <c r="L194" s="109"/>
      <c r="M194" s="110"/>
    </row>
    <row r="195" spans="1:13" ht="13.5" x14ac:dyDescent="0.25">
      <c r="A195" s="891">
        <f>B5B!A26</f>
        <v>0</v>
      </c>
      <c r="B195" s="888"/>
      <c r="C195" s="391"/>
      <c r="D195" s="109"/>
      <c r="E195" s="109"/>
      <c r="F195" s="109"/>
      <c r="G195" s="109"/>
      <c r="H195" s="109"/>
      <c r="I195" s="109"/>
      <c r="J195" s="75">
        <f t="shared" si="23"/>
        <v>0</v>
      </c>
      <c r="K195" s="75">
        <f t="shared" si="24"/>
        <v>0</v>
      </c>
      <c r="L195" s="109"/>
      <c r="M195" s="110"/>
    </row>
    <row r="196" spans="1:13" ht="13.5" x14ac:dyDescent="0.25">
      <c r="A196" s="891">
        <f>B5B!A27</f>
        <v>0</v>
      </c>
      <c r="B196" s="888"/>
      <c r="C196" s="391"/>
      <c r="D196" s="109"/>
      <c r="E196" s="109"/>
      <c r="F196" s="109"/>
      <c r="G196" s="109"/>
      <c r="H196" s="109"/>
      <c r="I196" s="109"/>
      <c r="J196" s="75">
        <f t="shared" si="23"/>
        <v>0</v>
      </c>
      <c r="K196" s="75">
        <f t="shared" si="24"/>
        <v>0</v>
      </c>
      <c r="L196" s="109"/>
      <c r="M196" s="110"/>
    </row>
    <row r="197" spans="1:13" ht="13.5" x14ac:dyDescent="0.25">
      <c r="A197" s="891">
        <f>B5B!A28</f>
        <v>0</v>
      </c>
      <c r="B197" s="888"/>
      <c r="C197" s="391"/>
      <c r="D197" s="109"/>
      <c r="E197" s="109"/>
      <c r="F197" s="109"/>
      <c r="G197" s="109"/>
      <c r="H197" s="109"/>
      <c r="I197" s="109"/>
      <c r="J197" s="75">
        <f t="shared" si="23"/>
        <v>0</v>
      </c>
      <c r="K197" s="75">
        <f t="shared" si="24"/>
        <v>0</v>
      </c>
      <c r="L197" s="109"/>
      <c r="M197" s="110"/>
    </row>
    <row r="198" spans="1:13" ht="13.5" x14ac:dyDescent="0.25">
      <c r="A198" s="891">
        <f>B5B!A29</f>
        <v>0</v>
      </c>
      <c r="B198" s="890"/>
      <c r="C198" s="391"/>
      <c r="D198" s="109"/>
      <c r="E198" s="109"/>
      <c r="F198" s="109"/>
      <c r="G198" s="109"/>
      <c r="H198" s="109"/>
      <c r="I198" s="109"/>
      <c r="J198" s="75">
        <f t="shared" si="23"/>
        <v>0</v>
      </c>
      <c r="K198" s="75">
        <f t="shared" si="24"/>
        <v>0</v>
      </c>
      <c r="L198" s="109"/>
      <c r="M198" s="110"/>
    </row>
    <row r="199" spans="1:13" ht="13.5" x14ac:dyDescent="0.25">
      <c r="A199" s="889" t="str">
        <f>B5B!A30</f>
        <v>Vote 3 - Strategic Planning Monitoring and Evaluation</v>
      </c>
      <c r="B199" s="888"/>
      <c r="C199" s="750">
        <f>SUM(C200:C209)</f>
        <v>0</v>
      </c>
      <c r="D199" s="749">
        <f t="shared" ref="D199:I199" si="26">SUM(D200:D209)</f>
        <v>0</v>
      </c>
      <c r="E199" s="749">
        <f t="shared" si="26"/>
        <v>0</v>
      </c>
      <c r="F199" s="749">
        <f t="shared" si="26"/>
        <v>0</v>
      </c>
      <c r="G199" s="749">
        <f t="shared" si="26"/>
        <v>0</v>
      </c>
      <c r="H199" s="749">
        <f t="shared" si="26"/>
        <v>0</v>
      </c>
      <c r="I199" s="749">
        <f t="shared" si="26"/>
        <v>0</v>
      </c>
      <c r="J199" s="75">
        <f t="shared" si="23"/>
        <v>0</v>
      </c>
      <c r="K199" s="75">
        <f t="shared" si="24"/>
        <v>0</v>
      </c>
      <c r="L199" s="749">
        <f>SUM(L200:L209)</f>
        <v>0</v>
      </c>
      <c r="M199" s="777">
        <f>SUM(M200:M209)</f>
        <v>0</v>
      </c>
    </row>
    <row r="200" spans="1:13" ht="13.5" x14ac:dyDescent="0.25">
      <c r="A200" s="891" t="str">
        <f>B5B!A31</f>
        <v>3.1 - Director Strategic Planning Monitoring and Evaluation</v>
      </c>
      <c r="B200" s="888"/>
      <c r="C200" s="391"/>
      <c r="D200" s="109"/>
      <c r="E200" s="109"/>
      <c r="F200" s="109"/>
      <c r="G200" s="109"/>
      <c r="H200" s="109"/>
      <c r="I200" s="109"/>
      <c r="J200" s="75">
        <f t="shared" si="23"/>
        <v>0</v>
      </c>
      <c r="K200" s="75">
        <f t="shared" si="24"/>
        <v>0</v>
      </c>
      <c r="L200" s="109"/>
      <c r="M200" s="110"/>
    </row>
    <row r="201" spans="1:13" ht="13.5" x14ac:dyDescent="0.25">
      <c r="A201" s="891" t="str">
        <f>B5B!A32</f>
        <v>3.2 - Risk Management</v>
      </c>
      <c r="B201" s="888"/>
      <c r="C201" s="391"/>
      <c r="D201" s="109"/>
      <c r="E201" s="109"/>
      <c r="F201" s="109"/>
      <c r="G201" s="109"/>
      <c r="H201" s="109"/>
      <c r="I201" s="109"/>
      <c r="J201" s="75">
        <f t="shared" si="23"/>
        <v>0</v>
      </c>
      <c r="K201" s="75">
        <f t="shared" si="24"/>
        <v>0</v>
      </c>
      <c r="L201" s="109"/>
      <c r="M201" s="110"/>
    </row>
    <row r="202" spans="1:13" ht="13.5" x14ac:dyDescent="0.25">
      <c r="A202" s="891" t="str">
        <f>B5B!A33</f>
        <v>3.3 - Internal Audit</v>
      </c>
      <c r="B202" s="888"/>
      <c r="C202" s="391"/>
      <c r="D202" s="109"/>
      <c r="E202" s="109"/>
      <c r="F202" s="109"/>
      <c r="G202" s="109"/>
      <c r="H202" s="109"/>
      <c r="I202" s="109"/>
      <c r="J202" s="75">
        <f t="shared" si="23"/>
        <v>0</v>
      </c>
      <c r="K202" s="75">
        <f t="shared" si="24"/>
        <v>0</v>
      </c>
      <c r="L202" s="109"/>
      <c r="M202" s="110"/>
    </row>
    <row r="203" spans="1:13" ht="13.5" x14ac:dyDescent="0.25">
      <c r="A203" s="891" t="str">
        <f>B5B!A34</f>
        <v>3.4 - Project Management</v>
      </c>
      <c r="B203" s="888"/>
      <c r="C203" s="391"/>
      <c r="D203" s="109"/>
      <c r="E203" s="109"/>
      <c r="F203" s="109"/>
      <c r="G203" s="109"/>
      <c r="H203" s="109"/>
      <c r="I203" s="109"/>
      <c r="J203" s="75">
        <f t="shared" si="23"/>
        <v>0</v>
      </c>
      <c r="K203" s="75">
        <f t="shared" si="24"/>
        <v>0</v>
      </c>
      <c r="L203" s="109"/>
      <c r="M203" s="110"/>
    </row>
    <row r="204" spans="1:13" ht="13.5" x14ac:dyDescent="0.25">
      <c r="A204" s="891" t="str">
        <f>B5B!A35</f>
        <v>3.5 - Perfomance Management</v>
      </c>
      <c r="B204" s="888"/>
      <c r="C204" s="391"/>
      <c r="D204" s="109"/>
      <c r="E204" s="109"/>
      <c r="F204" s="109"/>
      <c r="G204" s="109"/>
      <c r="H204" s="109"/>
      <c r="I204" s="109"/>
      <c r="J204" s="75">
        <f t="shared" si="23"/>
        <v>0</v>
      </c>
      <c r="K204" s="75">
        <f t="shared" si="24"/>
        <v>0</v>
      </c>
      <c r="L204" s="109"/>
      <c r="M204" s="110"/>
    </row>
    <row r="205" spans="1:13" ht="13.5" x14ac:dyDescent="0.25">
      <c r="A205" s="891" t="str">
        <f>B5B!A36</f>
        <v>3.6 - IDP</v>
      </c>
      <c r="B205" s="888"/>
      <c r="C205" s="391"/>
      <c r="D205" s="109"/>
      <c r="E205" s="109"/>
      <c r="F205" s="109"/>
      <c r="G205" s="109"/>
      <c r="H205" s="109"/>
      <c r="I205" s="109"/>
      <c r="J205" s="75">
        <f t="shared" si="23"/>
        <v>0</v>
      </c>
      <c r="K205" s="75">
        <f t="shared" si="24"/>
        <v>0</v>
      </c>
      <c r="L205" s="109"/>
      <c r="M205" s="110"/>
    </row>
    <row r="206" spans="1:13" ht="13.5" x14ac:dyDescent="0.25">
      <c r="A206" s="891" t="str">
        <f>B5B!A37</f>
        <v>3.7 - Cluster Offices</v>
      </c>
      <c r="B206" s="888"/>
      <c r="C206" s="391"/>
      <c r="D206" s="109"/>
      <c r="E206" s="109"/>
      <c r="F206" s="109"/>
      <c r="G206" s="109"/>
      <c r="H206" s="109"/>
      <c r="I206" s="109"/>
      <c r="J206" s="75">
        <f t="shared" si="23"/>
        <v>0</v>
      </c>
      <c r="K206" s="75">
        <f t="shared" si="24"/>
        <v>0</v>
      </c>
      <c r="L206" s="109"/>
      <c r="M206" s="110"/>
    </row>
    <row r="207" spans="1:13" ht="13.5" x14ac:dyDescent="0.25">
      <c r="A207" s="891">
        <f>B5B!A38</f>
        <v>0</v>
      </c>
      <c r="B207" s="888"/>
      <c r="C207" s="391"/>
      <c r="D207" s="109"/>
      <c r="E207" s="109"/>
      <c r="F207" s="109"/>
      <c r="G207" s="109"/>
      <c r="H207" s="109"/>
      <c r="I207" s="109"/>
      <c r="J207" s="75">
        <f t="shared" si="23"/>
        <v>0</v>
      </c>
      <c r="K207" s="75">
        <f t="shared" si="24"/>
        <v>0</v>
      </c>
      <c r="L207" s="109"/>
      <c r="M207" s="110"/>
    </row>
    <row r="208" spans="1:13" ht="13.5" x14ac:dyDescent="0.25">
      <c r="A208" s="891">
        <f>B5B!A39</f>
        <v>0</v>
      </c>
      <c r="B208" s="888"/>
      <c r="C208" s="391"/>
      <c r="D208" s="109"/>
      <c r="E208" s="109"/>
      <c r="F208" s="109"/>
      <c r="G208" s="109"/>
      <c r="H208" s="109"/>
      <c r="I208" s="109"/>
      <c r="J208" s="75">
        <f t="shared" si="23"/>
        <v>0</v>
      </c>
      <c r="K208" s="75">
        <f t="shared" si="24"/>
        <v>0</v>
      </c>
      <c r="L208" s="109"/>
      <c r="M208" s="110"/>
    </row>
    <row r="209" spans="1:13" ht="13.5" x14ac:dyDescent="0.25">
      <c r="A209" s="891">
        <f>B5B!A40</f>
        <v>0</v>
      </c>
      <c r="B209" s="890"/>
      <c r="C209" s="391"/>
      <c r="D209" s="109"/>
      <c r="E209" s="109"/>
      <c r="F209" s="109"/>
      <c r="G209" s="109"/>
      <c r="H209" s="109"/>
      <c r="I209" s="109"/>
      <c r="J209" s="75">
        <f t="shared" si="23"/>
        <v>0</v>
      </c>
      <c r="K209" s="75">
        <f t="shared" si="24"/>
        <v>0</v>
      </c>
      <c r="L209" s="109"/>
      <c r="M209" s="110"/>
    </row>
    <row r="210" spans="1:13" ht="13.5" x14ac:dyDescent="0.25">
      <c r="A210" s="889" t="str">
        <f>B5B!A41</f>
        <v>Vote 4 - Engineering Services</v>
      </c>
      <c r="B210" s="888"/>
      <c r="C210" s="750">
        <f t="shared" ref="C210:I210" si="27">SUM(C211:C220)</f>
        <v>309249000</v>
      </c>
      <c r="D210" s="749">
        <f t="shared" si="27"/>
        <v>0</v>
      </c>
      <c r="E210" s="749">
        <f t="shared" si="27"/>
        <v>0</v>
      </c>
      <c r="F210" s="749">
        <f t="shared" si="27"/>
        <v>0</v>
      </c>
      <c r="G210" s="749">
        <f t="shared" si="27"/>
        <v>0</v>
      </c>
      <c r="H210" s="749">
        <f t="shared" si="27"/>
        <v>14410120.569999993</v>
      </c>
      <c r="I210" s="749">
        <f t="shared" si="27"/>
        <v>-13664042.599999905</v>
      </c>
      <c r="J210" s="75">
        <f t="shared" si="23"/>
        <v>746077.97000008821</v>
      </c>
      <c r="K210" s="75">
        <f t="shared" si="24"/>
        <v>309995077.97000009</v>
      </c>
      <c r="L210" s="749">
        <f>SUM(L211:L220)</f>
        <v>322094000</v>
      </c>
      <c r="M210" s="777">
        <f>SUM(M211:M220)</f>
        <v>371110000</v>
      </c>
    </row>
    <row r="211" spans="1:13" ht="13.5" x14ac:dyDescent="0.25">
      <c r="A211" s="891" t="str">
        <f>B5B!A42</f>
        <v>4.1 - Roads and streets</v>
      </c>
      <c r="B211" s="888"/>
      <c r="C211" s="391">
        <v>122949000</v>
      </c>
      <c r="D211" s="109"/>
      <c r="E211" s="109"/>
      <c r="F211" s="109"/>
      <c r="G211" s="109"/>
      <c r="H211" s="109">
        <v>0</v>
      </c>
      <c r="I211" s="109">
        <v>-3077567</v>
      </c>
      <c r="J211" s="75">
        <f t="shared" si="23"/>
        <v>-3077567</v>
      </c>
      <c r="K211" s="75">
        <f t="shared" si="24"/>
        <v>119871433</v>
      </c>
      <c r="L211" s="109">
        <v>144930000</v>
      </c>
      <c r="M211" s="110">
        <v>145478000</v>
      </c>
    </row>
    <row r="212" spans="1:13" ht="13.5" x14ac:dyDescent="0.25">
      <c r="A212" s="891" t="str">
        <f>B5B!A43</f>
        <v>4.2 - Stormwater</v>
      </c>
      <c r="B212" s="888"/>
      <c r="C212" s="391">
        <v>0</v>
      </c>
      <c r="D212" s="109"/>
      <c r="E212" s="109"/>
      <c r="F212" s="109"/>
      <c r="G212" s="109"/>
      <c r="H212" s="109"/>
      <c r="I212" s="109">
        <v>0</v>
      </c>
      <c r="J212" s="75">
        <f t="shared" si="23"/>
        <v>0</v>
      </c>
      <c r="K212" s="75">
        <f t="shared" si="24"/>
        <v>0</v>
      </c>
      <c r="L212" s="109">
        <v>0</v>
      </c>
      <c r="M212" s="110">
        <v>0</v>
      </c>
    </row>
    <row r="213" spans="1:13" ht="13.5" x14ac:dyDescent="0.25">
      <c r="A213" s="891" t="str">
        <f>B5B!A44</f>
        <v>4.3 - Sewer Purification</v>
      </c>
      <c r="B213" s="888"/>
      <c r="C213" s="391">
        <v>0</v>
      </c>
      <c r="D213" s="109"/>
      <c r="E213" s="109"/>
      <c r="F213" s="109"/>
      <c r="G213" s="109"/>
      <c r="H213" s="109"/>
      <c r="I213" s="109">
        <v>0</v>
      </c>
      <c r="J213" s="75">
        <f t="shared" si="23"/>
        <v>0</v>
      </c>
      <c r="K213" s="75">
        <f t="shared" si="24"/>
        <v>0</v>
      </c>
      <c r="L213" s="109">
        <v>0</v>
      </c>
      <c r="M213" s="110">
        <v>0</v>
      </c>
    </row>
    <row r="214" spans="1:13" ht="13.5" x14ac:dyDescent="0.25">
      <c r="A214" s="891" t="str">
        <f>B5B!A45</f>
        <v>4.4 - Sewer Reticulation</v>
      </c>
      <c r="B214" s="888"/>
      <c r="C214" s="391">
        <v>500000</v>
      </c>
      <c r="D214" s="109"/>
      <c r="E214" s="109"/>
      <c r="F214" s="109"/>
      <c r="G214" s="109"/>
      <c r="H214" s="109"/>
      <c r="I214" s="109">
        <v>95360</v>
      </c>
      <c r="J214" s="75">
        <f t="shared" si="23"/>
        <v>95360</v>
      </c>
      <c r="K214" s="75">
        <f t="shared" si="24"/>
        <v>595360</v>
      </c>
      <c r="L214" s="109">
        <v>3000000</v>
      </c>
      <c r="M214" s="110">
        <v>2750000</v>
      </c>
    </row>
    <row r="215" spans="1:13" ht="13.5" x14ac:dyDescent="0.25">
      <c r="A215" s="891" t="str">
        <f>B5B!A46</f>
        <v>4.5 - Water Distribution</v>
      </c>
      <c r="B215" s="888"/>
      <c r="C215" s="391">
        <v>171000000</v>
      </c>
      <c r="D215" s="109"/>
      <c r="E215" s="109"/>
      <c r="F215" s="109"/>
      <c r="G215" s="109"/>
      <c r="H215" s="109"/>
      <c r="I215" s="109">
        <f>75941745+5000000</f>
        <v>80941745</v>
      </c>
      <c r="J215" s="75">
        <f t="shared" si="23"/>
        <v>80941745</v>
      </c>
      <c r="K215" s="75">
        <f t="shared" si="24"/>
        <v>251941745</v>
      </c>
      <c r="L215" s="109">
        <v>114364000</v>
      </c>
      <c r="M215" s="110">
        <v>154182000</v>
      </c>
    </row>
    <row r="216" spans="1:13" ht="13.5" x14ac:dyDescent="0.25">
      <c r="A216" s="891" t="str">
        <f>B5B!A47</f>
        <v>4.6 - Water Purification</v>
      </c>
      <c r="B216" s="888"/>
      <c r="C216" s="391">
        <v>0</v>
      </c>
      <c r="D216" s="109"/>
      <c r="E216" s="109"/>
      <c r="F216" s="109"/>
      <c r="G216" s="109"/>
      <c r="H216" s="109"/>
      <c r="I216" s="109">
        <v>0</v>
      </c>
      <c r="J216" s="75">
        <f t="shared" si="23"/>
        <v>0</v>
      </c>
      <c r="K216" s="75">
        <f t="shared" si="24"/>
        <v>0</v>
      </c>
      <c r="L216" s="109">
        <v>0</v>
      </c>
      <c r="M216" s="110">
        <v>0</v>
      </c>
    </row>
    <row r="217" spans="1:13" ht="13.5" x14ac:dyDescent="0.25">
      <c r="A217" s="891" t="str">
        <f>B5B!A48</f>
        <v>4.7 - Water Provision</v>
      </c>
      <c r="B217" s="888"/>
      <c r="C217" s="391">
        <v>0</v>
      </c>
      <c r="D217" s="109"/>
      <c r="E217" s="109"/>
      <c r="F217" s="109"/>
      <c r="G217" s="109"/>
      <c r="H217" s="109"/>
      <c r="I217" s="109">
        <v>153485</v>
      </c>
      <c r="J217" s="75">
        <f t="shared" si="23"/>
        <v>153485</v>
      </c>
      <c r="K217" s="75">
        <f t="shared" si="24"/>
        <v>153485</v>
      </c>
      <c r="L217" s="109">
        <v>0</v>
      </c>
      <c r="M217" s="110">
        <v>0</v>
      </c>
    </row>
    <row r="218" spans="1:13" ht="13.5" x14ac:dyDescent="0.25">
      <c r="A218" s="891" t="str">
        <f>B5B!A49</f>
        <v>4.8 - Electrical Workshop</v>
      </c>
      <c r="B218" s="888"/>
      <c r="C218" s="391">
        <v>0</v>
      </c>
      <c r="D218" s="109"/>
      <c r="E218" s="109"/>
      <c r="F218" s="109"/>
      <c r="G218" s="109"/>
      <c r="H218" s="109"/>
      <c r="I218" s="109">
        <v>0</v>
      </c>
      <c r="J218" s="75">
        <f t="shared" si="23"/>
        <v>0</v>
      </c>
      <c r="K218" s="75">
        <f t="shared" si="24"/>
        <v>0</v>
      </c>
      <c r="L218" s="109">
        <v>0</v>
      </c>
      <c r="M218" s="110">
        <v>0</v>
      </c>
    </row>
    <row r="219" spans="1:13" ht="13.5" x14ac:dyDescent="0.25">
      <c r="A219" s="891" t="str">
        <f>B5B!A50</f>
        <v>4.9 - Electricity Distribution</v>
      </c>
      <c r="B219" s="888"/>
      <c r="C219" s="391">
        <v>14800000</v>
      </c>
      <c r="D219" s="109"/>
      <c r="E219" s="109"/>
      <c r="F219" s="109"/>
      <c r="G219" s="109"/>
      <c r="H219" s="109"/>
      <c r="I219" s="109">
        <v>2265309</v>
      </c>
      <c r="J219" s="75">
        <f t="shared" si="23"/>
        <v>2265309</v>
      </c>
      <c r="K219" s="75">
        <f t="shared" si="24"/>
        <v>17065309</v>
      </c>
      <c r="L219" s="109">
        <v>59800000</v>
      </c>
      <c r="M219" s="110">
        <v>68700000</v>
      </c>
    </row>
    <row r="220" spans="1:13" ht="13.5" x14ac:dyDescent="0.25">
      <c r="A220" s="891" t="str">
        <f>B5B!A51</f>
        <v>4.10 - Other Engineering services</v>
      </c>
      <c r="B220" s="890"/>
      <c r="C220" s="391">
        <v>0</v>
      </c>
      <c r="D220" s="109"/>
      <c r="E220" s="109"/>
      <c r="F220" s="109"/>
      <c r="G220" s="109"/>
      <c r="H220" s="109">
        <v>14410120.569999993</v>
      </c>
      <c r="I220" s="1279">
        <f>370830-94413204.5999999</f>
        <v>-94042374.599999905</v>
      </c>
      <c r="J220" s="75">
        <f t="shared" si="23"/>
        <v>-79632254.029999912</v>
      </c>
      <c r="K220" s="75">
        <f t="shared" si="24"/>
        <v>-79632254.029999912</v>
      </c>
      <c r="L220" s="109">
        <v>0</v>
      </c>
      <c r="M220" s="110">
        <v>0</v>
      </c>
    </row>
    <row r="221" spans="1:13" ht="13.5" x14ac:dyDescent="0.25">
      <c r="A221" s="889" t="str">
        <f>B5B!A52</f>
        <v>Vote 5 -  Community Services</v>
      </c>
      <c r="B221" s="888"/>
      <c r="C221" s="750">
        <f t="shared" ref="C221:I221" si="28">SUM(C222:C231)</f>
        <v>18683000</v>
      </c>
      <c r="D221" s="749">
        <f t="shared" si="28"/>
        <v>0</v>
      </c>
      <c r="E221" s="749">
        <f t="shared" si="28"/>
        <v>0</v>
      </c>
      <c r="F221" s="749">
        <f t="shared" si="28"/>
        <v>0</v>
      </c>
      <c r="G221" s="749">
        <f t="shared" si="28"/>
        <v>0</v>
      </c>
      <c r="H221" s="749">
        <f t="shared" si="28"/>
        <v>0</v>
      </c>
      <c r="I221" s="749">
        <f t="shared" si="28"/>
        <v>-1470287</v>
      </c>
      <c r="J221" s="75">
        <f t="shared" si="23"/>
        <v>-1470287</v>
      </c>
      <c r="K221" s="75">
        <f t="shared" si="24"/>
        <v>17212713</v>
      </c>
      <c r="L221" s="749">
        <f>SUM(L222:L231)</f>
        <v>15156000</v>
      </c>
      <c r="M221" s="777">
        <f>SUM(M222:M231)</f>
        <v>19190000</v>
      </c>
    </row>
    <row r="222" spans="1:13" ht="13.5" x14ac:dyDescent="0.25">
      <c r="A222" s="891" t="str">
        <f>B5B!A53</f>
        <v>5.1 - Sport and Recreation</v>
      </c>
      <c r="B222" s="888"/>
      <c r="C222" s="391">
        <v>0</v>
      </c>
      <c r="D222" s="109"/>
      <c r="E222" s="109"/>
      <c r="F222" s="109"/>
      <c r="G222" s="109"/>
      <c r="H222" s="109"/>
      <c r="I222" s="109">
        <v>0</v>
      </c>
      <c r="J222" s="75">
        <f t="shared" si="23"/>
        <v>0</v>
      </c>
      <c r="K222" s="75">
        <f t="shared" si="24"/>
        <v>0</v>
      </c>
      <c r="L222" s="109">
        <v>0</v>
      </c>
      <c r="M222" s="110">
        <v>0</v>
      </c>
    </row>
    <row r="223" spans="1:13" ht="13.5" x14ac:dyDescent="0.25">
      <c r="A223" s="891" t="str">
        <f>B5B!A54</f>
        <v>5.2 - Swimming Pools</v>
      </c>
      <c r="B223" s="888"/>
      <c r="C223" s="391">
        <v>0</v>
      </c>
      <c r="D223" s="109"/>
      <c r="E223" s="109"/>
      <c r="F223" s="109"/>
      <c r="G223" s="109"/>
      <c r="H223" s="109"/>
      <c r="I223" s="109">
        <v>-750000</v>
      </c>
      <c r="J223" s="75">
        <f t="shared" si="23"/>
        <v>-750000</v>
      </c>
      <c r="K223" s="75">
        <f t="shared" si="24"/>
        <v>-750000</v>
      </c>
      <c r="L223" s="109">
        <v>0</v>
      </c>
      <c r="M223" s="110">
        <v>0</v>
      </c>
    </row>
    <row r="224" spans="1:13" ht="13.5" x14ac:dyDescent="0.25">
      <c r="A224" s="891" t="str">
        <f>B5B!A55</f>
        <v>5.3 - Facility commercialization</v>
      </c>
      <c r="B224" s="888"/>
      <c r="C224" s="391">
        <v>4300000</v>
      </c>
      <c r="D224" s="109"/>
      <c r="E224" s="109"/>
      <c r="F224" s="109"/>
      <c r="G224" s="109"/>
      <c r="H224" s="109"/>
      <c r="I224" s="109">
        <v>0</v>
      </c>
      <c r="J224" s="75">
        <f t="shared" si="23"/>
        <v>0</v>
      </c>
      <c r="K224" s="75">
        <f t="shared" si="24"/>
        <v>4300000</v>
      </c>
      <c r="L224" s="109">
        <v>2120000</v>
      </c>
      <c r="M224" s="110">
        <v>0</v>
      </c>
    </row>
    <row r="225" spans="1:13" ht="13.5" x14ac:dyDescent="0.25">
      <c r="A225" s="891" t="str">
        <f>B5B!A56</f>
        <v>5.4 - Civic Centre</v>
      </c>
      <c r="B225" s="888"/>
      <c r="C225" s="391">
        <v>2550000</v>
      </c>
      <c r="D225" s="109"/>
      <c r="E225" s="109"/>
      <c r="F225" s="109"/>
      <c r="G225" s="109"/>
      <c r="H225" s="109"/>
      <c r="I225" s="109">
        <v>0</v>
      </c>
      <c r="J225" s="75">
        <f t="shared" si="23"/>
        <v>0</v>
      </c>
      <c r="K225" s="75">
        <f t="shared" si="24"/>
        <v>2550000</v>
      </c>
      <c r="L225" s="109">
        <v>550000</v>
      </c>
      <c r="M225" s="110">
        <v>600000</v>
      </c>
    </row>
    <row r="226" spans="1:13" ht="13.5" x14ac:dyDescent="0.25">
      <c r="A226" s="891" t="str">
        <f>B5B!A57</f>
        <v>5.5 - Public Toilets</v>
      </c>
      <c r="B226" s="888"/>
      <c r="C226" s="391">
        <v>3450000</v>
      </c>
      <c r="D226" s="109"/>
      <c r="E226" s="109"/>
      <c r="F226" s="109"/>
      <c r="G226" s="109"/>
      <c r="H226" s="109"/>
      <c r="I226" s="109">
        <v>-1970000</v>
      </c>
      <c r="J226" s="75">
        <f t="shared" si="23"/>
        <v>-1970000</v>
      </c>
      <c r="K226" s="75">
        <f t="shared" si="24"/>
        <v>1480000</v>
      </c>
      <c r="L226" s="109">
        <v>1500000</v>
      </c>
      <c r="M226" s="110">
        <v>2000000</v>
      </c>
    </row>
    <row r="227" spans="1:13" ht="13.5" x14ac:dyDescent="0.25">
      <c r="A227" s="891" t="str">
        <f>B5B!A58</f>
        <v>5.6 - Community centres</v>
      </c>
      <c r="B227" s="888"/>
      <c r="C227" s="391">
        <v>0</v>
      </c>
      <c r="D227" s="109"/>
      <c r="E227" s="109"/>
      <c r="F227" s="109"/>
      <c r="G227" s="109"/>
      <c r="H227" s="109"/>
      <c r="I227" s="109">
        <v>0</v>
      </c>
      <c r="J227" s="75">
        <f t="shared" si="23"/>
        <v>0</v>
      </c>
      <c r="K227" s="75">
        <f t="shared" si="24"/>
        <v>0</v>
      </c>
      <c r="L227" s="109">
        <v>0</v>
      </c>
      <c r="M227" s="110">
        <v>0</v>
      </c>
    </row>
    <row r="228" spans="1:13" ht="13.5" x14ac:dyDescent="0.25">
      <c r="A228" s="891" t="str">
        <f>B5B!A59</f>
        <v>5.7 - Art Museum</v>
      </c>
      <c r="B228" s="888"/>
      <c r="C228" s="391">
        <v>0</v>
      </c>
      <c r="D228" s="109"/>
      <c r="E228" s="109"/>
      <c r="F228" s="109"/>
      <c r="G228" s="109"/>
      <c r="H228" s="109"/>
      <c r="I228" s="109">
        <v>-3042000</v>
      </c>
      <c r="J228" s="75">
        <f t="shared" si="23"/>
        <v>-3042000</v>
      </c>
      <c r="K228" s="75">
        <f t="shared" si="24"/>
        <v>-3042000</v>
      </c>
      <c r="L228" s="109">
        <v>0</v>
      </c>
      <c r="M228" s="110">
        <v>0</v>
      </c>
    </row>
    <row r="229" spans="1:13" ht="13.5" x14ac:dyDescent="0.25">
      <c r="A229" s="891" t="str">
        <f>B5B!A60</f>
        <v>5.8 - Libraries</v>
      </c>
      <c r="B229" s="888"/>
      <c r="C229" s="391">
        <v>3800000</v>
      </c>
      <c r="D229" s="109"/>
      <c r="E229" s="109"/>
      <c r="F229" s="109"/>
      <c r="G229" s="109"/>
      <c r="H229" s="109"/>
      <c r="I229" s="109">
        <v>1907460</v>
      </c>
      <c r="J229" s="75">
        <f t="shared" si="23"/>
        <v>1907460</v>
      </c>
      <c r="K229" s="75">
        <f t="shared" si="24"/>
        <v>5707460</v>
      </c>
      <c r="L229" s="109">
        <v>4300000</v>
      </c>
      <c r="M229" s="110">
        <v>5290000</v>
      </c>
    </row>
    <row r="230" spans="1:13" ht="13.5" x14ac:dyDescent="0.25">
      <c r="A230" s="891" t="str">
        <f>B5B!A61</f>
        <v>5.9 - Museums</v>
      </c>
      <c r="B230" s="888"/>
      <c r="C230" s="391">
        <v>4000000</v>
      </c>
      <c r="D230" s="109"/>
      <c r="E230" s="109"/>
      <c r="F230" s="109"/>
      <c r="G230" s="109"/>
      <c r="H230" s="109"/>
      <c r="I230" s="109">
        <v>3384476</v>
      </c>
      <c r="J230" s="75">
        <f t="shared" si="23"/>
        <v>3384476</v>
      </c>
      <c r="K230" s="75">
        <f t="shared" si="24"/>
        <v>7384476</v>
      </c>
      <c r="L230" s="109">
        <v>6686000</v>
      </c>
      <c r="M230" s="110">
        <v>11300000</v>
      </c>
    </row>
    <row r="231" spans="1:13" ht="13.5" x14ac:dyDescent="0.25">
      <c r="A231" s="891" t="str">
        <f>B5B!A62</f>
        <v>5.10 - Other Community Development</v>
      </c>
      <c r="B231" s="890"/>
      <c r="C231" s="391">
        <v>583000</v>
      </c>
      <c r="D231" s="109"/>
      <c r="E231" s="109"/>
      <c r="F231" s="109"/>
      <c r="G231" s="109"/>
      <c r="H231" s="109"/>
      <c r="I231" s="109">
        <f>-1000000-223</f>
        <v>-1000223</v>
      </c>
      <c r="J231" s="75">
        <f t="shared" si="23"/>
        <v>-1000223</v>
      </c>
      <c r="K231" s="75">
        <f t="shared" si="24"/>
        <v>-417223</v>
      </c>
      <c r="L231" s="109">
        <v>0</v>
      </c>
      <c r="M231" s="110">
        <v>0</v>
      </c>
    </row>
    <row r="232" spans="1:13" ht="13.5" x14ac:dyDescent="0.25">
      <c r="A232" s="889" t="str">
        <f>B5B!A63</f>
        <v>Vote 6 - Community Development</v>
      </c>
      <c r="B232" s="888"/>
      <c r="C232" s="750">
        <f t="shared" ref="C232:I232" si="29">SUM(C233:C242)</f>
        <v>68300000</v>
      </c>
      <c r="D232" s="749">
        <f t="shared" si="29"/>
        <v>0</v>
      </c>
      <c r="E232" s="749">
        <f t="shared" si="29"/>
        <v>0</v>
      </c>
      <c r="F232" s="749">
        <f t="shared" si="29"/>
        <v>0</v>
      </c>
      <c r="G232" s="749">
        <f t="shared" si="29"/>
        <v>0</v>
      </c>
      <c r="H232" s="749">
        <f t="shared" si="29"/>
        <v>230667.99999999907</v>
      </c>
      <c r="I232" s="749">
        <f t="shared" si="29"/>
        <v>15934190</v>
      </c>
      <c r="J232" s="75">
        <f t="shared" si="23"/>
        <v>16164858</v>
      </c>
      <c r="K232" s="75">
        <f t="shared" si="24"/>
        <v>84464858</v>
      </c>
      <c r="L232" s="749">
        <f>SUM(L233:L242)</f>
        <v>83237000</v>
      </c>
      <c r="M232" s="777">
        <f>SUM(M233:M242)</f>
        <v>81270000</v>
      </c>
    </row>
    <row r="233" spans="1:13" ht="13.5" x14ac:dyDescent="0.25">
      <c r="A233" s="891" t="str">
        <f>B5B!A64</f>
        <v>6.1 - Information Services</v>
      </c>
      <c r="B233" s="888"/>
      <c r="C233" s="391">
        <v>46500000</v>
      </c>
      <c r="D233" s="109"/>
      <c r="E233" s="109"/>
      <c r="F233" s="109"/>
      <c r="G233" s="109"/>
      <c r="H233" s="109"/>
      <c r="I233" s="109">
        <v>19622532</v>
      </c>
      <c r="J233" s="75">
        <f t="shared" si="23"/>
        <v>19622532</v>
      </c>
      <c r="K233" s="75">
        <f t="shared" si="24"/>
        <v>66122532</v>
      </c>
      <c r="L233" s="109">
        <v>51587000</v>
      </c>
      <c r="M233" s="110">
        <v>52970000</v>
      </c>
    </row>
    <row r="234" spans="1:13" ht="13.5" x14ac:dyDescent="0.25">
      <c r="A234" s="891" t="str">
        <f>B5B!A65</f>
        <v>6.2 - Organisational Development</v>
      </c>
      <c r="B234" s="888"/>
      <c r="C234" s="391">
        <v>0</v>
      </c>
      <c r="D234" s="109"/>
      <c r="E234" s="109"/>
      <c r="F234" s="109"/>
      <c r="G234" s="109"/>
      <c r="H234" s="109"/>
      <c r="I234" s="109">
        <v>0</v>
      </c>
      <c r="J234" s="75">
        <f t="shared" si="23"/>
        <v>0</v>
      </c>
      <c r="K234" s="75">
        <f t="shared" si="24"/>
        <v>0</v>
      </c>
      <c r="L234" s="109">
        <v>0</v>
      </c>
      <c r="M234" s="110">
        <v>0</v>
      </c>
    </row>
    <row r="235" spans="1:13" ht="13.5" x14ac:dyDescent="0.25">
      <c r="A235" s="891" t="str">
        <f>B5B!A66</f>
        <v>6.3 - Personnel</v>
      </c>
      <c r="B235" s="888"/>
      <c r="C235" s="391">
        <v>0</v>
      </c>
      <c r="D235" s="109"/>
      <c r="E235" s="109"/>
      <c r="F235" s="109"/>
      <c r="G235" s="109"/>
      <c r="H235" s="109"/>
      <c r="I235" s="109">
        <v>0</v>
      </c>
      <c r="J235" s="75">
        <f t="shared" si="23"/>
        <v>0</v>
      </c>
      <c r="K235" s="75">
        <f t="shared" si="24"/>
        <v>0</v>
      </c>
      <c r="L235" s="109">
        <v>0</v>
      </c>
      <c r="M235" s="110">
        <v>0</v>
      </c>
    </row>
    <row r="236" spans="1:13" ht="13.5" x14ac:dyDescent="0.25">
      <c r="A236" s="891" t="str">
        <f>B5B!A67</f>
        <v>6.4 - Training and Skills Development</v>
      </c>
      <c r="B236" s="888"/>
      <c r="C236" s="391">
        <v>19500000</v>
      </c>
      <c r="D236" s="109"/>
      <c r="E236" s="109"/>
      <c r="F236" s="109"/>
      <c r="G236" s="109"/>
      <c r="H236" s="109"/>
      <c r="I236" s="109">
        <f>7916920-2958460</f>
        <v>4958460</v>
      </c>
      <c r="J236" s="75">
        <f t="shared" si="23"/>
        <v>4958460</v>
      </c>
      <c r="K236" s="75">
        <f t="shared" si="24"/>
        <v>24458460</v>
      </c>
      <c r="L236" s="109">
        <v>24500000</v>
      </c>
      <c r="M236" s="110">
        <v>25500000</v>
      </c>
    </row>
    <row r="237" spans="1:13" ht="13.5" x14ac:dyDescent="0.25">
      <c r="A237" s="891" t="str">
        <f>B5B!A68</f>
        <v>6.5 - Occupational Health and Safety</v>
      </c>
      <c r="B237" s="888"/>
      <c r="C237" s="391">
        <v>0</v>
      </c>
      <c r="D237" s="109"/>
      <c r="E237" s="109"/>
      <c r="F237" s="109"/>
      <c r="G237" s="109"/>
      <c r="H237" s="109"/>
      <c r="I237" s="109">
        <v>0</v>
      </c>
      <c r="J237" s="75">
        <f t="shared" si="23"/>
        <v>0</v>
      </c>
      <c r="K237" s="75">
        <f t="shared" si="24"/>
        <v>0</v>
      </c>
      <c r="L237" s="109">
        <v>0</v>
      </c>
      <c r="M237" s="110">
        <v>0</v>
      </c>
    </row>
    <row r="238" spans="1:13" ht="13.5" x14ac:dyDescent="0.25">
      <c r="A238" s="891" t="str">
        <f>B5B!A69</f>
        <v>6.6 - Legal Services</v>
      </c>
      <c r="B238" s="888"/>
      <c r="C238" s="391">
        <v>0</v>
      </c>
      <c r="D238" s="109"/>
      <c r="E238" s="109"/>
      <c r="F238" s="109"/>
      <c r="G238" s="109"/>
      <c r="H238" s="109"/>
      <c r="I238" s="109">
        <v>0</v>
      </c>
      <c r="J238" s="75">
        <f t="shared" si="23"/>
        <v>0</v>
      </c>
      <c r="K238" s="75">
        <f t="shared" si="24"/>
        <v>0</v>
      </c>
      <c r="L238" s="109">
        <v>0</v>
      </c>
      <c r="M238" s="110">
        <v>0</v>
      </c>
    </row>
    <row r="239" spans="1:13" ht="13.5" x14ac:dyDescent="0.25">
      <c r="A239" s="891" t="str">
        <f>B5B!A70</f>
        <v>6.7 - Secretariat</v>
      </c>
      <c r="B239" s="888"/>
      <c r="C239" s="391">
        <v>0</v>
      </c>
      <c r="D239" s="109"/>
      <c r="E239" s="109"/>
      <c r="F239" s="109"/>
      <c r="G239" s="109"/>
      <c r="H239" s="109"/>
      <c r="I239" s="109">
        <v>0</v>
      </c>
      <c r="J239" s="75">
        <f t="shared" si="23"/>
        <v>0</v>
      </c>
      <c r="K239" s="75">
        <f t="shared" si="24"/>
        <v>0</v>
      </c>
      <c r="L239" s="109">
        <v>800000</v>
      </c>
      <c r="M239" s="110">
        <v>0</v>
      </c>
    </row>
    <row r="240" spans="1:13" ht="13.5" x14ac:dyDescent="0.25">
      <c r="A240" s="891" t="str">
        <f>B5B!A71</f>
        <v>6.8 - Mechanical Workshop</v>
      </c>
      <c r="B240" s="890"/>
      <c r="C240" s="391">
        <v>2300000</v>
      </c>
      <c r="D240" s="109"/>
      <c r="E240" s="109"/>
      <c r="F240" s="109"/>
      <c r="G240" s="109"/>
      <c r="H240" s="109"/>
      <c r="I240" s="109">
        <v>-1000000</v>
      </c>
      <c r="J240" s="75">
        <f t="shared" si="23"/>
        <v>-1000000</v>
      </c>
      <c r="K240" s="75">
        <f t="shared" si="24"/>
        <v>1300000</v>
      </c>
      <c r="L240" s="109">
        <v>6350000</v>
      </c>
      <c r="M240" s="110">
        <v>2800000</v>
      </c>
    </row>
    <row r="241" spans="1:13" ht="13.5" x14ac:dyDescent="0.25">
      <c r="A241" s="891" t="str">
        <f>B5B!A72</f>
        <v>6.9 - Fleet Management</v>
      </c>
      <c r="B241" s="888"/>
      <c r="C241" s="391">
        <v>0</v>
      </c>
      <c r="D241" s="109"/>
      <c r="E241" s="109"/>
      <c r="F241" s="109"/>
      <c r="G241" s="109"/>
      <c r="H241" s="109"/>
      <c r="I241" s="109">
        <v>0</v>
      </c>
      <c r="J241" s="75">
        <f t="shared" ref="J241:J304" si="30">SUM(E241:I241)</f>
        <v>0</v>
      </c>
      <c r="K241" s="75">
        <f t="shared" ref="K241:K304" si="31">IF(D241=0,C241+J241,D241+J241)</f>
        <v>0</v>
      </c>
      <c r="L241" s="109">
        <v>0</v>
      </c>
      <c r="M241" s="110">
        <v>0</v>
      </c>
    </row>
    <row r="242" spans="1:13" ht="13.5" x14ac:dyDescent="0.25">
      <c r="A242" s="891" t="str">
        <f>B5B!A73</f>
        <v>6.10 - Other Corporate and Shared services</v>
      </c>
      <c r="B242" s="888"/>
      <c r="C242" s="391">
        <v>0</v>
      </c>
      <c r="D242" s="109"/>
      <c r="E242" s="109"/>
      <c r="F242" s="109"/>
      <c r="G242" s="109"/>
      <c r="H242" s="109">
        <f>[8]Sheet1!$O$11</f>
        <v>230667.99999999907</v>
      </c>
      <c r="I242" s="109">
        <v>-7646802</v>
      </c>
      <c r="J242" s="75">
        <f t="shared" si="30"/>
        <v>-7416134.0000000009</v>
      </c>
      <c r="K242" s="75">
        <f t="shared" si="31"/>
        <v>-7416134.0000000009</v>
      </c>
      <c r="L242" s="109">
        <v>0</v>
      </c>
      <c r="M242" s="110">
        <v>0</v>
      </c>
    </row>
    <row r="243" spans="1:13" ht="13.5" x14ac:dyDescent="0.25">
      <c r="A243" s="889" t="str">
        <f>B5B!A74</f>
        <v>Vote 7 - Corporate  and Shared Services</v>
      </c>
      <c r="B243" s="888"/>
      <c r="C243" s="750">
        <f t="shared" ref="C243:I243" si="32">SUM(C244:C253)</f>
        <v>5000000</v>
      </c>
      <c r="D243" s="749">
        <f t="shared" si="32"/>
        <v>0</v>
      </c>
      <c r="E243" s="749">
        <f t="shared" si="32"/>
        <v>0</v>
      </c>
      <c r="F243" s="749">
        <f t="shared" si="32"/>
        <v>0</v>
      </c>
      <c r="G243" s="749">
        <f t="shared" si="32"/>
        <v>0</v>
      </c>
      <c r="H243" s="749">
        <f t="shared" si="32"/>
        <v>0</v>
      </c>
      <c r="I243" s="749">
        <f t="shared" si="32"/>
        <v>3230811</v>
      </c>
      <c r="J243" s="75">
        <f t="shared" si="30"/>
        <v>3230811</v>
      </c>
      <c r="K243" s="75">
        <f t="shared" si="31"/>
        <v>8230811</v>
      </c>
      <c r="L243" s="749">
        <f>SUM(L244:L253)</f>
        <v>8500000</v>
      </c>
      <c r="M243" s="777">
        <f>SUM(M244:M253)</f>
        <v>9500000</v>
      </c>
    </row>
    <row r="244" spans="1:13" ht="13.5" x14ac:dyDescent="0.25">
      <c r="A244" s="891" t="str">
        <f>B5B!A75</f>
        <v>7.1 - Information Services</v>
      </c>
      <c r="B244" s="888"/>
      <c r="C244" s="391">
        <v>5000000</v>
      </c>
      <c r="D244" s="109"/>
      <c r="E244" s="109"/>
      <c r="F244" s="109"/>
      <c r="G244" s="109"/>
      <c r="H244" s="109"/>
      <c r="I244" s="109">
        <v>3230811</v>
      </c>
      <c r="J244" s="75">
        <f t="shared" si="30"/>
        <v>3230811</v>
      </c>
      <c r="K244" s="75">
        <f t="shared" si="31"/>
        <v>8230811</v>
      </c>
      <c r="L244" s="109">
        <v>6000000</v>
      </c>
      <c r="M244" s="110">
        <v>6500000</v>
      </c>
    </row>
    <row r="245" spans="1:13" ht="13.5" x14ac:dyDescent="0.25">
      <c r="A245" s="891" t="str">
        <f>B5B!A76</f>
        <v>7.2 - Organisational Development</v>
      </c>
      <c r="B245" s="888"/>
      <c r="C245" s="391"/>
      <c r="D245" s="109"/>
      <c r="E245" s="109"/>
      <c r="F245" s="109"/>
      <c r="G245" s="109"/>
      <c r="H245" s="109"/>
      <c r="I245" s="109"/>
      <c r="J245" s="75">
        <f t="shared" si="30"/>
        <v>0</v>
      </c>
      <c r="K245" s="75">
        <f t="shared" si="31"/>
        <v>0</v>
      </c>
      <c r="L245" s="109">
        <v>0</v>
      </c>
      <c r="M245" s="110">
        <v>0</v>
      </c>
    </row>
    <row r="246" spans="1:13" ht="13.5" x14ac:dyDescent="0.25">
      <c r="A246" s="891" t="str">
        <f>B5B!A77</f>
        <v>7.3 - Personnel</v>
      </c>
      <c r="B246" s="888"/>
      <c r="C246" s="391"/>
      <c r="D246" s="109"/>
      <c r="E246" s="109"/>
      <c r="F246" s="109"/>
      <c r="G246" s="109"/>
      <c r="H246" s="109"/>
      <c r="I246" s="109"/>
      <c r="J246" s="75">
        <f t="shared" si="30"/>
        <v>0</v>
      </c>
      <c r="K246" s="75">
        <f t="shared" si="31"/>
        <v>0</v>
      </c>
      <c r="L246" s="109">
        <v>0</v>
      </c>
      <c r="M246" s="110">
        <v>0</v>
      </c>
    </row>
    <row r="247" spans="1:13" ht="13.5" x14ac:dyDescent="0.25">
      <c r="A247" s="891" t="str">
        <f>B5B!A78</f>
        <v>7.4 - Training and Skills Development</v>
      </c>
      <c r="B247" s="888"/>
      <c r="C247" s="391"/>
      <c r="D247" s="109"/>
      <c r="E247" s="109"/>
      <c r="F247" s="109"/>
      <c r="G247" s="109"/>
      <c r="H247" s="109"/>
      <c r="I247" s="109"/>
      <c r="J247" s="75">
        <f t="shared" si="30"/>
        <v>0</v>
      </c>
      <c r="K247" s="75">
        <f t="shared" si="31"/>
        <v>0</v>
      </c>
      <c r="L247" s="109">
        <v>0</v>
      </c>
      <c r="M247" s="110">
        <v>0</v>
      </c>
    </row>
    <row r="248" spans="1:13" ht="13.5" x14ac:dyDescent="0.25">
      <c r="A248" s="891" t="str">
        <f>B5B!A79</f>
        <v>7.5 - Occupational Health and Safety</v>
      </c>
      <c r="B248" s="888"/>
      <c r="C248" s="391"/>
      <c r="D248" s="109"/>
      <c r="E248" s="109"/>
      <c r="F248" s="109"/>
      <c r="G248" s="109"/>
      <c r="H248" s="109"/>
      <c r="I248" s="109"/>
      <c r="J248" s="75">
        <f t="shared" si="30"/>
        <v>0</v>
      </c>
      <c r="K248" s="75">
        <f t="shared" si="31"/>
        <v>0</v>
      </c>
      <c r="L248" s="109">
        <v>0</v>
      </c>
      <c r="M248" s="110">
        <v>0</v>
      </c>
    </row>
    <row r="249" spans="1:13" ht="13.5" x14ac:dyDescent="0.25">
      <c r="A249" s="891" t="str">
        <f>B5B!A80</f>
        <v>7.6 - Legal Services</v>
      </c>
      <c r="B249" s="888"/>
      <c r="C249" s="391"/>
      <c r="D249" s="109"/>
      <c r="E249" s="109"/>
      <c r="F249" s="109"/>
      <c r="G249" s="109"/>
      <c r="H249" s="109"/>
      <c r="I249" s="109"/>
      <c r="J249" s="75">
        <f t="shared" si="30"/>
        <v>0</v>
      </c>
      <c r="K249" s="75">
        <f t="shared" si="31"/>
        <v>0</v>
      </c>
      <c r="L249" s="109">
        <v>0</v>
      </c>
      <c r="M249" s="110">
        <v>0</v>
      </c>
    </row>
    <row r="250" spans="1:13" ht="13.5" x14ac:dyDescent="0.25">
      <c r="A250" s="891" t="str">
        <f>B5B!A81</f>
        <v>7.7 - Secretariat</v>
      </c>
      <c r="B250" s="888"/>
      <c r="C250" s="391"/>
      <c r="D250" s="109"/>
      <c r="E250" s="109"/>
      <c r="F250" s="109"/>
      <c r="G250" s="109"/>
      <c r="H250" s="109"/>
      <c r="I250" s="109"/>
      <c r="J250" s="75">
        <f t="shared" si="30"/>
        <v>0</v>
      </c>
      <c r="K250" s="75">
        <f t="shared" si="31"/>
        <v>0</v>
      </c>
      <c r="L250" s="109">
        <v>2500000</v>
      </c>
      <c r="M250" s="110">
        <v>3000000</v>
      </c>
    </row>
    <row r="251" spans="1:13" ht="13.5" x14ac:dyDescent="0.25">
      <c r="A251" s="891" t="str">
        <f>B5B!A82</f>
        <v>7.8 - Mechanical Workshop</v>
      </c>
      <c r="B251" s="888"/>
      <c r="C251" s="391"/>
      <c r="D251" s="109"/>
      <c r="E251" s="109"/>
      <c r="F251" s="109"/>
      <c r="G251" s="109"/>
      <c r="H251" s="109"/>
      <c r="I251" s="109"/>
      <c r="J251" s="75">
        <f t="shared" si="30"/>
        <v>0</v>
      </c>
      <c r="K251" s="75">
        <f t="shared" si="31"/>
        <v>0</v>
      </c>
      <c r="L251" s="109">
        <v>0</v>
      </c>
      <c r="M251" s="110">
        <v>0</v>
      </c>
    </row>
    <row r="252" spans="1:13" ht="13.5" x14ac:dyDescent="0.25">
      <c r="A252" s="891" t="str">
        <f>B5B!A83</f>
        <v>7.9 - Fleet Management</v>
      </c>
      <c r="B252" s="888"/>
      <c r="C252" s="391"/>
      <c r="D252" s="109"/>
      <c r="E252" s="109"/>
      <c r="F252" s="109"/>
      <c r="G252" s="109"/>
      <c r="H252" s="109"/>
      <c r="I252" s="109"/>
      <c r="J252" s="75">
        <f t="shared" si="30"/>
        <v>0</v>
      </c>
      <c r="K252" s="75">
        <f t="shared" si="31"/>
        <v>0</v>
      </c>
      <c r="L252" s="109">
        <v>0</v>
      </c>
      <c r="M252" s="110">
        <v>0</v>
      </c>
    </row>
    <row r="253" spans="1:13" ht="13.5" x14ac:dyDescent="0.25">
      <c r="A253" s="891" t="str">
        <f>B5B!A84</f>
        <v>7.8 - Mechanical Workshop</v>
      </c>
      <c r="B253" s="888"/>
      <c r="C253" s="391"/>
      <c r="D253" s="109"/>
      <c r="E253" s="109"/>
      <c r="F253" s="109"/>
      <c r="G253" s="109"/>
      <c r="H253" s="109"/>
      <c r="I253" s="109"/>
      <c r="J253" s="75">
        <f t="shared" si="30"/>
        <v>0</v>
      </c>
      <c r="K253" s="75">
        <f t="shared" si="31"/>
        <v>0</v>
      </c>
      <c r="L253" s="109">
        <v>0</v>
      </c>
      <c r="M253" s="110">
        <v>0</v>
      </c>
    </row>
    <row r="254" spans="1:13" ht="13.5" x14ac:dyDescent="0.25">
      <c r="A254" s="889" t="str">
        <f>B5B!A85</f>
        <v>Vote 8 - Planning and Economic Development</v>
      </c>
      <c r="B254" s="888"/>
      <c r="C254" s="750">
        <f t="shared" ref="C254:I254" si="33">SUM(C255:C264)</f>
        <v>3000000</v>
      </c>
      <c r="D254" s="749">
        <f t="shared" si="33"/>
        <v>0</v>
      </c>
      <c r="E254" s="749">
        <f t="shared" si="33"/>
        <v>0</v>
      </c>
      <c r="F254" s="749">
        <f t="shared" si="33"/>
        <v>0</v>
      </c>
      <c r="G254" s="749">
        <f t="shared" si="33"/>
        <v>0</v>
      </c>
      <c r="H254" s="749">
        <f t="shared" si="33"/>
        <v>0</v>
      </c>
      <c r="I254" s="749">
        <f t="shared" si="33"/>
        <v>1118851</v>
      </c>
      <c r="J254" s="75">
        <f t="shared" si="30"/>
        <v>1118851</v>
      </c>
      <c r="K254" s="75">
        <f t="shared" si="31"/>
        <v>4118851</v>
      </c>
      <c r="L254" s="749">
        <f>SUM(L255:L264)</f>
        <v>3500000</v>
      </c>
      <c r="M254" s="777">
        <f>SUM(M255:M264)</f>
        <v>2000000</v>
      </c>
    </row>
    <row r="255" spans="1:13" ht="13.5" x14ac:dyDescent="0.25">
      <c r="A255" s="891" t="str">
        <f>B5B!A86</f>
        <v>8.1 - Landuse Management</v>
      </c>
      <c r="B255" s="888"/>
      <c r="C255" s="391">
        <v>1500000</v>
      </c>
      <c r="D255" s="109"/>
      <c r="E255" s="109"/>
      <c r="F255" s="109"/>
      <c r="G255" s="109"/>
      <c r="H255" s="109"/>
      <c r="I255" s="109">
        <v>1118851</v>
      </c>
      <c r="J255" s="75">
        <f t="shared" si="30"/>
        <v>1118851</v>
      </c>
      <c r="K255" s="75">
        <f t="shared" si="31"/>
        <v>2618851</v>
      </c>
      <c r="L255" s="109">
        <v>2000000</v>
      </c>
      <c r="M255" s="110">
        <v>500000</v>
      </c>
    </row>
    <row r="256" spans="1:13" ht="13.5" x14ac:dyDescent="0.25">
      <c r="A256" s="891" t="str">
        <f>B5B!A87</f>
        <v>8.2 - Spatial Planning</v>
      </c>
      <c r="B256" s="888"/>
      <c r="C256" s="391">
        <v>0</v>
      </c>
      <c r="D256" s="109"/>
      <c r="E256" s="109"/>
      <c r="F256" s="109"/>
      <c r="G256" s="109"/>
      <c r="H256" s="109"/>
      <c r="I256" s="109"/>
      <c r="J256" s="75">
        <f t="shared" si="30"/>
        <v>0</v>
      </c>
      <c r="K256" s="75">
        <f t="shared" si="31"/>
        <v>0</v>
      </c>
      <c r="L256" s="109">
        <v>0</v>
      </c>
      <c r="M256" s="110">
        <v>0</v>
      </c>
    </row>
    <row r="257" spans="1:13" ht="13.5" x14ac:dyDescent="0.25">
      <c r="A257" s="891" t="str">
        <f>B5B!A88</f>
        <v>8.3 - Property Management</v>
      </c>
      <c r="B257" s="888"/>
      <c r="C257" s="391">
        <v>0</v>
      </c>
      <c r="D257" s="109"/>
      <c r="E257" s="109"/>
      <c r="F257" s="109"/>
      <c r="G257" s="109"/>
      <c r="H257" s="109"/>
      <c r="I257" s="109"/>
      <c r="J257" s="75">
        <f t="shared" si="30"/>
        <v>0</v>
      </c>
      <c r="K257" s="75">
        <f t="shared" si="31"/>
        <v>0</v>
      </c>
      <c r="L257" s="109">
        <v>0</v>
      </c>
      <c r="M257" s="110">
        <v>0</v>
      </c>
    </row>
    <row r="258" spans="1:13" ht="13.5" x14ac:dyDescent="0.25">
      <c r="A258" s="891" t="str">
        <f>B5B!A89</f>
        <v>8.4 - Housing</v>
      </c>
      <c r="B258" s="888"/>
      <c r="C258" s="391">
        <v>0</v>
      </c>
      <c r="D258" s="109"/>
      <c r="E258" s="109"/>
      <c r="F258" s="109"/>
      <c r="G258" s="109"/>
      <c r="H258" s="109"/>
      <c r="I258" s="109"/>
      <c r="J258" s="75">
        <f t="shared" si="30"/>
        <v>0</v>
      </c>
      <c r="K258" s="75">
        <f t="shared" si="31"/>
        <v>0</v>
      </c>
      <c r="L258" s="109">
        <v>0</v>
      </c>
      <c r="M258" s="110">
        <v>0</v>
      </c>
    </row>
    <row r="259" spans="1:13" ht="13.5" x14ac:dyDescent="0.25">
      <c r="A259" s="891" t="str">
        <f>B5B!A90</f>
        <v>8.5 - Building Inspectorate</v>
      </c>
      <c r="B259" s="888"/>
      <c r="C259" s="391">
        <v>0</v>
      </c>
      <c r="D259" s="109"/>
      <c r="E259" s="109"/>
      <c r="F259" s="109"/>
      <c r="G259" s="109"/>
      <c r="H259" s="109"/>
      <c r="I259" s="109"/>
      <c r="J259" s="75">
        <f t="shared" si="30"/>
        <v>0</v>
      </c>
      <c r="K259" s="75">
        <f t="shared" si="31"/>
        <v>0</v>
      </c>
      <c r="L259" s="109">
        <v>0</v>
      </c>
      <c r="M259" s="110">
        <v>0</v>
      </c>
    </row>
    <row r="260" spans="1:13" ht="13.5" x14ac:dyDescent="0.25">
      <c r="A260" s="891" t="str">
        <f>B5B!A91</f>
        <v>8.6 - Enterprise Development</v>
      </c>
      <c r="B260" s="888"/>
      <c r="C260" s="391">
        <v>0</v>
      </c>
      <c r="D260" s="109"/>
      <c r="E260" s="109"/>
      <c r="F260" s="109"/>
      <c r="G260" s="109"/>
      <c r="H260" s="109"/>
      <c r="I260" s="109"/>
      <c r="J260" s="75">
        <f t="shared" si="30"/>
        <v>0</v>
      </c>
      <c r="K260" s="75">
        <f t="shared" si="31"/>
        <v>0</v>
      </c>
      <c r="L260" s="109">
        <v>0</v>
      </c>
      <c r="M260" s="110">
        <v>0</v>
      </c>
    </row>
    <row r="261" spans="1:13" ht="13.5" x14ac:dyDescent="0.25">
      <c r="A261" s="891" t="str">
        <f>B5B!A92</f>
        <v>8.7 - Investment Promotion and Tourism</v>
      </c>
      <c r="B261" s="888"/>
      <c r="C261" s="391">
        <v>0</v>
      </c>
      <c r="D261" s="109"/>
      <c r="E261" s="109"/>
      <c r="F261" s="109"/>
      <c r="G261" s="109"/>
      <c r="H261" s="109"/>
      <c r="I261" s="109"/>
      <c r="J261" s="75">
        <f t="shared" si="30"/>
        <v>0</v>
      </c>
      <c r="K261" s="75">
        <f t="shared" si="31"/>
        <v>0</v>
      </c>
      <c r="L261" s="109">
        <v>0</v>
      </c>
      <c r="M261" s="110">
        <v>0</v>
      </c>
    </row>
    <row r="262" spans="1:13" ht="13.5" x14ac:dyDescent="0.25">
      <c r="A262" s="891" t="str">
        <f>B5B!A93</f>
        <v>8.8 - Economic Planning and Development</v>
      </c>
      <c r="B262" s="888"/>
      <c r="C262" s="391">
        <v>0</v>
      </c>
      <c r="D262" s="109"/>
      <c r="E262" s="109"/>
      <c r="F262" s="109"/>
      <c r="G262" s="109"/>
      <c r="H262" s="109"/>
      <c r="I262" s="109"/>
      <c r="J262" s="75">
        <f t="shared" si="30"/>
        <v>0</v>
      </c>
      <c r="K262" s="75">
        <f t="shared" si="31"/>
        <v>0</v>
      </c>
      <c r="L262" s="109">
        <v>0</v>
      </c>
      <c r="M262" s="110">
        <v>0</v>
      </c>
    </row>
    <row r="263" spans="1:13" ht="13.5" x14ac:dyDescent="0.25">
      <c r="A263" s="891" t="str">
        <f>B5B!A94</f>
        <v>8.9 - Other Planning and Economic Development</v>
      </c>
      <c r="B263" s="888"/>
      <c r="C263" s="391">
        <v>0</v>
      </c>
      <c r="D263" s="109"/>
      <c r="E263" s="109"/>
      <c r="F263" s="109"/>
      <c r="G263" s="109"/>
      <c r="H263" s="109"/>
      <c r="I263" s="109"/>
      <c r="J263" s="75">
        <f t="shared" si="30"/>
        <v>0</v>
      </c>
      <c r="K263" s="75">
        <f t="shared" si="31"/>
        <v>0</v>
      </c>
      <c r="L263" s="109">
        <v>0</v>
      </c>
      <c r="M263" s="110">
        <v>0</v>
      </c>
    </row>
    <row r="264" spans="1:13" ht="13.5" x14ac:dyDescent="0.25">
      <c r="A264" s="891">
        <f>B5B!A95</f>
        <v>0</v>
      </c>
      <c r="B264" s="888"/>
      <c r="C264" s="391">
        <v>1500000</v>
      </c>
      <c r="D264" s="109"/>
      <c r="E264" s="109"/>
      <c r="F264" s="109"/>
      <c r="G264" s="109"/>
      <c r="H264" s="109"/>
      <c r="I264" s="109"/>
      <c r="J264" s="75">
        <f t="shared" si="30"/>
        <v>0</v>
      </c>
      <c r="K264" s="75">
        <f t="shared" si="31"/>
        <v>1500000</v>
      </c>
      <c r="L264" s="109">
        <v>1500000</v>
      </c>
      <c r="M264" s="110">
        <v>1500000</v>
      </c>
    </row>
    <row r="265" spans="1:13" ht="13.5" x14ac:dyDescent="0.25">
      <c r="A265" s="889" t="str">
        <f>B5B!A96</f>
        <v>Vote 9 - Budget and Treasury</v>
      </c>
      <c r="B265" s="888"/>
      <c r="C265" s="750">
        <f t="shared" ref="C265:I265" si="34">SUM(C266:C275)</f>
        <v>5000000</v>
      </c>
      <c r="D265" s="749">
        <f t="shared" si="34"/>
        <v>0</v>
      </c>
      <c r="E265" s="749">
        <f t="shared" si="34"/>
        <v>0</v>
      </c>
      <c r="F265" s="749">
        <f t="shared" si="34"/>
        <v>0</v>
      </c>
      <c r="G265" s="749">
        <f t="shared" si="34"/>
        <v>0</v>
      </c>
      <c r="H265" s="749">
        <f t="shared" si="34"/>
        <v>0</v>
      </c>
      <c r="I265" s="749">
        <f t="shared" si="34"/>
        <v>0</v>
      </c>
      <c r="J265" s="75">
        <f t="shared" si="30"/>
        <v>0</v>
      </c>
      <c r="K265" s="75">
        <f t="shared" si="31"/>
        <v>5000000</v>
      </c>
      <c r="L265" s="749">
        <f>SUM(L266:L275)</f>
        <v>7000000</v>
      </c>
      <c r="M265" s="777">
        <f>SUM(M266:M275)</f>
        <v>7000000</v>
      </c>
    </row>
    <row r="266" spans="1:13" ht="13.5" x14ac:dyDescent="0.25">
      <c r="A266" s="891" t="str">
        <f>B5B!A97</f>
        <v>9.1 - Chief Financial Officer</v>
      </c>
      <c r="B266" s="888"/>
      <c r="C266" s="391">
        <v>0</v>
      </c>
      <c r="D266" s="109"/>
      <c r="E266" s="109"/>
      <c r="F266" s="109"/>
      <c r="G266" s="109"/>
      <c r="H266" s="109"/>
      <c r="I266" s="109"/>
      <c r="J266" s="75">
        <f t="shared" si="30"/>
        <v>0</v>
      </c>
      <c r="K266" s="75">
        <f t="shared" si="31"/>
        <v>0</v>
      </c>
      <c r="L266" s="109">
        <v>0</v>
      </c>
      <c r="M266" s="110">
        <v>0</v>
      </c>
    </row>
    <row r="267" spans="1:13" ht="13.5" x14ac:dyDescent="0.25">
      <c r="A267" s="891" t="str">
        <f>B5B!A98</f>
        <v>9.2 - Inter Govenmental Transfers</v>
      </c>
      <c r="B267" s="888"/>
      <c r="C267" s="391">
        <v>0</v>
      </c>
      <c r="D267" s="109"/>
      <c r="E267" s="109"/>
      <c r="F267" s="109"/>
      <c r="G267" s="109"/>
      <c r="H267" s="109"/>
      <c r="I267" s="109"/>
      <c r="J267" s="75">
        <f t="shared" si="30"/>
        <v>0</v>
      </c>
      <c r="K267" s="75">
        <f t="shared" si="31"/>
        <v>0</v>
      </c>
      <c r="L267" s="109">
        <v>0</v>
      </c>
      <c r="M267" s="110">
        <v>0</v>
      </c>
    </row>
    <row r="268" spans="1:13" ht="13.5" x14ac:dyDescent="0.25">
      <c r="A268" s="891" t="str">
        <f>B5B!A99</f>
        <v>9.3 - Budget and Treasury</v>
      </c>
      <c r="B268" s="888"/>
      <c r="C268" s="391">
        <v>0</v>
      </c>
      <c r="D268" s="109"/>
      <c r="E268" s="109"/>
      <c r="F268" s="109"/>
      <c r="G268" s="109"/>
      <c r="H268" s="109"/>
      <c r="I268" s="109"/>
      <c r="J268" s="75">
        <f t="shared" si="30"/>
        <v>0</v>
      </c>
      <c r="K268" s="75">
        <f t="shared" si="31"/>
        <v>0</v>
      </c>
      <c r="L268" s="109">
        <v>0</v>
      </c>
      <c r="M268" s="110">
        <v>0</v>
      </c>
    </row>
    <row r="269" spans="1:13" ht="13.5" x14ac:dyDescent="0.25">
      <c r="A269" s="891" t="str">
        <f>B5B!A100</f>
        <v>9.4 - Assesment Rates</v>
      </c>
      <c r="B269" s="888"/>
      <c r="C269" s="391">
        <v>0</v>
      </c>
      <c r="D269" s="109"/>
      <c r="E269" s="109"/>
      <c r="F269" s="109"/>
      <c r="G269" s="109"/>
      <c r="H269" s="109"/>
      <c r="I269" s="109"/>
      <c r="J269" s="75">
        <f t="shared" si="30"/>
        <v>0</v>
      </c>
      <c r="K269" s="75">
        <f t="shared" si="31"/>
        <v>0</v>
      </c>
      <c r="L269" s="109">
        <v>0</v>
      </c>
      <c r="M269" s="110">
        <v>0</v>
      </c>
    </row>
    <row r="270" spans="1:13" ht="13.5" x14ac:dyDescent="0.25">
      <c r="A270" s="891" t="str">
        <f>B5B!A101</f>
        <v>9.5 - Supply Chain Management</v>
      </c>
      <c r="B270" s="888"/>
      <c r="C270" s="391">
        <v>5000000</v>
      </c>
      <c r="D270" s="109"/>
      <c r="E270" s="109"/>
      <c r="F270" s="109"/>
      <c r="G270" s="109"/>
      <c r="H270" s="109"/>
      <c r="I270" s="109"/>
      <c r="J270" s="75">
        <f t="shared" si="30"/>
        <v>0</v>
      </c>
      <c r="K270" s="75">
        <f t="shared" si="31"/>
        <v>5000000</v>
      </c>
      <c r="L270" s="109">
        <v>7000000</v>
      </c>
      <c r="M270" s="110">
        <v>7000000</v>
      </c>
    </row>
    <row r="271" spans="1:13" ht="13.5" x14ac:dyDescent="0.25">
      <c r="A271" s="891">
        <f>B5B!A102</f>
        <v>0</v>
      </c>
      <c r="B271" s="888"/>
      <c r="C271" s="391">
        <v>0</v>
      </c>
      <c r="D271" s="109"/>
      <c r="E271" s="109"/>
      <c r="F271" s="109"/>
      <c r="G271" s="109"/>
      <c r="H271" s="109"/>
      <c r="I271" s="109"/>
      <c r="J271" s="75">
        <f t="shared" si="30"/>
        <v>0</v>
      </c>
      <c r="K271" s="75">
        <f t="shared" si="31"/>
        <v>0</v>
      </c>
      <c r="L271" s="109">
        <v>0</v>
      </c>
      <c r="M271" s="110">
        <v>0</v>
      </c>
    </row>
    <row r="272" spans="1:13" ht="13.5" x14ac:dyDescent="0.25">
      <c r="A272" s="891">
        <f>B5B!A103</f>
        <v>0</v>
      </c>
      <c r="B272" s="888"/>
      <c r="C272" s="391">
        <v>0</v>
      </c>
      <c r="D272" s="109"/>
      <c r="E272" s="109"/>
      <c r="F272" s="109"/>
      <c r="G272" s="109"/>
      <c r="H272" s="109"/>
      <c r="I272" s="109"/>
      <c r="J272" s="75">
        <f t="shared" si="30"/>
        <v>0</v>
      </c>
      <c r="K272" s="75">
        <f t="shared" si="31"/>
        <v>0</v>
      </c>
      <c r="L272" s="109">
        <v>0</v>
      </c>
      <c r="M272" s="110">
        <v>0</v>
      </c>
    </row>
    <row r="273" spans="1:13" ht="13.5" x14ac:dyDescent="0.25">
      <c r="A273" s="891">
        <f>B5B!A104</f>
        <v>0</v>
      </c>
      <c r="B273" s="888"/>
      <c r="C273" s="391">
        <v>0</v>
      </c>
      <c r="D273" s="109"/>
      <c r="E273" s="109"/>
      <c r="F273" s="109"/>
      <c r="G273" s="109"/>
      <c r="H273" s="109"/>
      <c r="I273" s="109"/>
      <c r="J273" s="75">
        <f t="shared" si="30"/>
        <v>0</v>
      </c>
      <c r="K273" s="75">
        <f t="shared" si="31"/>
        <v>0</v>
      </c>
      <c r="L273" s="109">
        <v>0</v>
      </c>
      <c r="M273" s="110">
        <v>0</v>
      </c>
    </row>
    <row r="274" spans="1:13" ht="13.5" x14ac:dyDescent="0.25">
      <c r="A274" s="891">
        <f>B5B!A105</f>
        <v>0</v>
      </c>
      <c r="B274" s="888"/>
      <c r="C274" s="391">
        <v>0</v>
      </c>
      <c r="D274" s="109"/>
      <c r="E274" s="109"/>
      <c r="F274" s="109"/>
      <c r="G274" s="109"/>
      <c r="H274" s="109"/>
      <c r="I274" s="109"/>
      <c r="J274" s="75">
        <f t="shared" si="30"/>
        <v>0</v>
      </c>
      <c r="K274" s="75">
        <f t="shared" si="31"/>
        <v>0</v>
      </c>
      <c r="L274" s="109">
        <v>0</v>
      </c>
      <c r="M274" s="110">
        <v>0</v>
      </c>
    </row>
    <row r="275" spans="1:13" ht="13.5" x14ac:dyDescent="0.25">
      <c r="A275" s="891">
        <f>B5B!A106</f>
        <v>0</v>
      </c>
      <c r="B275" s="888"/>
      <c r="C275" s="391">
        <v>0</v>
      </c>
      <c r="D275" s="109"/>
      <c r="E275" s="109"/>
      <c r="F275" s="109"/>
      <c r="G275" s="109"/>
      <c r="H275" s="109"/>
      <c r="I275" s="109"/>
      <c r="J275" s="75">
        <f t="shared" si="30"/>
        <v>0</v>
      </c>
      <c r="K275" s="75">
        <f t="shared" si="31"/>
        <v>0</v>
      </c>
      <c r="L275" s="109">
        <v>0</v>
      </c>
      <c r="M275" s="110">
        <v>0</v>
      </c>
    </row>
    <row r="276" spans="1:13" ht="13.5" x14ac:dyDescent="0.25">
      <c r="A276" s="889" t="str">
        <f>B5B!A107</f>
        <v>Vote 10 - Transport Operations</v>
      </c>
      <c r="B276" s="888"/>
      <c r="C276" s="750">
        <f t="shared" ref="C276:I276" si="35">SUM(C277:C286)</f>
        <v>169689000</v>
      </c>
      <c r="D276" s="749">
        <f t="shared" si="35"/>
        <v>0</v>
      </c>
      <c r="E276" s="749">
        <f t="shared" si="35"/>
        <v>0</v>
      </c>
      <c r="F276" s="749">
        <f t="shared" si="35"/>
        <v>0</v>
      </c>
      <c r="G276" s="749">
        <f t="shared" si="35"/>
        <v>0</v>
      </c>
      <c r="H276" s="749">
        <f t="shared" si="35"/>
        <v>28167868.029999986</v>
      </c>
      <c r="I276" s="749">
        <f t="shared" si="35"/>
        <v>-1500000</v>
      </c>
      <c r="J276" s="75">
        <f t="shared" si="30"/>
        <v>26667868.029999986</v>
      </c>
      <c r="K276" s="75">
        <f t="shared" si="31"/>
        <v>196356868.02999997</v>
      </c>
      <c r="L276" s="749">
        <f>SUM(L277:L286)</f>
        <v>156361000</v>
      </c>
      <c r="M276" s="777">
        <f>SUM(M277:M286)</f>
        <v>147625950</v>
      </c>
    </row>
    <row r="277" spans="1:13" ht="13.5" x14ac:dyDescent="0.25">
      <c r="A277" s="891" t="str">
        <f>B5B!A108</f>
        <v>10.1 - Transport Operations</v>
      </c>
      <c r="B277" s="888"/>
      <c r="C277" s="391">
        <v>169689000</v>
      </c>
      <c r="D277" s="109"/>
      <c r="E277" s="109"/>
      <c r="F277" s="109"/>
      <c r="G277" s="109"/>
      <c r="H277" s="109">
        <v>28167868.029999986</v>
      </c>
      <c r="I277" s="109">
        <v>-1500000</v>
      </c>
      <c r="J277" s="75">
        <f t="shared" si="30"/>
        <v>26667868.029999986</v>
      </c>
      <c r="K277" s="75">
        <f t="shared" si="31"/>
        <v>196356868.02999997</v>
      </c>
      <c r="L277" s="109">
        <v>156361000</v>
      </c>
      <c r="M277" s="110">
        <v>147625950</v>
      </c>
    </row>
    <row r="278" spans="1:13" ht="13.5" x14ac:dyDescent="0.25">
      <c r="A278" s="891">
        <f>B5B!A109</f>
        <v>0</v>
      </c>
      <c r="B278" s="888"/>
      <c r="C278" s="391"/>
      <c r="D278" s="109"/>
      <c r="E278" s="109"/>
      <c r="F278" s="109"/>
      <c r="G278" s="109"/>
      <c r="H278" s="109"/>
      <c r="I278" s="109"/>
      <c r="J278" s="75">
        <f t="shared" si="30"/>
        <v>0</v>
      </c>
      <c r="K278" s="75">
        <f t="shared" si="31"/>
        <v>0</v>
      </c>
      <c r="L278" s="109">
        <v>0</v>
      </c>
      <c r="M278" s="110">
        <v>0</v>
      </c>
    </row>
    <row r="279" spans="1:13" ht="13.5" x14ac:dyDescent="0.25">
      <c r="A279" s="891">
        <f>B5B!A110</f>
        <v>0</v>
      </c>
      <c r="B279" s="888"/>
      <c r="C279" s="391"/>
      <c r="D279" s="109"/>
      <c r="E279" s="109"/>
      <c r="F279" s="109"/>
      <c r="G279" s="109"/>
      <c r="H279" s="109"/>
      <c r="I279" s="109"/>
      <c r="J279" s="75">
        <f t="shared" si="30"/>
        <v>0</v>
      </c>
      <c r="K279" s="75">
        <f t="shared" si="31"/>
        <v>0</v>
      </c>
      <c r="L279" s="109">
        <v>0</v>
      </c>
      <c r="M279" s="110">
        <v>0</v>
      </c>
    </row>
    <row r="280" spans="1:13" ht="13.5" x14ac:dyDescent="0.25">
      <c r="A280" s="891">
        <f>B5B!A111</f>
        <v>0</v>
      </c>
      <c r="B280" s="888"/>
      <c r="C280" s="391"/>
      <c r="D280" s="109"/>
      <c r="E280" s="109"/>
      <c r="F280" s="109"/>
      <c r="G280" s="109"/>
      <c r="H280" s="109"/>
      <c r="I280" s="109"/>
      <c r="J280" s="75">
        <f t="shared" si="30"/>
        <v>0</v>
      </c>
      <c r="K280" s="75">
        <f t="shared" si="31"/>
        <v>0</v>
      </c>
      <c r="L280" s="109">
        <v>0</v>
      </c>
      <c r="M280" s="110">
        <v>0</v>
      </c>
    </row>
    <row r="281" spans="1:13" ht="13.5" x14ac:dyDescent="0.25">
      <c r="A281" s="891">
        <f>B5B!A112</f>
        <v>0</v>
      </c>
      <c r="B281" s="888"/>
      <c r="C281" s="391"/>
      <c r="D281" s="109"/>
      <c r="E281" s="109"/>
      <c r="F281" s="109"/>
      <c r="G281" s="109"/>
      <c r="H281" s="109"/>
      <c r="I281" s="109"/>
      <c r="J281" s="75">
        <f t="shared" si="30"/>
        <v>0</v>
      </c>
      <c r="K281" s="75">
        <f t="shared" si="31"/>
        <v>0</v>
      </c>
      <c r="L281" s="109">
        <v>0</v>
      </c>
      <c r="M281" s="110">
        <v>0</v>
      </c>
    </row>
    <row r="282" spans="1:13" ht="13.5" x14ac:dyDescent="0.25">
      <c r="A282" s="891">
        <f>B5B!A113</f>
        <v>0</v>
      </c>
      <c r="B282" s="888"/>
      <c r="C282" s="391"/>
      <c r="D282" s="109"/>
      <c r="E282" s="109"/>
      <c r="F282" s="109"/>
      <c r="G282" s="109"/>
      <c r="H282" s="109"/>
      <c r="I282" s="109"/>
      <c r="J282" s="75">
        <f t="shared" si="30"/>
        <v>0</v>
      </c>
      <c r="K282" s="75">
        <f t="shared" si="31"/>
        <v>0</v>
      </c>
      <c r="L282" s="109">
        <v>0</v>
      </c>
      <c r="M282" s="110">
        <v>0</v>
      </c>
    </row>
    <row r="283" spans="1:13" ht="13.5" x14ac:dyDescent="0.25">
      <c r="A283" s="891">
        <f>B5B!A114</f>
        <v>0</v>
      </c>
      <c r="B283" s="888"/>
      <c r="C283" s="391"/>
      <c r="D283" s="109"/>
      <c r="E283" s="109"/>
      <c r="F283" s="109"/>
      <c r="G283" s="109"/>
      <c r="H283" s="109"/>
      <c r="I283" s="109"/>
      <c r="J283" s="75">
        <f t="shared" si="30"/>
        <v>0</v>
      </c>
      <c r="K283" s="75">
        <f t="shared" si="31"/>
        <v>0</v>
      </c>
      <c r="L283" s="109">
        <v>0</v>
      </c>
      <c r="M283" s="110">
        <v>0</v>
      </c>
    </row>
    <row r="284" spans="1:13" ht="13.5" x14ac:dyDescent="0.25">
      <c r="A284" s="891">
        <f>B5B!A115</f>
        <v>0</v>
      </c>
      <c r="B284" s="888"/>
      <c r="C284" s="391"/>
      <c r="D284" s="109"/>
      <c r="E284" s="109"/>
      <c r="F284" s="109"/>
      <c r="G284" s="109"/>
      <c r="H284" s="109"/>
      <c r="I284" s="109"/>
      <c r="J284" s="75">
        <f t="shared" si="30"/>
        <v>0</v>
      </c>
      <c r="K284" s="75">
        <f t="shared" si="31"/>
        <v>0</v>
      </c>
      <c r="L284" s="109">
        <v>0</v>
      </c>
      <c r="M284" s="110">
        <v>0</v>
      </c>
    </row>
    <row r="285" spans="1:13" ht="13.5" x14ac:dyDescent="0.25">
      <c r="A285" s="891">
        <f>B5B!A116</f>
        <v>0</v>
      </c>
      <c r="B285" s="888"/>
      <c r="C285" s="391"/>
      <c r="D285" s="109"/>
      <c r="E285" s="109"/>
      <c r="F285" s="109"/>
      <c r="G285" s="109"/>
      <c r="H285" s="109"/>
      <c r="I285" s="109"/>
      <c r="J285" s="75">
        <f t="shared" si="30"/>
        <v>0</v>
      </c>
      <c r="K285" s="75">
        <f t="shared" si="31"/>
        <v>0</v>
      </c>
      <c r="L285" s="109">
        <v>0</v>
      </c>
      <c r="M285" s="110">
        <v>0</v>
      </c>
    </row>
    <row r="286" spans="1:13" ht="13.5" x14ac:dyDescent="0.25">
      <c r="A286" s="891">
        <f>B5B!A117</f>
        <v>0</v>
      </c>
      <c r="B286" s="888"/>
      <c r="C286" s="391"/>
      <c r="D286" s="109"/>
      <c r="E286" s="109"/>
      <c r="F286" s="109"/>
      <c r="G286" s="109"/>
      <c r="H286" s="109"/>
      <c r="I286" s="109"/>
      <c r="J286" s="75">
        <f t="shared" si="30"/>
        <v>0</v>
      </c>
      <c r="K286" s="75">
        <f t="shared" si="31"/>
        <v>0</v>
      </c>
      <c r="L286" s="109">
        <v>0</v>
      </c>
      <c r="M286" s="110">
        <v>0</v>
      </c>
    </row>
    <row r="287" spans="1:13" ht="13.5" x14ac:dyDescent="0.25">
      <c r="A287" s="889" t="str">
        <f>B5B!A118</f>
        <v>Vote 11 - [NAME OF VOTE 11]</v>
      </c>
      <c r="B287" s="888"/>
      <c r="C287" s="750">
        <f t="shared" ref="C287:I287" si="36">SUM(C288:C297)</f>
        <v>0</v>
      </c>
      <c r="D287" s="749">
        <f t="shared" si="36"/>
        <v>0</v>
      </c>
      <c r="E287" s="749">
        <f t="shared" si="36"/>
        <v>0</v>
      </c>
      <c r="F287" s="749">
        <f t="shared" si="36"/>
        <v>0</v>
      </c>
      <c r="G287" s="749">
        <f t="shared" si="36"/>
        <v>0</v>
      </c>
      <c r="H287" s="749">
        <f t="shared" si="36"/>
        <v>0</v>
      </c>
      <c r="I287" s="749">
        <f t="shared" si="36"/>
        <v>0</v>
      </c>
      <c r="J287" s="75">
        <f t="shared" si="30"/>
        <v>0</v>
      </c>
      <c r="K287" s="75">
        <f t="shared" si="31"/>
        <v>0</v>
      </c>
      <c r="L287" s="749">
        <f>SUM(L288:L297)</f>
        <v>0</v>
      </c>
      <c r="M287" s="777">
        <f>SUM(M288:M297)</f>
        <v>0</v>
      </c>
    </row>
    <row r="288" spans="1:13" ht="13.5" x14ac:dyDescent="0.25">
      <c r="A288" s="891" t="str">
        <f>B5B!A119</f>
        <v>11.1 - [Name of sub-vote]</v>
      </c>
      <c r="B288" s="888"/>
      <c r="C288" s="391"/>
      <c r="D288" s="109"/>
      <c r="E288" s="109"/>
      <c r="F288" s="109"/>
      <c r="G288" s="109"/>
      <c r="H288" s="109"/>
      <c r="I288" s="109"/>
      <c r="J288" s="75">
        <f t="shared" si="30"/>
        <v>0</v>
      </c>
      <c r="K288" s="75">
        <f t="shared" si="31"/>
        <v>0</v>
      </c>
      <c r="L288" s="109"/>
      <c r="M288" s="110"/>
    </row>
    <row r="289" spans="1:13" ht="13.5" x14ac:dyDescent="0.25">
      <c r="A289" s="891">
        <f>B5B!A120</f>
        <v>0</v>
      </c>
      <c r="B289" s="888"/>
      <c r="C289" s="391"/>
      <c r="D289" s="109"/>
      <c r="E289" s="109"/>
      <c r="F289" s="109"/>
      <c r="G289" s="109"/>
      <c r="H289" s="109"/>
      <c r="I289" s="109"/>
      <c r="J289" s="75">
        <f t="shared" si="30"/>
        <v>0</v>
      </c>
      <c r="K289" s="75">
        <f t="shared" si="31"/>
        <v>0</v>
      </c>
      <c r="L289" s="109"/>
      <c r="M289" s="110"/>
    </row>
    <row r="290" spans="1:13" ht="13.5" x14ac:dyDescent="0.25">
      <c r="A290" s="891">
        <f>B5B!A121</f>
        <v>0</v>
      </c>
      <c r="B290" s="888"/>
      <c r="C290" s="391"/>
      <c r="D290" s="109"/>
      <c r="E290" s="109"/>
      <c r="F290" s="109"/>
      <c r="G290" s="109"/>
      <c r="H290" s="109"/>
      <c r="I290" s="109"/>
      <c r="J290" s="75">
        <f t="shared" si="30"/>
        <v>0</v>
      </c>
      <c r="K290" s="75">
        <f t="shared" si="31"/>
        <v>0</v>
      </c>
      <c r="L290" s="109"/>
      <c r="M290" s="110"/>
    </row>
    <row r="291" spans="1:13" ht="13.5" x14ac:dyDescent="0.25">
      <c r="A291" s="891">
        <f>B5B!A122</f>
        <v>0</v>
      </c>
      <c r="B291" s="888"/>
      <c r="C291" s="391"/>
      <c r="D291" s="109"/>
      <c r="E291" s="109"/>
      <c r="F291" s="109"/>
      <c r="G291" s="109"/>
      <c r="H291" s="109"/>
      <c r="I291" s="109"/>
      <c r="J291" s="75">
        <f t="shared" si="30"/>
        <v>0</v>
      </c>
      <c r="K291" s="75">
        <f t="shared" si="31"/>
        <v>0</v>
      </c>
      <c r="L291" s="109"/>
      <c r="M291" s="110"/>
    </row>
    <row r="292" spans="1:13" ht="13.5" x14ac:dyDescent="0.25">
      <c r="A292" s="891">
        <f>B5B!A123</f>
        <v>0</v>
      </c>
      <c r="B292" s="888"/>
      <c r="C292" s="391"/>
      <c r="D292" s="109"/>
      <c r="E292" s="109"/>
      <c r="F292" s="109"/>
      <c r="G292" s="109"/>
      <c r="H292" s="109"/>
      <c r="I292" s="109"/>
      <c r="J292" s="75">
        <f t="shared" si="30"/>
        <v>0</v>
      </c>
      <c r="K292" s="75">
        <f t="shared" si="31"/>
        <v>0</v>
      </c>
      <c r="L292" s="109"/>
      <c r="M292" s="110"/>
    </row>
    <row r="293" spans="1:13" ht="13.5" x14ac:dyDescent="0.25">
      <c r="A293" s="891">
        <f>B5B!A124</f>
        <v>0</v>
      </c>
      <c r="B293" s="888"/>
      <c r="C293" s="391"/>
      <c r="D293" s="109"/>
      <c r="E293" s="109"/>
      <c r="F293" s="109"/>
      <c r="G293" s="109"/>
      <c r="H293" s="109"/>
      <c r="I293" s="109"/>
      <c r="J293" s="75">
        <f t="shared" si="30"/>
        <v>0</v>
      </c>
      <c r="K293" s="75">
        <f t="shared" si="31"/>
        <v>0</v>
      </c>
      <c r="L293" s="109"/>
      <c r="M293" s="110"/>
    </row>
    <row r="294" spans="1:13" ht="13.5" x14ac:dyDescent="0.25">
      <c r="A294" s="891">
        <f>B5B!A125</f>
        <v>0</v>
      </c>
      <c r="B294" s="888"/>
      <c r="C294" s="391"/>
      <c r="D294" s="109"/>
      <c r="E294" s="109"/>
      <c r="F294" s="109"/>
      <c r="G294" s="109"/>
      <c r="H294" s="109"/>
      <c r="I294" s="109"/>
      <c r="J294" s="75">
        <f t="shared" si="30"/>
        <v>0</v>
      </c>
      <c r="K294" s="75">
        <f t="shared" si="31"/>
        <v>0</v>
      </c>
      <c r="L294" s="109"/>
      <c r="M294" s="110"/>
    </row>
    <row r="295" spans="1:13" ht="13.5" x14ac:dyDescent="0.25">
      <c r="A295" s="891">
        <f>B5B!A126</f>
        <v>0</v>
      </c>
      <c r="B295" s="888"/>
      <c r="C295" s="391"/>
      <c r="D295" s="109"/>
      <c r="E295" s="109"/>
      <c r="F295" s="109"/>
      <c r="G295" s="109"/>
      <c r="H295" s="109"/>
      <c r="I295" s="109"/>
      <c r="J295" s="75">
        <f t="shared" si="30"/>
        <v>0</v>
      </c>
      <c r="K295" s="75">
        <f t="shared" si="31"/>
        <v>0</v>
      </c>
      <c r="L295" s="109"/>
      <c r="M295" s="110"/>
    </row>
    <row r="296" spans="1:13" ht="13.5" x14ac:dyDescent="0.25">
      <c r="A296" s="891">
        <f>B5B!A127</f>
        <v>0</v>
      </c>
      <c r="B296" s="888"/>
      <c r="C296" s="391"/>
      <c r="D296" s="109"/>
      <c r="E296" s="109"/>
      <c r="F296" s="109"/>
      <c r="G296" s="109"/>
      <c r="H296" s="109"/>
      <c r="I296" s="109"/>
      <c r="J296" s="75">
        <f t="shared" si="30"/>
        <v>0</v>
      </c>
      <c r="K296" s="75">
        <f t="shared" si="31"/>
        <v>0</v>
      </c>
      <c r="L296" s="109"/>
      <c r="M296" s="110"/>
    </row>
    <row r="297" spans="1:13" ht="13.5" x14ac:dyDescent="0.25">
      <c r="A297" s="891">
        <f>B5B!A128</f>
        <v>0</v>
      </c>
      <c r="B297" s="888"/>
      <c r="C297" s="391"/>
      <c r="D297" s="109"/>
      <c r="E297" s="109"/>
      <c r="F297" s="109"/>
      <c r="G297" s="109"/>
      <c r="H297" s="109"/>
      <c r="I297" s="109"/>
      <c r="J297" s="75">
        <f t="shared" si="30"/>
        <v>0</v>
      </c>
      <c r="K297" s="75">
        <f t="shared" si="31"/>
        <v>0</v>
      </c>
      <c r="L297" s="109"/>
      <c r="M297" s="110"/>
    </row>
    <row r="298" spans="1:13" ht="13.5" x14ac:dyDescent="0.25">
      <c r="A298" s="889" t="str">
        <f>B5B!A129</f>
        <v>Vote 12 - [NAME OF VOTE 12]</v>
      </c>
      <c r="B298" s="888"/>
      <c r="C298" s="750">
        <f t="shared" ref="C298:I298" si="37">SUM(C299:C308)</f>
        <v>0</v>
      </c>
      <c r="D298" s="749">
        <f t="shared" si="37"/>
        <v>0</v>
      </c>
      <c r="E298" s="749">
        <f t="shared" si="37"/>
        <v>0</v>
      </c>
      <c r="F298" s="749">
        <f t="shared" si="37"/>
        <v>0</v>
      </c>
      <c r="G298" s="749">
        <f t="shared" si="37"/>
        <v>0</v>
      </c>
      <c r="H298" s="749">
        <f t="shared" si="37"/>
        <v>0</v>
      </c>
      <c r="I298" s="749">
        <f t="shared" si="37"/>
        <v>0</v>
      </c>
      <c r="J298" s="75">
        <f t="shared" si="30"/>
        <v>0</v>
      </c>
      <c r="K298" s="75">
        <f t="shared" si="31"/>
        <v>0</v>
      </c>
      <c r="L298" s="749">
        <f>SUM(L299:L308)</f>
        <v>0</v>
      </c>
      <c r="M298" s="777">
        <f>SUM(M299:M308)</f>
        <v>0</v>
      </c>
    </row>
    <row r="299" spans="1:13" ht="13.5" x14ac:dyDescent="0.25">
      <c r="A299" s="891" t="str">
        <f>B5B!A130</f>
        <v>12.1 - [Name of sub-vote]</v>
      </c>
      <c r="B299" s="888"/>
      <c r="C299" s="391"/>
      <c r="D299" s="109"/>
      <c r="E299" s="109"/>
      <c r="F299" s="109"/>
      <c r="G299" s="109"/>
      <c r="H299" s="109"/>
      <c r="I299" s="109"/>
      <c r="J299" s="75">
        <f t="shared" si="30"/>
        <v>0</v>
      </c>
      <c r="K299" s="75">
        <f t="shared" si="31"/>
        <v>0</v>
      </c>
      <c r="L299" s="109"/>
      <c r="M299" s="110"/>
    </row>
    <row r="300" spans="1:13" ht="13.5" x14ac:dyDescent="0.25">
      <c r="A300" s="891">
        <f>B5B!A131</f>
        <v>0</v>
      </c>
      <c r="B300" s="888"/>
      <c r="C300" s="391"/>
      <c r="D300" s="109"/>
      <c r="E300" s="109"/>
      <c r="F300" s="109"/>
      <c r="G300" s="109"/>
      <c r="H300" s="109"/>
      <c r="I300" s="109"/>
      <c r="J300" s="75">
        <f t="shared" si="30"/>
        <v>0</v>
      </c>
      <c r="K300" s="75">
        <f t="shared" si="31"/>
        <v>0</v>
      </c>
      <c r="L300" s="109"/>
      <c r="M300" s="110"/>
    </row>
    <row r="301" spans="1:13" ht="13.5" x14ac:dyDescent="0.25">
      <c r="A301" s="891">
        <f>B5B!A132</f>
        <v>0</v>
      </c>
      <c r="B301" s="888"/>
      <c r="C301" s="391"/>
      <c r="D301" s="109"/>
      <c r="E301" s="109"/>
      <c r="F301" s="109"/>
      <c r="G301" s="109"/>
      <c r="H301" s="109"/>
      <c r="I301" s="109"/>
      <c r="J301" s="75">
        <f t="shared" si="30"/>
        <v>0</v>
      </c>
      <c r="K301" s="75">
        <f t="shared" si="31"/>
        <v>0</v>
      </c>
      <c r="L301" s="109"/>
      <c r="M301" s="110"/>
    </row>
    <row r="302" spans="1:13" ht="13.5" x14ac:dyDescent="0.25">
      <c r="A302" s="891">
        <f>B5B!A133</f>
        <v>0</v>
      </c>
      <c r="B302" s="888"/>
      <c r="C302" s="391"/>
      <c r="D302" s="109"/>
      <c r="E302" s="109"/>
      <c r="F302" s="109"/>
      <c r="G302" s="109"/>
      <c r="H302" s="109"/>
      <c r="I302" s="109"/>
      <c r="J302" s="75">
        <f t="shared" si="30"/>
        <v>0</v>
      </c>
      <c r="K302" s="75">
        <f t="shared" si="31"/>
        <v>0</v>
      </c>
      <c r="L302" s="109"/>
      <c r="M302" s="110"/>
    </row>
    <row r="303" spans="1:13" ht="13.5" x14ac:dyDescent="0.25">
      <c r="A303" s="891">
        <f>B5B!A134</f>
        <v>0</v>
      </c>
      <c r="B303" s="888"/>
      <c r="C303" s="391"/>
      <c r="D303" s="109"/>
      <c r="E303" s="109"/>
      <c r="F303" s="109"/>
      <c r="G303" s="109"/>
      <c r="H303" s="109"/>
      <c r="I303" s="109"/>
      <c r="J303" s="75">
        <f t="shared" si="30"/>
        <v>0</v>
      </c>
      <c r="K303" s="75">
        <f t="shared" si="31"/>
        <v>0</v>
      </c>
      <c r="L303" s="109"/>
      <c r="M303" s="110"/>
    </row>
    <row r="304" spans="1:13" ht="13.5" x14ac:dyDescent="0.25">
      <c r="A304" s="891">
        <f>B5B!A135</f>
        <v>0</v>
      </c>
      <c r="B304" s="888"/>
      <c r="C304" s="391"/>
      <c r="D304" s="109"/>
      <c r="E304" s="109"/>
      <c r="F304" s="109"/>
      <c r="G304" s="109"/>
      <c r="H304" s="109"/>
      <c r="I304" s="109"/>
      <c r="J304" s="75">
        <f t="shared" si="30"/>
        <v>0</v>
      </c>
      <c r="K304" s="75">
        <f t="shared" si="31"/>
        <v>0</v>
      </c>
      <c r="L304" s="109"/>
      <c r="M304" s="110"/>
    </row>
    <row r="305" spans="1:13" ht="13.5" x14ac:dyDescent="0.25">
      <c r="A305" s="891">
        <f>B5B!A136</f>
        <v>0</v>
      </c>
      <c r="B305" s="888"/>
      <c r="C305" s="391"/>
      <c r="D305" s="109"/>
      <c r="E305" s="109"/>
      <c r="F305" s="109"/>
      <c r="G305" s="109"/>
      <c r="H305" s="109"/>
      <c r="I305" s="109"/>
      <c r="J305" s="75">
        <f t="shared" ref="J305:J342" si="38">SUM(E305:I305)</f>
        <v>0</v>
      </c>
      <c r="K305" s="75">
        <f t="shared" ref="K305:K342" si="39">IF(D305=0,C305+J305,D305+J305)</f>
        <v>0</v>
      </c>
      <c r="L305" s="109"/>
      <c r="M305" s="110"/>
    </row>
    <row r="306" spans="1:13" ht="13.5" x14ac:dyDescent="0.25">
      <c r="A306" s="891">
        <f>B5B!A137</f>
        <v>0</v>
      </c>
      <c r="B306" s="888"/>
      <c r="C306" s="391"/>
      <c r="D306" s="109"/>
      <c r="E306" s="109"/>
      <c r="F306" s="109"/>
      <c r="G306" s="109"/>
      <c r="H306" s="109"/>
      <c r="I306" s="109"/>
      <c r="J306" s="75">
        <f t="shared" si="38"/>
        <v>0</v>
      </c>
      <c r="K306" s="75">
        <f t="shared" si="39"/>
        <v>0</v>
      </c>
      <c r="L306" s="109"/>
      <c r="M306" s="110"/>
    </row>
    <row r="307" spans="1:13" ht="13.5" x14ac:dyDescent="0.25">
      <c r="A307" s="891">
        <f>B5B!A138</f>
        <v>0</v>
      </c>
      <c r="B307" s="888"/>
      <c r="C307" s="391"/>
      <c r="D307" s="109"/>
      <c r="E307" s="109"/>
      <c r="F307" s="109"/>
      <c r="G307" s="109"/>
      <c r="H307" s="109"/>
      <c r="I307" s="109"/>
      <c r="J307" s="75">
        <f t="shared" si="38"/>
        <v>0</v>
      </c>
      <c r="K307" s="75">
        <f t="shared" si="39"/>
        <v>0</v>
      </c>
      <c r="L307" s="109"/>
      <c r="M307" s="110"/>
    </row>
    <row r="308" spans="1:13" ht="13.5" x14ac:dyDescent="0.25">
      <c r="A308" s="891">
        <f>B5B!A139</f>
        <v>0</v>
      </c>
      <c r="B308" s="888"/>
      <c r="C308" s="391"/>
      <c r="D308" s="109"/>
      <c r="E308" s="109"/>
      <c r="F308" s="109"/>
      <c r="G308" s="109"/>
      <c r="H308" s="109"/>
      <c r="I308" s="109"/>
      <c r="J308" s="75">
        <f t="shared" si="38"/>
        <v>0</v>
      </c>
      <c r="K308" s="75">
        <f t="shared" si="39"/>
        <v>0</v>
      </c>
      <c r="L308" s="109"/>
      <c r="M308" s="110"/>
    </row>
    <row r="309" spans="1:13" ht="13.5" x14ac:dyDescent="0.25">
      <c r="A309" s="889" t="str">
        <f>B5B!A140</f>
        <v>Vote 13 - [NAME OF VOTE 13]</v>
      </c>
      <c r="B309" s="888"/>
      <c r="C309" s="750">
        <f t="shared" ref="C309:I309" si="40">SUM(C310:C319)</f>
        <v>0</v>
      </c>
      <c r="D309" s="749">
        <f t="shared" si="40"/>
        <v>0</v>
      </c>
      <c r="E309" s="749">
        <f t="shared" si="40"/>
        <v>0</v>
      </c>
      <c r="F309" s="749">
        <f t="shared" si="40"/>
        <v>0</v>
      </c>
      <c r="G309" s="749">
        <f t="shared" si="40"/>
        <v>0</v>
      </c>
      <c r="H309" s="749">
        <f t="shared" si="40"/>
        <v>0</v>
      </c>
      <c r="I309" s="749">
        <f t="shared" si="40"/>
        <v>0</v>
      </c>
      <c r="J309" s="75">
        <f t="shared" si="38"/>
        <v>0</v>
      </c>
      <c r="K309" s="75">
        <f t="shared" si="39"/>
        <v>0</v>
      </c>
      <c r="L309" s="749">
        <f>SUM(L310:L319)</f>
        <v>0</v>
      </c>
      <c r="M309" s="777">
        <f>SUM(M310:M319)</f>
        <v>0</v>
      </c>
    </row>
    <row r="310" spans="1:13" ht="13.5" x14ac:dyDescent="0.25">
      <c r="A310" s="891" t="str">
        <f>B5B!A141</f>
        <v>13.1 - [Name of sub-vote]</v>
      </c>
      <c r="B310" s="888"/>
      <c r="C310" s="391"/>
      <c r="D310" s="109"/>
      <c r="E310" s="109"/>
      <c r="F310" s="109"/>
      <c r="G310" s="109"/>
      <c r="H310" s="109"/>
      <c r="I310" s="109"/>
      <c r="J310" s="75">
        <f t="shared" si="38"/>
        <v>0</v>
      </c>
      <c r="K310" s="75">
        <f t="shared" si="39"/>
        <v>0</v>
      </c>
      <c r="L310" s="109"/>
      <c r="M310" s="110"/>
    </row>
    <row r="311" spans="1:13" ht="13.5" x14ac:dyDescent="0.25">
      <c r="A311" s="891">
        <f>B5B!A142</f>
        <v>0</v>
      </c>
      <c r="B311" s="888"/>
      <c r="C311" s="391"/>
      <c r="D311" s="109"/>
      <c r="E311" s="109"/>
      <c r="F311" s="109"/>
      <c r="G311" s="109"/>
      <c r="H311" s="109"/>
      <c r="I311" s="109"/>
      <c r="J311" s="75">
        <f t="shared" si="38"/>
        <v>0</v>
      </c>
      <c r="K311" s="75">
        <f t="shared" si="39"/>
        <v>0</v>
      </c>
      <c r="L311" s="109"/>
      <c r="M311" s="110"/>
    </row>
    <row r="312" spans="1:13" ht="13.5" x14ac:dyDescent="0.25">
      <c r="A312" s="891">
        <f>B5B!A143</f>
        <v>0</v>
      </c>
      <c r="B312" s="888"/>
      <c r="C312" s="391"/>
      <c r="D312" s="109"/>
      <c r="E312" s="109"/>
      <c r="F312" s="109"/>
      <c r="G312" s="109"/>
      <c r="H312" s="109"/>
      <c r="I312" s="109"/>
      <c r="J312" s="75">
        <f t="shared" si="38"/>
        <v>0</v>
      </c>
      <c r="K312" s="75">
        <f t="shared" si="39"/>
        <v>0</v>
      </c>
      <c r="L312" s="109"/>
      <c r="M312" s="110"/>
    </row>
    <row r="313" spans="1:13" ht="13.5" x14ac:dyDescent="0.25">
      <c r="A313" s="891">
        <f>B5B!A144</f>
        <v>0</v>
      </c>
      <c r="B313" s="888"/>
      <c r="C313" s="391"/>
      <c r="D313" s="109"/>
      <c r="E313" s="109"/>
      <c r="F313" s="109"/>
      <c r="G313" s="109"/>
      <c r="H313" s="109"/>
      <c r="I313" s="109"/>
      <c r="J313" s="75">
        <f t="shared" si="38"/>
        <v>0</v>
      </c>
      <c r="K313" s="75">
        <f t="shared" si="39"/>
        <v>0</v>
      </c>
      <c r="L313" s="109"/>
      <c r="M313" s="110"/>
    </row>
    <row r="314" spans="1:13" ht="13.5" x14ac:dyDescent="0.25">
      <c r="A314" s="891">
        <f>B5B!A145</f>
        <v>0</v>
      </c>
      <c r="B314" s="888"/>
      <c r="C314" s="391"/>
      <c r="D314" s="109"/>
      <c r="E314" s="109"/>
      <c r="F314" s="109"/>
      <c r="G314" s="109"/>
      <c r="H314" s="109"/>
      <c r="I314" s="109"/>
      <c r="J314" s="75">
        <f t="shared" si="38"/>
        <v>0</v>
      </c>
      <c r="K314" s="75">
        <f t="shared" si="39"/>
        <v>0</v>
      </c>
      <c r="L314" s="109"/>
      <c r="M314" s="110"/>
    </row>
    <row r="315" spans="1:13" ht="13.5" x14ac:dyDescent="0.25">
      <c r="A315" s="891">
        <f>B5B!A146</f>
        <v>0</v>
      </c>
      <c r="B315" s="888"/>
      <c r="C315" s="391"/>
      <c r="D315" s="109"/>
      <c r="E315" s="109"/>
      <c r="F315" s="109"/>
      <c r="G315" s="109"/>
      <c r="H315" s="109"/>
      <c r="I315" s="109"/>
      <c r="J315" s="75">
        <f t="shared" si="38"/>
        <v>0</v>
      </c>
      <c r="K315" s="75">
        <f t="shared" si="39"/>
        <v>0</v>
      </c>
      <c r="L315" s="109"/>
      <c r="M315" s="110"/>
    </row>
    <row r="316" spans="1:13" ht="13.5" x14ac:dyDescent="0.25">
      <c r="A316" s="891">
        <f>B5B!A147</f>
        <v>0</v>
      </c>
      <c r="B316" s="888"/>
      <c r="C316" s="391"/>
      <c r="D316" s="109"/>
      <c r="E316" s="109"/>
      <c r="F316" s="109"/>
      <c r="G316" s="109"/>
      <c r="H316" s="109"/>
      <c r="I316" s="109"/>
      <c r="J316" s="75">
        <f t="shared" si="38"/>
        <v>0</v>
      </c>
      <c r="K316" s="75">
        <f t="shared" si="39"/>
        <v>0</v>
      </c>
      <c r="L316" s="109"/>
      <c r="M316" s="110"/>
    </row>
    <row r="317" spans="1:13" ht="13.5" x14ac:dyDescent="0.25">
      <c r="A317" s="891">
        <f>B5B!A148</f>
        <v>0</v>
      </c>
      <c r="B317" s="888"/>
      <c r="C317" s="391"/>
      <c r="D317" s="109"/>
      <c r="E317" s="109"/>
      <c r="F317" s="109"/>
      <c r="G317" s="109"/>
      <c r="H317" s="109"/>
      <c r="I317" s="109"/>
      <c r="J317" s="75">
        <f t="shared" si="38"/>
        <v>0</v>
      </c>
      <c r="K317" s="75">
        <f t="shared" si="39"/>
        <v>0</v>
      </c>
      <c r="L317" s="109"/>
      <c r="M317" s="110"/>
    </row>
    <row r="318" spans="1:13" ht="13.5" x14ac:dyDescent="0.25">
      <c r="A318" s="891">
        <f>B5B!A149</f>
        <v>0</v>
      </c>
      <c r="B318" s="888"/>
      <c r="C318" s="391"/>
      <c r="D318" s="109"/>
      <c r="E318" s="109"/>
      <c r="F318" s="109"/>
      <c r="G318" s="109"/>
      <c r="H318" s="109"/>
      <c r="I318" s="109"/>
      <c r="J318" s="75">
        <f t="shared" si="38"/>
        <v>0</v>
      </c>
      <c r="K318" s="75">
        <f t="shared" si="39"/>
        <v>0</v>
      </c>
      <c r="L318" s="109"/>
      <c r="M318" s="110"/>
    </row>
    <row r="319" spans="1:13" ht="13.5" x14ac:dyDescent="0.25">
      <c r="A319" s="891">
        <f>B5B!A150</f>
        <v>0</v>
      </c>
      <c r="B319" s="888"/>
      <c r="C319" s="391"/>
      <c r="D319" s="109"/>
      <c r="E319" s="109"/>
      <c r="F319" s="109"/>
      <c r="G319" s="109"/>
      <c r="H319" s="109"/>
      <c r="I319" s="109"/>
      <c r="J319" s="75">
        <f t="shared" si="38"/>
        <v>0</v>
      </c>
      <c r="K319" s="75">
        <f t="shared" si="39"/>
        <v>0</v>
      </c>
      <c r="L319" s="109"/>
      <c r="M319" s="110"/>
    </row>
    <row r="320" spans="1:13" ht="13.5" x14ac:dyDescent="0.25">
      <c r="A320" s="889" t="str">
        <f>B5B!A151</f>
        <v>Vote 14 - [NAME OF VOTE 14]</v>
      </c>
      <c r="B320" s="888"/>
      <c r="C320" s="750">
        <f t="shared" ref="C320:I320" si="41">SUM(C321:C330)</f>
        <v>0</v>
      </c>
      <c r="D320" s="749">
        <f t="shared" si="41"/>
        <v>0</v>
      </c>
      <c r="E320" s="749">
        <f t="shared" si="41"/>
        <v>0</v>
      </c>
      <c r="F320" s="749">
        <f t="shared" si="41"/>
        <v>0</v>
      </c>
      <c r="G320" s="749">
        <f t="shared" si="41"/>
        <v>0</v>
      </c>
      <c r="H320" s="749">
        <f t="shared" si="41"/>
        <v>0</v>
      </c>
      <c r="I320" s="749">
        <f t="shared" si="41"/>
        <v>0</v>
      </c>
      <c r="J320" s="75">
        <f t="shared" si="38"/>
        <v>0</v>
      </c>
      <c r="K320" s="75">
        <f t="shared" si="39"/>
        <v>0</v>
      </c>
      <c r="L320" s="749">
        <f>SUM(L321:L330)</f>
        <v>0</v>
      </c>
      <c r="M320" s="777">
        <f>SUM(M321:M330)</f>
        <v>0</v>
      </c>
    </row>
    <row r="321" spans="1:13" ht="13.5" x14ac:dyDescent="0.25">
      <c r="A321" s="891" t="str">
        <f>B5B!A152</f>
        <v>14.1 - [Name of sub-vote]</v>
      </c>
      <c r="B321" s="888"/>
      <c r="C321" s="391"/>
      <c r="D321" s="109"/>
      <c r="E321" s="109"/>
      <c r="F321" s="109"/>
      <c r="G321" s="109"/>
      <c r="H321" s="109"/>
      <c r="I321" s="109"/>
      <c r="J321" s="75">
        <f t="shared" si="38"/>
        <v>0</v>
      </c>
      <c r="K321" s="75">
        <f t="shared" si="39"/>
        <v>0</v>
      </c>
      <c r="L321" s="109"/>
      <c r="M321" s="110"/>
    </row>
    <row r="322" spans="1:13" ht="13.5" x14ac:dyDescent="0.25">
      <c r="A322" s="891">
        <f>B5B!A153</f>
        <v>0</v>
      </c>
      <c r="B322" s="888"/>
      <c r="C322" s="391"/>
      <c r="D322" s="109"/>
      <c r="E322" s="109"/>
      <c r="F322" s="109"/>
      <c r="G322" s="109"/>
      <c r="H322" s="109"/>
      <c r="I322" s="109"/>
      <c r="J322" s="75">
        <f t="shared" si="38"/>
        <v>0</v>
      </c>
      <c r="K322" s="75">
        <f t="shared" si="39"/>
        <v>0</v>
      </c>
      <c r="L322" s="109"/>
      <c r="M322" s="110"/>
    </row>
    <row r="323" spans="1:13" ht="13.5" x14ac:dyDescent="0.25">
      <c r="A323" s="891">
        <f>B5B!A154</f>
        <v>0</v>
      </c>
      <c r="B323" s="888"/>
      <c r="C323" s="391"/>
      <c r="D323" s="109"/>
      <c r="E323" s="109"/>
      <c r="F323" s="109"/>
      <c r="G323" s="109"/>
      <c r="H323" s="109"/>
      <c r="I323" s="109"/>
      <c r="J323" s="75">
        <f t="shared" si="38"/>
        <v>0</v>
      </c>
      <c r="K323" s="75">
        <f t="shared" si="39"/>
        <v>0</v>
      </c>
      <c r="L323" s="109"/>
      <c r="M323" s="110"/>
    </row>
    <row r="324" spans="1:13" ht="13.5" x14ac:dyDescent="0.25">
      <c r="A324" s="891">
        <f>B5B!A155</f>
        <v>0</v>
      </c>
      <c r="B324" s="888"/>
      <c r="C324" s="391"/>
      <c r="D324" s="109"/>
      <c r="E324" s="109"/>
      <c r="F324" s="109"/>
      <c r="G324" s="109"/>
      <c r="H324" s="109"/>
      <c r="I324" s="109"/>
      <c r="J324" s="75">
        <f t="shared" si="38"/>
        <v>0</v>
      </c>
      <c r="K324" s="75">
        <f t="shared" si="39"/>
        <v>0</v>
      </c>
      <c r="L324" s="109"/>
      <c r="M324" s="110"/>
    </row>
    <row r="325" spans="1:13" ht="13.5" x14ac:dyDescent="0.25">
      <c r="A325" s="891">
        <f>B5B!A156</f>
        <v>0</v>
      </c>
      <c r="B325" s="888"/>
      <c r="C325" s="391"/>
      <c r="D325" s="109"/>
      <c r="E325" s="109"/>
      <c r="F325" s="109"/>
      <c r="G325" s="109"/>
      <c r="H325" s="109"/>
      <c r="I325" s="109"/>
      <c r="J325" s="75">
        <f t="shared" si="38"/>
        <v>0</v>
      </c>
      <c r="K325" s="75">
        <f t="shared" si="39"/>
        <v>0</v>
      </c>
      <c r="L325" s="109"/>
      <c r="M325" s="110"/>
    </row>
    <row r="326" spans="1:13" ht="13.5" x14ac:dyDescent="0.25">
      <c r="A326" s="891">
        <f>B5B!A157</f>
        <v>0</v>
      </c>
      <c r="B326" s="888"/>
      <c r="C326" s="391"/>
      <c r="D326" s="109"/>
      <c r="E326" s="109"/>
      <c r="F326" s="109"/>
      <c r="G326" s="109"/>
      <c r="H326" s="109"/>
      <c r="I326" s="109"/>
      <c r="J326" s="75">
        <f t="shared" si="38"/>
        <v>0</v>
      </c>
      <c r="K326" s="75">
        <f t="shared" si="39"/>
        <v>0</v>
      </c>
      <c r="L326" s="109"/>
      <c r="M326" s="110"/>
    </row>
    <row r="327" spans="1:13" ht="13.5" x14ac:dyDescent="0.25">
      <c r="A327" s="891">
        <f>B5B!A158</f>
        <v>0</v>
      </c>
      <c r="B327" s="888"/>
      <c r="C327" s="391"/>
      <c r="D327" s="109"/>
      <c r="E327" s="109"/>
      <c r="F327" s="109"/>
      <c r="G327" s="109"/>
      <c r="H327" s="109"/>
      <c r="I327" s="109"/>
      <c r="J327" s="75">
        <f t="shared" si="38"/>
        <v>0</v>
      </c>
      <c r="K327" s="75">
        <f t="shared" si="39"/>
        <v>0</v>
      </c>
      <c r="L327" s="109"/>
      <c r="M327" s="110"/>
    </row>
    <row r="328" spans="1:13" ht="13.5" x14ac:dyDescent="0.25">
      <c r="A328" s="891">
        <f>B5B!A159</f>
        <v>0</v>
      </c>
      <c r="B328" s="888"/>
      <c r="C328" s="391"/>
      <c r="D328" s="109"/>
      <c r="E328" s="109"/>
      <c r="F328" s="109"/>
      <c r="G328" s="109"/>
      <c r="H328" s="109"/>
      <c r="I328" s="109"/>
      <c r="J328" s="75">
        <f t="shared" si="38"/>
        <v>0</v>
      </c>
      <c r="K328" s="75">
        <f t="shared" si="39"/>
        <v>0</v>
      </c>
      <c r="L328" s="109"/>
      <c r="M328" s="110"/>
    </row>
    <row r="329" spans="1:13" ht="13.5" x14ac:dyDescent="0.25">
      <c r="A329" s="891">
        <f>B5B!A160</f>
        <v>0</v>
      </c>
      <c r="B329" s="888"/>
      <c r="C329" s="391"/>
      <c r="D329" s="109"/>
      <c r="E329" s="109"/>
      <c r="F329" s="109"/>
      <c r="G329" s="109"/>
      <c r="H329" s="109"/>
      <c r="I329" s="109"/>
      <c r="J329" s="75">
        <f t="shared" si="38"/>
        <v>0</v>
      </c>
      <c r="K329" s="75">
        <f t="shared" si="39"/>
        <v>0</v>
      </c>
      <c r="L329" s="109"/>
      <c r="M329" s="110"/>
    </row>
    <row r="330" spans="1:13" ht="13.5" x14ac:dyDescent="0.25">
      <c r="A330" s="891">
        <f>B5B!A161</f>
        <v>0</v>
      </c>
      <c r="B330" s="888"/>
      <c r="C330" s="391"/>
      <c r="D330" s="109"/>
      <c r="E330" s="109"/>
      <c r="F330" s="109"/>
      <c r="G330" s="109"/>
      <c r="H330" s="109"/>
      <c r="I330" s="109"/>
      <c r="J330" s="75">
        <f t="shared" si="38"/>
        <v>0</v>
      </c>
      <c r="K330" s="75">
        <f t="shared" si="39"/>
        <v>0</v>
      </c>
      <c r="L330" s="109"/>
      <c r="M330" s="110"/>
    </row>
    <row r="331" spans="1:13" ht="13.5" x14ac:dyDescent="0.25">
      <c r="A331" s="889" t="str">
        <f>B5B!A162</f>
        <v>Vote 15 - [NAME OF VOTE 15]</v>
      </c>
      <c r="B331" s="888"/>
      <c r="C331" s="750">
        <f t="shared" ref="C331:I331" si="42">SUM(C332:C341)</f>
        <v>0</v>
      </c>
      <c r="D331" s="749">
        <f t="shared" si="42"/>
        <v>0</v>
      </c>
      <c r="E331" s="749">
        <f t="shared" si="42"/>
        <v>0</v>
      </c>
      <c r="F331" s="749">
        <f t="shared" si="42"/>
        <v>0</v>
      </c>
      <c r="G331" s="749">
        <f t="shared" si="42"/>
        <v>0</v>
      </c>
      <c r="H331" s="749">
        <f t="shared" si="42"/>
        <v>0</v>
      </c>
      <c r="I331" s="749">
        <f t="shared" si="42"/>
        <v>0</v>
      </c>
      <c r="J331" s="75">
        <f t="shared" si="38"/>
        <v>0</v>
      </c>
      <c r="K331" s="75">
        <f t="shared" si="39"/>
        <v>0</v>
      </c>
      <c r="L331" s="749">
        <f>SUM(L332:L341)</f>
        <v>0</v>
      </c>
      <c r="M331" s="777">
        <f>SUM(M332:M341)</f>
        <v>0</v>
      </c>
    </row>
    <row r="332" spans="1:13" ht="13.5" x14ac:dyDescent="0.25">
      <c r="A332" s="891" t="str">
        <f>B5B!A163</f>
        <v>15.1 - [Name of sub-vote]</v>
      </c>
      <c r="B332" s="888"/>
      <c r="C332" s="391"/>
      <c r="D332" s="109"/>
      <c r="E332" s="109"/>
      <c r="F332" s="109"/>
      <c r="G332" s="109"/>
      <c r="H332" s="109"/>
      <c r="I332" s="109"/>
      <c r="J332" s="75">
        <f t="shared" si="38"/>
        <v>0</v>
      </c>
      <c r="K332" s="75">
        <f t="shared" si="39"/>
        <v>0</v>
      </c>
      <c r="L332" s="109"/>
      <c r="M332" s="110"/>
    </row>
    <row r="333" spans="1:13" ht="13.5" x14ac:dyDescent="0.25">
      <c r="A333" s="891">
        <f>B5B!A164</f>
        <v>0</v>
      </c>
      <c r="B333" s="888"/>
      <c r="C333" s="391"/>
      <c r="D333" s="109"/>
      <c r="E333" s="109"/>
      <c r="F333" s="109"/>
      <c r="G333" s="109"/>
      <c r="H333" s="109"/>
      <c r="I333" s="109"/>
      <c r="J333" s="75">
        <f t="shared" si="38"/>
        <v>0</v>
      </c>
      <c r="K333" s="75">
        <f t="shared" si="39"/>
        <v>0</v>
      </c>
      <c r="L333" s="109"/>
      <c r="M333" s="110"/>
    </row>
    <row r="334" spans="1:13" ht="13.5" x14ac:dyDescent="0.25">
      <c r="A334" s="891">
        <f>B5B!A165</f>
        <v>0</v>
      </c>
      <c r="B334" s="888"/>
      <c r="C334" s="391"/>
      <c r="D334" s="109"/>
      <c r="E334" s="109"/>
      <c r="F334" s="109"/>
      <c r="G334" s="109"/>
      <c r="H334" s="109"/>
      <c r="I334" s="109"/>
      <c r="J334" s="75">
        <f t="shared" si="38"/>
        <v>0</v>
      </c>
      <c r="K334" s="75">
        <f t="shared" si="39"/>
        <v>0</v>
      </c>
      <c r="L334" s="109"/>
      <c r="M334" s="110"/>
    </row>
    <row r="335" spans="1:13" ht="13.5" x14ac:dyDescent="0.25">
      <c r="A335" s="891">
        <f>B5B!A166</f>
        <v>0</v>
      </c>
      <c r="B335" s="888"/>
      <c r="C335" s="391"/>
      <c r="D335" s="109"/>
      <c r="E335" s="109"/>
      <c r="F335" s="109"/>
      <c r="G335" s="109"/>
      <c r="H335" s="109"/>
      <c r="I335" s="109"/>
      <c r="J335" s="75">
        <f t="shared" si="38"/>
        <v>0</v>
      </c>
      <c r="K335" s="75">
        <f t="shared" si="39"/>
        <v>0</v>
      </c>
      <c r="L335" s="109"/>
      <c r="M335" s="110"/>
    </row>
    <row r="336" spans="1:13" ht="13.5" x14ac:dyDescent="0.25">
      <c r="A336" s="891">
        <f>B5B!A167</f>
        <v>0</v>
      </c>
      <c r="B336" s="888"/>
      <c r="C336" s="391"/>
      <c r="D336" s="109"/>
      <c r="E336" s="109"/>
      <c r="F336" s="109"/>
      <c r="G336" s="109"/>
      <c r="H336" s="109"/>
      <c r="I336" s="109"/>
      <c r="J336" s="75">
        <f t="shared" si="38"/>
        <v>0</v>
      </c>
      <c r="K336" s="75">
        <f t="shared" si="39"/>
        <v>0</v>
      </c>
      <c r="L336" s="109"/>
      <c r="M336" s="110"/>
    </row>
    <row r="337" spans="1:13" ht="13.5" x14ac:dyDescent="0.25">
      <c r="A337" s="891">
        <f>B5B!A168</f>
        <v>0</v>
      </c>
      <c r="B337" s="888"/>
      <c r="C337" s="391"/>
      <c r="D337" s="109"/>
      <c r="E337" s="109"/>
      <c r="F337" s="109"/>
      <c r="G337" s="109"/>
      <c r="H337" s="109"/>
      <c r="I337" s="109"/>
      <c r="J337" s="75">
        <f t="shared" si="38"/>
        <v>0</v>
      </c>
      <c r="K337" s="75">
        <f t="shared" si="39"/>
        <v>0</v>
      </c>
      <c r="L337" s="109"/>
      <c r="M337" s="110"/>
    </row>
    <row r="338" spans="1:13" ht="13.5" x14ac:dyDescent="0.25">
      <c r="A338" s="891">
        <f>B5B!A169</f>
        <v>0</v>
      </c>
      <c r="B338" s="888"/>
      <c r="C338" s="391"/>
      <c r="D338" s="109"/>
      <c r="E338" s="109"/>
      <c r="F338" s="109"/>
      <c r="G338" s="109"/>
      <c r="H338" s="109"/>
      <c r="I338" s="109"/>
      <c r="J338" s="75">
        <f t="shared" si="38"/>
        <v>0</v>
      </c>
      <c r="K338" s="75">
        <f t="shared" si="39"/>
        <v>0</v>
      </c>
      <c r="L338" s="109"/>
      <c r="M338" s="110"/>
    </row>
    <row r="339" spans="1:13" ht="13.5" x14ac:dyDescent="0.25">
      <c r="A339" s="891">
        <f>B5B!A170</f>
        <v>0</v>
      </c>
      <c r="B339" s="888"/>
      <c r="C339" s="391"/>
      <c r="D339" s="109"/>
      <c r="E339" s="109"/>
      <c r="F339" s="109"/>
      <c r="G339" s="109"/>
      <c r="H339" s="109"/>
      <c r="I339" s="109"/>
      <c r="J339" s="75">
        <f t="shared" si="38"/>
        <v>0</v>
      </c>
      <c r="K339" s="75">
        <f t="shared" si="39"/>
        <v>0</v>
      </c>
      <c r="L339" s="109"/>
      <c r="M339" s="110"/>
    </row>
    <row r="340" spans="1:13" ht="13.5" x14ac:dyDescent="0.25">
      <c r="A340" s="891">
        <f>B5B!A171</f>
        <v>0</v>
      </c>
      <c r="B340" s="888"/>
      <c r="C340" s="391"/>
      <c r="D340" s="109"/>
      <c r="E340" s="109"/>
      <c r="F340" s="109"/>
      <c r="G340" s="109"/>
      <c r="H340" s="109"/>
      <c r="I340" s="109"/>
      <c r="J340" s="75">
        <f t="shared" si="38"/>
        <v>0</v>
      </c>
      <c r="K340" s="75">
        <f t="shared" si="39"/>
        <v>0</v>
      </c>
      <c r="L340" s="109"/>
      <c r="M340" s="110"/>
    </row>
    <row r="341" spans="1:13" ht="13.5" x14ac:dyDescent="0.25">
      <c r="A341" s="891">
        <f>B5B!A172</f>
        <v>0</v>
      </c>
      <c r="B341" s="888"/>
      <c r="C341" s="391"/>
      <c r="D341" s="109"/>
      <c r="E341" s="109"/>
      <c r="F341" s="109"/>
      <c r="G341" s="109"/>
      <c r="H341" s="109"/>
      <c r="I341" s="109"/>
      <c r="J341" s="75">
        <f t="shared" si="38"/>
        <v>0</v>
      </c>
      <c r="K341" s="75">
        <f t="shared" si="39"/>
        <v>0</v>
      </c>
      <c r="L341" s="109"/>
      <c r="M341" s="110"/>
    </row>
    <row r="342" spans="1:13" ht="11.25" customHeight="1" x14ac:dyDescent="0.25">
      <c r="A342" s="889" t="s">
        <v>715</v>
      </c>
      <c r="B342" s="888"/>
      <c r="C342" s="305">
        <f>C177+C188+C199+C210+C221+C232+C243+C254+C265+C287+C298+C309+C320+C331+C276</f>
        <v>580121000</v>
      </c>
      <c r="D342" s="151">
        <f t="shared" ref="D342:I342" si="43">D177+D188+D199+D210+D221+D232+D243+D254+D265+D287+D298+D309+D320+D331+D276</f>
        <v>0</v>
      </c>
      <c r="E342" s="151">
        <f t="shared" si="43"/>
        <v>0</v>
      </c>
      <c r="F342" s="151">
        <f t="shared" si="43"/>
        <v>0</v>
      </c>
      <c r="G342" s="151">
        <f t="shared" si="43"/>
        <v>0</v>
      </c>
      <c r="H342" s="151">
        <f t="shared" si="43"/>
        <v>42808656.599999979</v>
      </c>
      <c r="I342" s="151">
        <f t="shared" si="43"/>
        <v>3355679.4000000954</v>
      </c>
      <c r="J342" s="489">
        <f t="shared" si="38"/>
        <v>46164336.000000075</v>
      </c>
      <c r="K342" s="489">
        <f t="shared" si="39"/>
        <v>626285336.00000012</v>
      </c>
      <c r="L342" s="151">
        <f>L177+L188+L199+L210+L221+L232+L243+L254+L265+L287+L298+L309+L320+L331+L276</f>
        <v>595848000</v>
      </c>
      <c r="M342" s="152">
        <f>M177+M188+M199+M210+M221+M232+M243+M254+M265+M287+M298+M309+M320+M331+M276</f>
        <v>637695950</v>
      </c>
    </row>
    <row r="343" spans="1:13" ht="14.25" customHeight="1" x14ac:dyDescent="0.25">
      <c r="A343" s="897" t="s">
        <v>479</v>
      </c>
      <c r="B343" s="898"/>
      <c r="C343" s="788">
        <f>C342+C173</f>
        <v>580121000</v>
      </c>
      <c r="D343" s="789">
        <f t="shared" ref="D343:I343" si="44">D342+D173</f>
        <v>0</v>
      </c>
      <c r="E343" s="789">
        <f t="shared" si="44"/>
        <v>0</v>
      </c>
      <c r="F343" s="789">
        <f t="shared" si="44"/>
        <v>0</v>
      </c>
      <c r="G343" s="789">
        <f t="shared" si="44"/>
        <v>0</v>
      </c>
      <c r="H343" s="789">
        <f t="shared" si="44"/>
        <v>42808656.599999979</v>
      </c>
      <c r="I343" s="789">
        <f t="shared" si="44"/>
        <v>3355679.4000000954</v>
      </c>
      <c r="J343" s="790">
        <f>SUM(E343:I343)</f>
        <v>46164336.000000075</v>
      </c>
      <c r="K343" s="790">
        <f>IF(D343=0,C343+J343,D343+J343)</f>
        <v>626285336.00000012</v>
      </c>
      <c r="L343" s="789">
        <f>L342+L173</f>
        <v>595848000</v>
      </c>
      <c r="M343" s="791">
        <f>M342+M173</f>
        <v>637695950</v>
      </c>
    </row>
    <row r="344" spans="1:13" ht="13.5" x14ac:dyDescent="0.25">
      <c r="B344" s="900"/>
      <c r="C344" s="769"/>
      <c r="D344" s="770"/>
      <c r="E344" s="770"/>
      <c r="F344" s="770"/>
      <c r="G344" s="770"/>
      <c r="H344" s="770"/>
      <c r="I344" s="770"/>
      <c r="J344" s="770"/>
      <c r="K344" s="770"/>
    </row>
    <row r="345" spans="1:13" ht="13.5" x14ac:dyDescent="0.25">
      <c r="B345" s="900"/>
      <c r="C345" s="771"/>
      <c r="D345" s="771"/>
      <c r="E345" s="772"/>
      <c r="F345" s="772"/>
      <c r="G345" s="772"/>
      <c r="H345" s="772"/>
      <c r="I345" s="772"/>
      <c r="J345" s="772"/>
      <c r="K345" s="772"/>
    </row>
    <row r="346" spans="1:13" ht="13.5" x14ac:dyDescent="0.25">
      <c r="A346" s="901" t="str">
        <f>head27a</f>
        <v>References</v>
      </c>
      <c r="B346" s="900"/>
      <c r="C346" s="771"/>
      <c r="D346" s="771"/>
      <c r="E346" s="772"/>
      <c r="F346" s="772"/>
      <c r="G346" s="772"/>
      <c r="H346" s="772"/>
      <c r="I346" s="772"/>
      <c r="J346" s="772"/>
      <c r="K346" s="772"/>
    </row>
    <row r="347" spans="1:13" ht="13.5" x14ac:dyDescent="0.25">
      <c r="A347" s="902" t="s">
        <v>1148</v>
      </c>
      <c r="B347" s="903"/>
      <c r="C347" s="774"/>
      <c r="D347" s="774"/>
      <c r="E347" s="775"/>
      <c r="F347" s="775"/>
      <c r="G347" s="775"/>
      <c r="H347" s="775"/>
      <c r="I347" s="775"/>
      <c r="J347" s="775"/>
      <c r="K347" s="775"/>
    </row>
    <row r="348" spans="1:13" ht="13.5" x14ac:dyDescent="0.25">
      <c r="A348" s="904" t="s">
        <v>1149</v>
      </c>
    </row>
    <row r="349" spans="1:13" ht="13.5" x14ac:dyDescent="0.25">
      <c r="A349" s="904" t="s">
        <v>1150</v>
      </c>
    </row>
  </sheetData>
  <dataConsolidate link="1"/>
  <mergeCells count="3">
    <mergeCell ref="A2:A3"/>
    <mergeCell ref="B2:B5"/>
    <mergeCell ref="C2:K2"/>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39" activePane="bottomRight" state="frozen"/>
      <selection activeCell="C6" sqref="C6"/>
      <selection pane="topRight" activeCell="C6" sqref="C6"/>
      <selection pane="bottomLeft" activeCell="C6" sqref="C6"/>
      <selection pane="bottomRight" activeCell="R12" sqref="R12"/>
    </sheetView>
  </sheetViews>
  <sheetFormatPr defaultRowHeight="12.75" x14ac:dyDescent="0.25"/>
  <cols>
    <col min="1" max="1" width="30.710937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"&amp;_ADJ6&amp;" - "&amp;Date</f>
        <v>LIM354 Polokwane - Table B6 Adjustments Budget Financial Position - 25 February 2016</v>
      </c>
      <c r="B1" s="5"/>
      <c r="C1" s="58"/>
    </row>
    <row r="2" spans="1:13" ht="38.25" x14ac:dyDescent="0.25">
      <c r="A2" s="1318" t="str">
        <f>desc</f>
        <v>Description</v>
      </c>
      <c r="B2" s="1318" t="str">
        <f>head27</f>
        <v>Ref</v>
      </c>
      <c r="C2" s="1315" t="str">
        <f>Head2</f>
        <v>Budget Year 2015/16</v>
      </c>
      <c r="D2" s="1316"/>
      <c r="E2" s="1316"/>
      <c r="F2" s="1316"/>
      <c r="G2" s="1316"/>
      <c r="H2" s="1316"/>
      <c r="I2" s="1316"/>
      <c r="J2" s="1316"/>
      <c r="K2" s="1317"/>
      <c r="L2" s="170" t="str">
        <f>Head10</f>
        <v>Budget Year +1 2016/17</v>
      </c>
      <c r="M2" s="171" t="str">
        <f>Head11</f>
        <v>Budget Year +2 2017/18</v>
      </c>
    </row>
    <row r="3" spans="1:13" ht="25.5" x14ac:dyDescent="0.25">
      <c r="A3" s="1319"/>
      <c r="B3" s="13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19"/>
      <c r="B4" s="1319"/>
      <c r="C4" s="65"/>
      <c r="D4" s="15">
        <v>3</v>
      </c>
      <c r="E4" s="15">
        <v>4</v>
      </c>
      <c r="F4" s="15">
        <v>5</v>
      </c>
      <c r="G4" s="15">
        <v>6</v>
      </c>
      <c r="H4" s="15">
        <v>7</v>
      </c>
      <c r="I4" s="15">
        <v>8</v>
      </c>
      <c r="J4" s="15">
        <v>9</v>
      </c>
      <c r="K4" s="15">
        <v>10</v>
      </c>
      <c r="L4" s="15"/>
      <c r="M4" s="17"/>
    </row>
    <row r="5" spans="1:13" x14ac:dyDescent="0.25">
      <c r="A5" s="66" t="s">
        <v>641</v>
      </c>
      <c r="B5" s="104"/>
      <c r="C5" s="67" t="s">
        <v>581</v>
      </c>
      <c r="D5" s="68" t="s">
        <v>582</v>
      </c>
      <c r="E5" s="68" t="s">
        <v>583</v>
      </c>
      <c r="F5" s="69" t="s">
        <v>584</v>
      </c>
      <c r="G5" s="69" t="s">
        <v>585</v>
      </c>
      <c r="H5" s="69" t="s">
        <v>586</v>
      </c>
      <c r="I5" s="70" t="s">
        <v>587</v>
      </c>
      <c r="J5" s="70" t="s">
        <v>588</v>
      </c>
      <c r="K5" s="70" t="s">
        <v>589</v>
      </c>
      <c r="L5" s="70"/>
      <c r="M5" s="71"/>
    </row>
    <row r="6" spans="1:13" ht="12.75" customHeight="1" x14ac:dyDescent="0.25">
      <c r="A6" s="139" t="s">
        <v>725</v>
      </c>
      <c r="B6" s="73"/>
      <c r="C6" s="74"/>
      <c r="D6" s="75"/>
      <c r="E6" s="75"/>
      <c r="F6" s="75"/>
      <c r="G6" s="75"/>
      <c r="H6" s="75"/>
      <c r="I6" s="75"/>
      <c r="J6" s="75"/>
      <c r="K6" s="75"/>
      <c r="L6" s="75"/>
      <c r="M6" s="76"/>
    </row>
    <row r="7" spans="1:13" ht="12.75" customHeight="1" x14ac:dyDescent="0.25">
      <c r="A7" s="139" t="s">
        <v>726</v>
      </c>
      <c r="B7" s="73"/>
      <c r="C7" s="127"/>
      <c r="D7" s="75"/>
      <c r="E7" s="75"/>
      <c r="F7" s="75"/>
      <c r="G7" s="75"/>
      <c r="H7" s="75"/>
      <c r="I7" s="75"/>
      <c r="J7" s="75"/>
      <c r="K7" s="75"/>
      <c r="L7" s="75"/>
      <c r="M7" s="76"/>
    </row>
    <row r="8" spans="1:13" ht="12.75" customHeight="1" x14ac:dyDescent="0.25">
      <c r="A8" s="129" t="s">
        <v>742</v>
      </c>
      <c r="B8" s="73"/>
      <c r="C8" s="130">
        <v>85000000</v>
      </c>
      <c r="D8" s="109"/>
      <c r="E8" s="109"/>
      <c r="F8" s="109"/>
      <c r="G8" s="109"/>
      <c r="H8" s="109"/>
      <c r="I8" s="109"/>
      <c r="J8" s="75">
        <f t="shared" ref="J8:J13" si="0">SUM(E8:I8)</f>
        <v>0</v>
      </c>
      <c r="K8" s="75">
        <f t="shared" ref="K8:K13" si="1">IF(D8=0,C8+J8,D8+J8)</f>
        <v>85000000</v>
      </c>
      <c r="L8" s="109">
        <v>105000000</v>
      </c>
      <c r="M8" s="110">
        <v>50000000</v>
      </c>
    </row>
    <row r="9" spans="1:13" ht="12.75" customHeight="1" x14ac:dyDescent="0.25">
      <c r="A9" s="129" t="s">
        <v>743</v>
      </c>
      <c r="B9" s="73">
        <v>1</v>
      </c>
      <c r="C9" s="131">
        <f>'SB2'!C10</f>
        <v>330000000</v>
      </c>
      <c r="D9" s="132">
        <f>'SB2'!D10</f>
        <v>0</v>
      </c>
      <c r="E9" s="132">
        <f>'SB2'!E10</f>
        <v>0</v>
      </c>
      <c r="F9" s="132">
        <f>'SB2'!F10</f>
        <v>0</v>
      </c>
      <c r="G9" s="132">
        <f>'SB2'!G10</f>
        <v>0</v>
      </c>
      <c r="H9" s="132">
        <f>'SB2'!H10</f>
        <v>0</v>
      </c>
      <c r="I9" s="132">
        <f>'SB2'!I10</f>
        <v>-250000000</v>
      </c>
      <c r="J9" s="172">
        <f t="shared" si="0"/>
        <v>-250000000</v>
      </c>
      <c r="K9" s="172">
        <f t="shared" si="1"/>
        <v>80000000</v>
      </c>
      <c r="L9" s="132">
        <f>'SB2'!L10</f>
        <v>300000000</v>
      </c>
      <c r="M9" s="133">
        <f>'SB2'!M10</f>
        <v>295000000</v>
      </c>
    </row>
    <row r="10" spans="1:13" ht="12.75" customHeight="1" x14ac:dyDescent="0.25">
      <c r="A10" s="129" t="s">
        <v>744</v>
      </c>
      <c r="B10" s="73">
        <v>1</v>
      </c>
      <c r="C10" s="131">
        <f>'SB2'!C14</f>
        <v>364198069</v>
      </c>
      <c r="D10" s="132">
        <f>'SB2'!D14</f>
        <v>0</v>
      </c>
      <c r="E10" s="132">
        <f>'SB2'!E14</f>
        <v>0</v>
      </c>
      <c r="F10" s="132">
        <f>'SB2'!F14</f>
        <v>0</v>
      </c>
      <c r="G10" s="132">
        <f>'SB2'!G14</f>
        <v>0</v>
      </c>
      <c r="H10" s="132">
        <f>'SB2'!H14</f>
        <v>0</v>
      </c>
      <c r="I10" s="132">
        <f>'SB2'!I14</f>
        <v>-241028069</v>
      </c>
      <c r="J10" s="172">
        <f t="shared" si="0"/>
        <v>-241028069</v>
      </c>
      <c r="K10" s="172">
        <f t="shared" si="1"/>
        <v>123170000</v>
      </c>
      <c r="L10" s="132">
        <f>'SB2'!L14</f>
        <v>62240796</v>
      </c>
      <c r="M10" s="133">
        <f>'SB2'!M14</f>
        <v>92240796</v>
      </c>
    </row>
    <row r="11" spans="1:13" ht="12.75" customHeight="1" x14ac:dyDescent="0.25">
      <c r="A11" s="129" t="s">
        <v>745</v>
      </c>
      <c r="B11" s="73"/>
      <c r="C11" s="130">
        <v>47000000</v>
      </c>
      <c r="D11" s="109"/>
      <c r="E11" s="109"/>
      <c r="F11" s="109"/>
      <c r="G11" s="109"/>
      <c r="H11" s="109"/>
      <c r="I11" s="109"/>
      <c r="J11" s="75">
        <f t="shared" si="0"/>
        <v>0</v>
      </c>
      <c r="K11" s="75">
        <f t="shared" si="1"/>
        <v>47000000</v>
      </c>
      <c r="L11" s="109">
        <v>46000000</v>
      </c>
      <c r="M11" s="110">
        <v>45000000</v>
      </c>
    </row>
    <row r="12" spans="1:13" ht="12.75" customHeight="1" x14ac:dyDescent="0.25">
      <c r="A12" s="129" t="s">
        <v>746</v>
      </c>
      <c r="B12" s="73"/>
      <c r="C12" s="130">
        <v>6379000</v>
      </c>
      <c r="D12" s="109"/>
      <c r="E12" s="109"/>
      <c r="F12" s="109"/>
      <c r="G12" s="109"/>
      <c r="H12" s="109"/>
      <c r="I12" s="109"/>
      <c r="J12" s="75">
        <f t="shared" si="0"/>
        <v>0</v>
      </c>
      <c r="K12" s="75">
        <f t="shared" si="1"/>
        <v>6379000</v>
      </c>
      <c r="L12" s="109">
        <v>5021000</v>
      </c>
      <c r="M12" s="110">
        <v>5163000</v>
      </c>
    </row>
    <row r="13" spans="1:13" ht="12.75" customHeight="1" x14ac:dyDescent="0.25">
      <c r="A13" s="129" t="s">
        <v>747</v>
      </c>
      <c r="B13" s="73"/>
      <c r="C13" s="130">
        <v>55000000</v>
      </c>
      <c r="D13" s="109"/>
      <c r="E13" s="109"/>
      <c r="F13" s="109"/>
      <c r="G13" s="109"/>
      <c r="H13" s="109"/>
      <c r="I13" s="109"/>
      <c r="J13" s="75">
        <f t="shared" si="0"/>
        <v>0</v>
      </c>
      <c r="K13" s="75">
        <f t="shared" si="1"/>
        <v>55000000</v>
      </c>
      <c r="L13" s="109">
        <v>55000000</v>
      </c>
      <c r="M13" s="110">
        <v>56000000</v>
      </c>
    </row>
    <row r="14" spans="1:13" ht="12.75" customHeight="1" x14ac:dyDescent="0.25">
      <c r="A14" s="163" t="s">
        <v>617</v>
      </c>
      <c r="B14" s="79"/>
      <c r="C14" s="80">
        <f t="shared" ref="C14:M14" si="2">SUM(C8:C13)</f>
        <v>887577069</v>
      </c>
      <c r="D14" s="81">
        <f t="shared" si="2"/>
        <v>0</v>
      </c>
      <c r="E14" s="81">
        <f t="shared" si="2"/>
        <v>0</v>
      </c>
      <c r="F14" s="81">
        <f t="shared" si="2"/>
        <v>0</v>
      </c>
      <c r="G14" s="81">
        <f t="shared" si="2"/>
        <v>0</v>
      </c>
      <c r="H14" s="81">
        <f t="shared" si="2"/>
        <v>0</v>
      </c>
      <c r="I14" s="81">
        <f t="shared" si="2"/>
        <v>-491028069</v>
      </c>
      <c r="J14" s="81">
        <f t="shared" si="2"/>
        <v>-491028069</v>
      </c>
      <c r="K14" s="81">
        <f t="shared" si="2"/>
        <v>396549000</v>
      </c>
      <c r="L14" s="81">
        <f t="shared" si="2"/>
        <v>573261796</v>
      </c>
      <c r="M14" s="82">
        <f t="shared" si="2"/>
        <v>543403796</v>
      </c>
    </row>
    <row r="15" spans="1:13" ht="5.0999999999999996" customHeight="1" x14ac:dyDescent="0.25">
      <c r="A15" s="136"/>
      <c r="B15" s="73"/>
      <c r="C15" s="74"/>
      <c r="D15" s="75"/>
      <c r="E15" s="75"/>
      <c r="F15" s="75"/>
      <c r="G15" s="75"/>
      <c r="H15" s="75"/>
      <c r="I15" s="75"/>
      <c r="J15" s="75"/>
      <c r="K15" s="75"/>
      <c r="L15" s="75"/>
      <c r="M15" s="76"/>
    </row>
    <row r="16" spans="1:13" ht="12.75" customHeight="1" x14ac:dyDescent="0.25">
      <c r="A16" s="139" t="s">
        <v>748</v>
      </c>
      <c r="B16" s="73"/>
      <c r="C16" s="74"/>
      <c r="D16" s="75"/>
      <c r="E16" s="75"/>
      <c r="F16" s="75"/>
      <c r="G16" s="75"/>
      <c r="H16" s="75"/>
      <c r="I16" s="75"/>
      <c r="J16" s="75"/>
      <c r="K16" s="75"/>
      <c r="L16" s="75"/>
      <c r="M16" s="76"/>
    </row>
    <row r="17" spans="1:13" ht="12.75" customHeight="1" x14ac:dyDescent="0.25">
      <c r="A17" s="129" t="s">
        <v>749</v>
      </c>
      <c r="B17" s="73"/>
      <c r="C17" s="130">
        <v>5593000</v>
      </c>
      <c r="D17" s="109"/>
      <c r="E17" s="109"/>
      <c r="F17" s="109"/>
      <c r="G17" s="109"/>
      <c r="H17" s="109"/>
      <c r="I17" s="109"/>
      <c r="J17" s="75">
        <f t="shared" ref="J17:J25" si="3">SUM(E17:I17)</f>
        <v>0</v>
      </c>
      <c r="K17" s="75">
        <f t="shared" ref="K17:K25" si="4">IF(D17=0,C17+J17,D17+J17)</f>
        <v>5593000</v>
      </c>
      <c r="L17" s="109">
        <v>5235000</v>
      </c>
      <c r="M17" s="110">
        <v>4377000</v>
      </c>
    </row>
    <row r="18" spans="1:13" ht="12.75" customHeight="1" x14ac:dyDescent="0.25">
      <c r="A18" s="129" t="s">
        <v>750</v>
      </c>
      <c r="B18" s="73"/>
      <c r="C18" s="130">
        <v>58999800</v>
      </c>
      <c r="D18" s="109"/>
      <c r="E18" s="109"/>
      <c r="F18" s="109"/>
      <c r="G18" s="109"/>
      <c r="H18" s="109"/>
      <c r="I18" s="109"/>
      <c r="J18" s="75">
        <f t="shared" si="3"/>
        <v>0</v>
      </c>
      <c r="K18" s="75">
        <f t="shared" si="4"/>
        <v>58999800</v>
      </c>
      <c r="L18" s="109">
        <v>58999800</v>
      </c>
      <c r="M18" s="110">
        <v>58999800</v>
      </c>
    </row>
    <row r="19" spans="1:13" ht="12.75" customHeight="1" x14ac:dyDescent="0.25">
      <c r="A19" s="129" t="s">
        <v>751</v>
      </c>
      <c r="B19" s="73"/>
      <c r="C19" s="130">
        <v>544472448</v>
      </c>
      <c r="D19" s="109"/>
      <c r="E19" s="109"/>
      <c r="F19" s="109"/>
      <c r="G19" s="109"/>
      <c r="H19" s="109"/>
      <c r="I19" s="109"/>
      <c r="J19" s="75">
        <f t="shared" si="3"/>
        <v>0</v>
      </c>
      <c r="K19" s="75">
        <f t="shared" si="4"/>
        <v>544472448</v>
      </c>
      <c r="L19" s="109">
        <v>543972448</v>
      </c>
      <c r="M19" s="110">
        <v>543472448</v>
      </c>
    </row>
    <row r="20" spans="1:13" ht="12.75" customHeight="1" x14ac:dyDescent="0.25">
      <c r="A20" s="129" t="s">
        <v>1102</v>
      </c>
      <c r="B20" s="73"/>
      <c r="C20" s="130">
        <v>8217389</v>
      </c>
      <c r="D20" s="109"/>
      <c r="E20" s="109"/>
      <c r="F20" s="109"/>
      <c r="G20" s="109"/>
      <c r="H20" s="109"/>
      <c r="I20" s="109"/>
      <c r="J20" s="75">
        <f t="shared" si="3"/>
        <v>0</v>
      </c>
      <c r="K20" s="75">
        <f t="shared" si="4"/>
        <v>8217389</v>
      </c>
      <c r="L20" s="109">
        <v>8217389</v>
      </c>
      <c r="M20" s="110">
        <v>8217389</v>
      </c>
    </row>
    <row r="21" spans="1:13" ht="12.75" customHeight="1" x14ac:dyDescent="0.25">
      <c r="A21" s="129" t="s">
        <v>752</v>
      </c>
      <c r="B21" s="73">
        <v>1</v>
      </c>
      <c r="C21" s="131">
        <f>'SB2'!C24</f>
        <v>7640858469.4100008</v>
      </c>
      <c r="D21" s="132">
        <f>'SB2'!D24</f>
        <v>0</v>
      </c>
      <c r="E21" s="132">
        <f>'SB2'!E24</f>
        <v>0</v>
      </c>
      <c r="F21" s="132">
        <f>'SB2'!F24</f>
        <v>0</v>
      </c>
      <c r="G21" s="132">
        <f>'SB2'!G24</f>
        <v>0</v>
      </c>
      <c r="H21" s="132">
        <f>'SB2'!H24</f>
        <v>42808656</v>
      </c>
      <c r="I21" s="132">
        <f>'SB2'!I24</f>
        <v>3355681</v>
      </c>
      <c r="J21" s="132">
        <f t="shared" si="3"/>
        <v>46164337</v>
      </c>
      <c r="K21" s="132">
        <f t="shared" si="4"/>
        <v>7687022806.4100008</v>
      </c>
      <c r="L21" s="132">
        <f>'SB2'!L24</f>
        <v>8018381469.4100008</v>
      </c>
      <c r="M21" s="133">
        <f>'SB2'!M24</f>
        <v>8423997944.4100008</v>
      </c>
    </row>
    <row r="22" spans="1:13" ht="12.75" customHeight="1" x14ac:dyDescent="0.25">
      <c r="A22" s="129" t="s">
        <v>753</v>
      </c>
      <c r="B22" s="73"/>
      <c r="C22" s="130">
        <v>0</v>
      </c>
      <c r="D22" s="109"/>
      <c r="E22" s="109"/>
      <c r="F22" s="109"/>
      <c r="G22" s="109"/>
      <c r="H22" s="109"/>
      <c r="I22" s="109"/>
      <c r="J22" s="75">
        <f t="shared" si="3"/>
        <v>0</v>
      </c>
      <c r="K22" s="75">
        <f t="shared" si="4"/>
        <v>0</v>
      </c>
      <c r="L22" s="109">
        <v>0</v>
      </c>
      <c r="M22" s="110">
        <v>0</v>
      </c>
    </row>
    <row r="23" spans="1:13" ht="12.75" customHeight="1" x14ac:dyDescent="0.25">
      <c r="A23" s="129" t="s">
        <v>754</v>
      </c>
      <c r="B23" s="73"/>
      <c r="C23" s="130">
        <v>16633000</v>
      </c>
      <c r="D23" s="109"/>
      <c r="E23" s="109"/>
      <c r="F23" s="109"/>
      <c r="G23" s="109"/>
      <c r="H23" s="109"/>
      <c r="I23" s="109"/>
      <c r="J23" s="75">
        <f t="shared" si="3"/>
        <v>0</v>
      </c>
      <c r="K23" s="75">
        <f t="shared" si="4"/>
        <v>16633000</v>
      </c>
      <c r="L23" s="109">
        <v>16633000</v>
      </c>
      <c r="M23" s="110">
        <v>16633000</v>
      </c>
    </row>
    <row r="24" spans="1:13" ht="12.75" customHeight="1" x14ac:dyDescent="0.25">
      <c r="A24" s="129" t="s">
        <v>755</v>
      </c>
      <c r="B24" s="73"/>
      <c r="C24" s="130">
        <v>12049379</v>
      </c>
      <c r="D24" s="109"/>
      <c r="E24" s="109"/>
      <c r="F24" s="109"/>
      <c r="G24" s="109"/>
      <c r="H24" s="109"/>
      <c r="I24" s="109"/>
      <c r="J24" s="75">
        <f t="shared" si="3"/>
        <v>0</v>
      </c>
      <c r="K24" s="75">
        <f t="shared" si="4"/>
        <v>12049379</v>
      </c>
      <c r="L24" s="109">
        <v>11299379</v>
      </c>
      <c r="M24" s="110">
        <v>10549379</v>
      </c>
    </row>
    <row r="25" spans="1:13" ht="12.75" customHeight="1" x14ac:dyDescent="0.25">
      <c r="A25" s="129" t="s">
        <v>756</v>
      </c>
      <c r="B25" s="73"/>
      <c r="C25" s="130">
        <v>3671704</v>
      </c>
      <c r="D25" s="109"/>
      <c r="E25" s="109"/>
      <c r="F25" s="109"/>
      <c r="G25" s="109"/>
      <c r="H25" s="109"/>
      <c r="I25" s="109"/>
      <c r="J25" s="75">
        <f t="shared" si="3"/>
        <v>0</v>
      </c>
      <c r="K25" s="75">
        <f t="shared" si="4"/>
        <v>3671704</v>
      </c>
      <c r="L25" s="109">
        <v>3671704</v>
      </c>
      <c r="M25" s="110">
        <v>3671704</v>
      </c>
    </row>
    <row r="26" spans="1:13" ht="12.75" customHeight="1" x14ac:dyDescent="0.25">
      <c r="A26" s="163" t="s">
        <v>618</v>
      </c>
      <c r="B26" s="79"/>
      <c r="C26" s="80">
        <f t="shared" ref="C26:M26" si="5">SUM(C17:C25)</f>
        <v>8290495189.4100008</v>
      </c>
      <c r="D26" s="81">
        <f t="shared" si="5"/>
        <v>0</v>
      </c>
      <c r="E26" s="81">
        <f t="shared" si="5"/>
        <v>0</v>
      </c>
      <c r="F26" s="81">
        <f t="shared" si="5"/>
        <v>0</v>
      </c>
      <c r="G26" s="81">
        <f t="shared" si="5"/>
        <v>0</v>
      </c>
      <c r="H26" s="81">
        <f t="shared" si="5"/>
        <v>42808656</v>
      </c>
      <c r="I26" s="81">
        <f t="shared" si="5"/>
        <v>3355681</v>
      </c>
      <c r="J26" s="81">
        <f t="shared" si="5"/>
        <v>46164337</v>
      </c>
      <c r="K26" s="81">
        <f t="shared" si="5"/>
        <v>8336659526.4100008</v>
      </c>
      <c r="L26" s="81">
        <f t="shared" si="5"/>
        <v>8666410189.4099998</v>
      </c>
      <c r="M26" s="82">
        <f t="shared" si="5"/>
        <v>9069918664.4099998</v>
      </c>
    </row>
    <row r="27" spans="1:13" ht="12.75" customHeight="1" x14ac:dyDescent="0.25">
      <c r="A27" s="163" t="s">
        <v>757</v>
      </c>
      <c r="B27" s="79"/>
      <c r="C27" s="80">
        <f t="shared" ref="C27:M27" si="6">C14+C26</f>
        <v>9178072258.4099998</v>
      </c>
      <c r="D27" s="81">
        <f t="shared" si="6"/>
        <v>0</v>
      </c>
      <c r="E27" s="81">
        <f t="shared" si="6"/>
        <v>0</v>
      </c>
      <c r="F27" s="81">
        <f t="shared" si="6"/>
        <v>0</v>
      </c>
      <c r="G27" s="81">
        <f t="shared" si="6"/>
        <v>0</v>
      </c>
      <c r="H27" s="81">
        <f t="shared" si="6"/>
        <v>42808656</v>
      </c>
      <c r="I27" s="81">
        <f t="shared" si="6"/>
        <v>-487672388</v>
      </c>
      <c r="J27" s="81">
        <f t="shared" si="6"/>
        <v>-444863732</v>
      </c>
      <c r="K27" s="81">
        <f t="shared" si="6"/>
        <v>8733208526.4099998</v>
      </c>
      <c r="L27" s="81">
        <f t="shared" si="6"/>
        <v>9239671985.4099998</v>
      </c>
      <c r="M27" s="82">
        <f t="shared" si="6"/>
        <v>9613322460.4099998</v>
      </c>
    </row>
    <row r="28" spans="1:13" ht="5.0999999999999996" customHeight="1" x14ac:dyDescent="0.25">
      <c r="A28" s="136"/>
      <c r="B28" s="73"/>
      <c r="C28" s="74"/>
      <c r="D28" s="75"/>
      <c r="E28" s="75"/>
      <c r="F28" s="75"/>
      <c r="G28" s="75"/>
      <c r="H28" s="75"/>
      <c r="I28" s="75"/>
      <c r="J28" s="75"/>
      <c r="K28" s="75"/>
      <c r="L28" s="75"/>
      <c r="M28" s="76"/>
    </row>
    <row r="29" spans="1:13" ht="12.75" customHeight="1" x14ac:dyDescent="0.25">
      <c r="A29" s="139" t="s">
        <v>758</v>
      </c>
      <c r="B29" s="73"/>
      <c r="C29" s="74"/>
      <c r="D29" s="75"/>
      <c r="E29" s="75"/>
      <c r="F29" s="75"/>
      <c r="G29" s="75"/>
      <c r="H29" s="75"/>
      <c r="I29" s="75"/>
      <c r="J29" s="75"/>
      <c r="K29" s="75"/>
      <c r="L29" s="75"/>
      <c r="M29" s="76"/>
    </row>
    <row r="30" spans="1:13" ht="12.75" customHeight="1" x14ac:dyDescent="0.25">
      <c r="A30" s="139" t="s">
        <v>759</v>
      </c>
      <c r="B30" s="115"/>
      <c r="C30" s="74"/>
      <c r="D30" s="75"/>
      <c r="E30" s="75"/>
      <c r="F30" s="75"/>
      <c r="G30" s="75"/>
      <c r="H30" s="75"/>
      <c r="I30" s="75"/>
      <c r="J30" s="75"/>
      <c r="K30" s="75"/>
      <c r="L30" s="75"/>
      <c r="M30" s="76"/>
    </row>
    <row r="31" spans="1:13" ht="12.75" customHeight="1" x14ac:dyDescent="0.25">
      <c r="A31" s="129" t="s">
        <v>760</v>
      </c>
      <c r="B31" s="73"/>
      <c r="C31" s="130"/>
      <c r="D31" s="109"/>
      <c r="E31" s="109"/>
      <c r="F31" s="109"/>
      <c r="G31" s="109"/>
      <c r="H31" s="109"/>
      <c r="I31" s="109"/>
      <c r="J31" s="75">
        <f>SUM(E31:I31)</f>
        <v>0</v>
      </c>
      <c r="K31" s="75">
        <f>IF(D31=0,C31+J31,D31+J31)</f>
        <v>0</v>
      </c>
      <c r="L31" s="109"/>
      <c r="M31" s="110"/>
    </row>
    <row r="32" spans="1:13" ht="12.75" customHeight="1" x14ac:dyDescent="0.25">
      <c r="A32" s="129" t="s">
        <v>613</v>
      </c>
      <c r="B32" s="73"/>
      <c r="C32" s="131">
        <f>'SB2'!C30</f>
        <v>71792266</v>
      </c>
      <c r="D32" s="132">
        <f>'SB2'!D30</f>
        <v>0</v>
      </c>
      <c r="E32" s="132">
        <f>'SB2'!E30</f>
        <v>0</v>
      </c>
      <c r="F32" s="132">
        <f>'SB2'!F30</f>
        <v>0</v>
      </c>
      <c r="G32" s="132">
        <f>'SB2'!G30</f>
        <v>0</v>
      </c>
      <c r="H32" s="132">
        <f>'SB2'!H30</f>
        <v>0</v>
      </c>
      <c r="I32" s="132">
        <f>'SB2'!I30</f>
        <v>0</v>
      </c>
      <c r="J32" s="132">
        <f>SUM(E32:I32)</f>
        <v>0</v>
      </c>
      <c r="K32" s="132">
        <f>IF(D32=0,C32+J32,D32+J32)</f>
        <v>71792266</v>
      </c>
      <c r="L32" s="132">
        <f>'SB2'!L30</f>
        <v>71292266</v>
      </c>
      <c r="M32" s="133">
        <f>'SB2'!M30</f>
        <v>71292266</v>
      </c>
    </row>
    <row r="33" spans="1:13" ht="12.75" customHeight="1" x14ac:dyDescent="0.25">
      <c r="A33" s="129" t="s">
        <v>761</v>
      </c>
      <c r="B33" s="73"/>
      <c r="C33" s="130">
        <v>65288000</v>
      </c>
      <c r="D33" s="109"/>
      <c r="E33" s="109"/>
      <c r="F33" s="109"/>
      <c r="G33" s="109"/>
      <c r="H33" s="109"/>
      <c r="I33" s="109"/>
      <c r="J33" s="75">
        <f>SUM(E33:I33)</f>
        <v>0</v>
      </c>
      <c r="K33" s="75">
        <f>IF(D33=0,C33+J33,D33+J33)</f>
        <v>65288000</v>
      </c>
      <c r="L33" s="109">
        <v>66738000</v>
      </c>
      <c r="M33" s="110">
        <v>68193000</v>
      </c>
    </row>
    <row r="34" spans="1:13" ht="12.75" customHeight="1" x14ac:dyDescent="0.25">
      <c r="A34" s="129" t="s">
        <v>762</v>
      </c>
      <c r="B34" s="73"/>
      <c r="C34" s="131">
        <f>'SB2'!C35</f>
        <v>720000000</v>
      </c>
      <c r="D34" s="132">
        <f>'SB2'!D35</f>
        <v>0</v>
      </c>
      <c r="E34" s="132">
        <f>'SB2'!E35</f>
        <v>0</v>
      </c>
      <c r="F34" s="132">
        <f>'SB2'!F35</f>
        <v>0</v>
      </c>
      <c r="G34" s="132">
        <f>'SB2'!G35</f>
        <v>0</v>
      </c>
      <c r="H34" s="132">
        <f>'SB2'!H35</f>
        <v>0</v>
      </c>
      <c r="I34" s="132">
        <f>'SB2'!I35</f>
        <v>-202691000</v>
      </c>
      <c r="J34" s="132">
        <f>SUM(E34:I34)</f>
        <v>-202691000</v>
      </c>
      <c r="K34" s="132">
        <f>IF(D34=0,C34+J34,D34+J34)</f>
        <v>517309000</v>
      </c>
      <c r="L34" s="132">
        <f>'SB2'!L35</f>
        <v>660000000</v>
      </c>
      <c r="M34" s="133">
        <f>'SB2'!M35</f>
        <v>665000000</v>
      </c>
    </row>
    <row r="35" spans="1:13" ht="12.75" customHeight="1" x14ac:dyDescent="0.25">
      <c r="A35" s="129" t="s">
        <v>763</v>
      </c>
      <c r="B35" s="73"/>
      <c r="C35" s="130"/>
      <c r="D35" s="109"/>
      <c r="E35" s="109"/>
      <c r="F35" s="109"/>
      <c r="G35" s="109"/>
      <c r="H35" s="109"/>
      <c r="I35" s="109"/>
      <c r="J35" s="75">
        <f>SUM(E35:I35)</f>
        <v>0</v>
      </c>
      <c r="K35" s="75">
        <f>IF(D35=0,C35+J35,D35+J35)</f>
        <v>0</v>
      </c>
      <c r="L35" s="109"/>
      <c r="M35" s="110"/>
    </row>
    <row r="36" spans="1:13" ht="12.75" customHeight="1" x14ac:dyDescent="0.25">
      <c r="A36" s="163" t="s">
        <v>619</v>
      </c>
      <c r="B36" s="79"/>
      <c r="C36" s="80">
        <f t="shared" ref="C36:M36" si="7">SUM(C31:C35)</f>
        <v>857080266</v>
      </c>
      <c r="D36" s="81">
        <f t="shared" si="7"/>
        <v>0</v>
      </c>
      <c r="E36" s="81">
        <f t="shared" si="7"/>
        <v>0</v>
      </c>
      <c r="F36" s="81">
        <f t="shared" si="7"/>
        <v>0</v>
      </c>
      <c r="G36" s="81">
        <f t="shared" si="7"/>
        <v>0</v>
      </c>
      <c r="H36" s="81">
        <f t="shared" si="7"/>
        <v>0</v>
      </c>
      <c r="I36" s="81">
        <f t="shared" si="7"/>
        <v>-202691000</v>
      </c>
      <c r="J36" s="81">
        <f t="shared" si="7"/>
        <v>-202691000</v>
      </c>
      <c r="K36" s="81">
        <f t="shared" si="7"/>
        <v>654389266</v>
      </c>
      <c r="L36" s="81">
        <f t="shared" si="7"/>
        <v>798030266</v>
      </c>
      <c r="M36" s="82">
        <f t="shared" si="7"/>
        <v>804485266</v>
      </c>
    </row>
    <row r="37" spans="1:13" ht="5.0999999999999996" customHeight="1" x14ac:dyDescent="0.25">
      <c r="A37" s="136"/>
      <c r="B37" s="73"/>
      <c r="C37" s="74"/>
      <c r="D37" s="75"/>
      <c r="E37" s="75"/>
      <c r="F37" s="75"/>
      <c r="G37" s="75"/>
      <c r="H37" s="75"/>
      <c r="I37" s="75"/>
      <c r="J37" s="75"/>
      <c r="K37" s="75"/>
      <c r="L37" s="75"/>
      <c r="M37" s="76"/>
    </row>
    <row r="38" spans="1:13" ht="12.75" customHeight="1" x14ac:dyDescent="0.25">
      <c r="A38" s="139" t="s">
        <v>764</v>
      </c>
      <c r="B38" s="73"/>
      <c r="C38" s="74"/>
      <c r="D38" s="75"/>
      <c r="E38" s="75"/>
      <c r="F38" s="75"/>
      <c r="G38" s="75"/>
      <c r="H38" s="75"/>
      <c r="I38" s="75"/>
      <c r="J38" s="75"/>
      <c r="K38" s="75"/>
      <c r="L38" s="75"/>
      <c r="M38" s="76"/>
    </row>
    <row r="39" spans="1:13" ht="12.75" customHeight="1" x14ac:dyDescent="0.25">
      <c r="A39" s="129" t="s">
        <v>613</v>
      </c>
      <c r="B39" s="73">
        <v>1</v>
      </c>
      <c r="C39" s="131">
        <f>'SB2'!C39</f>
        <v>237295970</v>
      </c>
      <c r="D39" s="132">
        <f>'SB2'!D39</f>
        <v>0</v>
      </c>
      <c r="E39" s="132">
        <f>'SB2'!E39</f>
        <v>0</v>
      </c>
      <c r="F39" s="132">
        <f>'SB2'!F39</f>
        <v>0</v>
      </c>
      <c r="G39" s="132">
        <f>'SB2'!G39</f>
        <v>0</v>
      </c>
      <c r="H39" s="132">
        <f>'SB2'!H39</f>
        <v>0</v>
      </c>
      <c r="I39" s="132">
        <f>'SB2'!I39</f>
        <v>0</v>
      </c>
      <c r="J39" s="132">
        <f>SUM(E39:I39)</f>
        <v>0</v>
      </c>
      <c r="K39" s="132">
        <f>IF(D39=0,C39+J39,D39+J39)</f>
        <v>237295970</v>
      </c>
      <c r="L39" s="132">
        <f>'SB2'!L39</f>
        <v>166003704</v>
      </c>
      <c r="M39" s="133">
        <f>'SB2'!M39</f>
        <v>94711438</v>
      </c>
    </row>
    <row r="40" spans="1:13" ht="12.75" customHeight="1" x14ac:dyDescent="0.25">
      <c r="A40" s="129" t="s">
        <v>763</v>
      </c>
      <c r="B40" s="73">
        <v>1</v>
      </c>
      <c r="C40" s="131">
        <f>'SB2'!C45</f>
        <v>204838721</v>
      </c>
      <c r="D40" s="132">
        <f>'SB2'!D45</f>
        <v>0</v>
      </c>
      <c r="E40" s="132">
        <f>'SB2'!E45</f>
        <v>0</v>
      </c>
      <c r="F40" s="132">
        <f>'SB2'!F45</f>
        <v>0</v>
      </c>
      <c r="G40" s="132">
        <f>'SB2'!G45</f>
        <v>0</v>
      </c>
      <c r="H40" s="132">
        <f>'SB2'!H45</f>
        <v>0</v>
      </c>
      <c r="I40" s="132">
        <f>'SB2'!I45</f>
        <v>0</v>
      </c>
      <c r="J40" s="132">
        <f>SUM(E40:I40)</f>
        <v>0</v>
      </c>
      <c r="K40" s="132">
        <f>IF(D40=0,C40+J40,D40+J40)</f>
        <v>204838721</v>
      </c>
      <c r="L40" s="132">
        <f>'SB2'!L45</f>
        <v>246071371</v>
      </c>
      <c r="M40" s="133">
        <f>'SB2'!M45</f>
        <v>291466071</v>
      </c>
    </row>
    <row r="41" spans="1:13" ht="12.75" customHeight="1" x14ac:dyDescent="0.25">
      <c r="A41" s="163" t="s">
        <v>620</v>
      </c>
      <c r="B41" s="79"/>
      <c r="C41" s="80">
        <f t="shared" ref="C41:M41" si="8">SUM(C39:C40)</f>
        <v>442134691</v>
      </c>
      <c r="D41" s="81">
        <f t="shared" si="8"/>
        <v>0</v>
      </c>
      <c r="E41" s="81">
        <f t="shared" si="8"/>
        <v>0</v>
      </c>
      <c r="F41" s="81">
        <f t="shared" si="8"/>
        <v>0</v>
      </c>
      <c r="G41" s="81">
        <f t="shared" si="8"/>
        <v>0</v>
      </c>
      <c r="H41" s="81">
        <f t="shared" si="8"/>
        <v>0</v>
      </c>
      <c r="I41" s="81">
        <f t="shared" si="8"/>
        <v>0</v>
      </c>
      <c r="J41" s="81">
        <f t="shared" si="8"/>
        <v>0</v>
      </c>
      <c r="K41" s="81">
        <f t="shared" si="8"/>
        <v>442134691</v>
      </c>
      <c r="L41" s="81">
        <f t="shared" si="8"/>
        <v>412075075</v>
      </c>
      <c r="M41" s="82">
        <f t="shared" si="8"/>
        <v>386177509</v>
      </c>
    </row>
    <row r="42" spans="1:13" ht="12.75" customHeight="1" x14ac:dyDescent="0.25">
      <c r="A42" s="163" t="s">
        <v>765</v>
      </c>
      <c r="B42" s="79"/>
      <c r="C42" s="80">
        <f t="shared" ref="C42:M42" si="9">C36+C41</f>
        <v>1299214957</v>
      </c>
      <c r="D42" s="81">
        <f t="shared" si="9"/>
        <v>0</v>
      </c>
      <c r="E42" s="81">
        <f t="shared" si="9"/>
        <v>0</v>
      </c>
      <c r="F42" s="81">
        <f t="shared" si="9"/>
        <v>0</v>
      </c>
      <c r="G42" s="81">
        <f t="shared" si="9"/>
        <v>0</v>
      </c>
      <c r="H42" s="81">
        <f t="shared" si="9"/>
        <v>0</v>
      </c>
      <c r="I42" s="81">
        <f t="shared" si="9"/>
        <v>-202691000</v>
      </c>
      <c r="J42" s="81">
        <f t="shared" si="9"/>
        <v>-202691000</v>
      </c>
      <c r="K42" s="81">
        <f t="shared" si="9"/>
        <v>1096523957</v>
      </c>
      <c r="L42" s="81">
        <f t="shared" si="9"/>
        <v>1210105341</v>
      </c>
      <c r="M42" s="82">
        <f t="shared" si="9"/>
        <v>1190662775</v>
      </c>
    </row>
    <row r="43" spans="1:13" s="48" customFormat="1" ht="5.0999999999999996" customHeight="1" x14ac:dyDescent="0.25">
      <c r="A43" s="136"/>
      <c r="B43" s="73"/>
      <c r="C43" s="74"/>
      <c r="D43" s="75"/>
      <c r="E43" s="75"/>
      <c r="F43" s="75"/>
      <c r="G43" s="75"/>
      <c r="H43" s="75"/>
      <c r="I43" s="75"/>
      <c r="J43" s="75"/>
      <c r="K43" s="75"/>
      <c r="L43" s="75"/>
      <c r="M43" s="76"/>
    </row>
    <row r="44" spans="1:13" ht="12.75" customHeight="1" x14ac:dyDescent="0.25">
      <c r="A44" s="306" t="s">
        <v>766</v>
      </c>
      <c r="B44" s="154">
        <v>2</v>
      </c>
      <c r="C44" s="526">
        <f t="shared" ref="C44:M44" si="10">C27-C42</f>
        <v>7878857301.4099998</v>
      </c>
      <c r="D44" s="238">
        <f t="shared" si="10"/>
        <v>0</v>
      </c>
      <c r="E44" s="238">
        <f t="shared" si="10"/>
        <v>0</v>
      </c>
      <c r="F44" s="238">
        <f t="shared" si="10"/>
        <v>0</v>
      </c>
      <c r="G44" s="238">
        <f t="shared" si="10"/>
        <v>0</v>
      </c>
      <c r="H44" s="238">
        <f t="shared" si="10"/>
        <v>42808656</v>
      </c>
      <c r="I44" s="238">
        <f t="shared" si="10"/>
        <v>-284981388</v>
      </c>
      <c r="J44" s="238">
        <f t="shared" si="10"/>
        <v>-242172732</v>
      </c>
      <c r="K44" s="238">
        <f t="shared" si="10"/>
        <v>7636684569.4099998</v>
      </c>
      <c r="L44" s="238">
        <f t="shared" si="10"/>
        <v>8029566644.4099998</v>
      </c>
      <c r="M44" s="239">
        <f t="shared" si="10"/>
        <v>8422659685.4099998</v>
      </c>
    </row>
    <row r="45" spans="1:13" ht="5.0999999999999996" customHeight="1" x14ac:dyDescent="0.25">
      <c r="A45" s="136"/>
      <c r="B45" s="73"/>
      <c r="C45" s="74"/>
      <c r="D45" s="75"/>
      <c r="E45" s="75"/>
      <c r="F45" s="75"/>
      <c r="G45" s="75"/>
      <c r="H45" s="75"/>
      <c r="I45" s="75"/>
      <c r="J45" s="75"/>
      <c r="K45" s="75"/>
      <c r="L45" s="75"/>
      <c r="M45" s="76"/>
    </row>
    <row r="46" spans="1:13" ht="12.75" customHeight="1" x14ac:dyDescent="0.25">
      <c r="A46" s="139" t="s">
        <v>767</v>
      </c>
      <c r="B46" s="73"/>
      <c r="C46" s="74"/>
      <c r="D46" s="75"/>
      <c r="E46" s="75"/>
      <c r="F46" s="75"/>
      <c r="G46" s="75"/>
      <c r="H46" s="75"/>
      <c r="I46" s="75"/>
      <c r="J46" s="75"/>
      <c r="K46" s="75"/>
      <c r="L46" s="75"/>
      <c r="M46" s="76"/>
    </row>
    <row r="47" spans="1:13" ht="12.75" customHeight="1" x14ac:dyDescent="0.25">
      <c r="A47" s="129" t="s">
        <v>768</v>
      </c>
      <c r="B47" s="73"/>
      <c r="C47" s="131">
        <f>'SB2'!C54</f>
        <v>6149723591.4299994</v>
      </c>
      <c r="D47" s="132">
        <f>'SB2'!D54</f>
        <v>0</v>
      </c>
      <c r="E47" s="132">
        <f>'SB2'!E54</f>
        <v>0</v>
      </c>
      <c r="F47" s="132">
        <f>'SB2'!F54</f>
        <v>0</v>
      </c>
      <c r="G47" s="132">
        <f>'SB2'!G54</f>
        <v>0</v>
      </c>
      <c r="H47" s="132">
        <f>'SB2'!H54</f>
        <v>42808657</v>
      </c>
      <c r="I47" s="132">
        <f>'SB2'!I54</f>
        <v>-274587388</v>
      </c>
      <c r="J47" s="132">
        <f>SUM(E47:I47)</f>
        <v>-231778731</v>
      </c>
      <c r="K47" s="132">
        <f>IF(D47=0,C47+J47,D47+J47)</f>
        <v>5917944860.4299994</v>
      </c>
      <c r="L47" s="132">
        <f>'SB2'!L54</f>
        <v>6500482934.4299994</v>
      </c>
      <c r="M47" s="133">
        <f>'SB2'!M54</f>
        <v>7093625975.4300003</v>
      </c>
    </row>
    <row r="48" spans="1:13" ht="12.75" customHeight="1" x14ac:dyDescent="0.25">
      <c r="A48" s="129" t="s">
        <v>769</v>
      </c>
      <c r="B48" s="73"/>
      <c r="C48" s="131">
        <f>'SB2'!C61</f>
        <v>1729133709.98</v>
      </c>
      <c r="D48" s="132">
        <f>'SB2'!D61</f>
        <v>0</v>
      </c>
      <c r="E48" s="132">
        <f>'SB2'!E61</f>
        <v>0</v>
      </c>
      <c r="F48" s="132">
        <f>'SB2'!F61</f>
        <v>0</v>
      </c>
      <c r="G48" s="132">
        <f>'SB2'!G61</f>
        <v>0</v>
      </c>
      <c r="H48" s="132">
        <f>'SB2'!H61</f>
        <v>-1</v>
      </c>
      <c r="I48" s="132">
        <f>'SB2'!I61</f>
        <v>-10394000</v>
      </c>
      <c r="J48" s="132">
        <f>SUM(E48:I48)</f>
        <v>-10394001</v>
      </c>
      <c r="K48" s="132">
        <f>IF(D48=0,C48+J48,D48+J48)</f>
        <v>1718739708.98</v>
      </c>
      <c r="L48" s="132">
        <f>'SB2'!L61</f>
        <v>1529083709.98</v>
      </c>
      <c r="M48" s="133">
        <f>'SB2'!M61</f>
        <v>1329033709.98</v>
      </c>
    </row>
    <row r="49" spans="1:13" ht="12.75" customHeight="1" x14ac:dyDescent="0.25">
      <c r="A49" s="129" t="s">
        <v>1607</v>
      </c>
      <c r="B49" s="73"/>
      <c r="C49" s="130"/>
      <c r="D49" s="109"/>
      <c r="E49" s="109"/>
      <c r="F49" s="109"/>
      <c r="G49" s="109"/>
      <c r="H49" s="109"/>
      <c r="I49" s="109"/>
      <c r="J49" s="75">
        <f>SUM(E49:I49)</f>
        <v>0</v>
      </c>
      <c r="K49" s="75">
        <f>IF(D49=0,C49+J49,D49+J49)</f>
        <v>0</v>
      </c>
      <c r="L49" s="109"/>
      <c r="M49" s="110"/>
    </row>
    <row r="50" spans="1:13" ht="12.75" customHeight="1" x14ac:dyDescent="0.25">
      <c r="A50" s="155" t="s">
        <v>770</v>
      </c>
      <c r="B50" s="156"/>
      <c r="C50" s="157">
        <f>SUM(C47:C49)</f>
        <v>7878857301.4099998</v>
      </c>
      <c r="D50" s="117">
        <f t="shared" ref="D50:M50" si="11">SUM(D47:D49)</f>
        <v>0</v>
      </c>
      <c r="E50" s="117">
        <f t="shared" si="11"/>
        <v>0</v>
      </c>
      <c r="F50" s="117">
        <f t="shared" si="11"/>
        <v>0</v>
      </c>
      <c r="G50" s="117">
        <f t="shared" si="11"/>
        <v>0</v>
      </c>
      <c r="H50" s="117">
        <f t="shared" si="11"/>
        <v>42808656</v>
      </c>
      <c r="I50" s="117">
        <f t="shared" si="11"/>
        <v>-284981388</v>
      </c>
      <c r="J50" s="117">
        <f t="shared" si="11"/>
        <v>-242172732</v>
      </c>
      <c r="K50" s="117">
        <f t="shared" si="11"/>
        <v>7636684569.4099998</v>
      </c>
      <c r="L50" s="117">
        <f t="shared" si="11"/>
        <v>8029566644.4099998</v>
      </c>
      <c r="M50" s="118">
        <f t="shared" si="11"/>
        <v>8422659685.4099998</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1179</v>
      </c>
      <c r="B52" s="99"/>
      <c r="C52" s="99"/>
      <c r="D52" s="99"/>
      <c r="E52" s="99"/>
      <c r="F52" s="99"/>
      <c r="G52" s="99"/>
      <c r="H52" s="99"/>
      <c r="I52" s="99"/>
      <c r="J52" s="99"/>
      <c r="K52" s="99"/>
      <c r="L52" s="99"/>
      <c r="M52" s="99"/>
    </row>
    <row r="53" spans="1:13" ht="12.75" customHeight="1" x14ac:dyDescent="0.25">
      <c r="A53" s="99" t="s">
        <v>772</v>
      </c>
      <c r="B53" s="100"/>
      <c r="C53" s="100"/>
      <c r="D53" s="100"/>
      <c r="E53" s="100"/>
      <c r="F53" s="100"/>
      <c r="G53" s="100"/>
      <c r="H53" s="100"/>
      <c r="I53" s="100"/>
      <c r="J53" s="100"/>
      <c r="K53" s="100"/>
      <c r="L53" s="100"/>
      <c r="M53" s="100"/>
    </row>
    <row r="54" spans="1:13" ht="12.75" customHeight="1" x14ac:dyDescent="0.25">
      <c r="A54" s="1320" t="s">
        <v>1099</v>
      </c>
      <c r="B54" s="1320"/>
      <c r="C54" s="1320"/>
      <c r="D54" s="1320"/>
      <c r="E54" s="1320"/>
      <c r="F54" s="1320"/>
      <c r="G54" s="1320"/>
      <c r="H54" s="1320"/>
      <c r="I54" s="1320"/>
      <c r="J54" s="1320"/>
      <c r="K54" s="1320"/>
      <c r="L54" s="1320"/>
      <c r="M54" s="1320"/>
    </row>
    <row r="55" spans="1:13" ht="25.5" customHeight="1" x14ac:dyDescent="0.25">
      <c r="A55" s="1320" t="s">
        <v>1168</v>
      </c>
      <c r="B55" s="1320"/>
      <c r="C55" s="1320"/>
      <c r="D55" s="1320"/>
      <c r="E55" s="1320"/>
      <c r="F55" s="1320"/>
      <c r="G55" s="1320"/>
      <c r="H55" s="1320"/>
      <c r="I55" s="1320"/>
      <c r="J55" s="1320"/>
      <c r="K55" s="1320"/>
      <c r="L55" s="1320"/>
      <c r="M55" s="1320"/>
    </row>
    <row r="56" spans="1:13" ht="12.75" customHeight="1" x14ac:dyDescent="0.25">
      <c r="A56" s="1314" t="s">
        <v>1169</v>
      </c>
      <c r="B56" s="1314"/>
      <c r="C56" s="1314"/>
      <c r="D56" s="1314"/>
      <c r="E56" s="1314"/>
      <c r="F56" s="1314"/>
      <c r="G56" s="1314"/>
      <c r="H56" s="1314"/>
      <c r="I56" s="1314"/>
      <c r="J56" s="1314"/>
      <c r="K56" s="1314"/>
      <c r="L56" s="1314"/>
      <c r="M56" s="1314"/>
    </row>
    <row r="57" spans="1:13" ht="12.75" customHeight="1" x14ac:dyDescent="0.25">
      <c r="A57" s="1314" t="s">
        <v>1170</v>
      </c>
      <c r="B57" s="1314"/>
      <c r="C57" s="1314"/>
      <c r="D57" s="1314"/>
      <c r="E57" s="1314"/>
      <c r="F57" s="1314"/>
      <c r="G57" s="1314"/>
      <c r="H57" s="1314"/>
      <c r="I57" s="1314"/>
      <c r="J57" s="1314"/>
      <c r="K57" s="1314"/>
      <c r="L57" s="1314"/>
      <c r="M57" s="1314"/>
    </row>
    <row r="58" spans="1:13" ht="12.75" customHeight="1" x14ac:dyDescent="0.25">
      <c r="A58" s="99" t="s">
        <v>1171</v>
      </c>
      <c r="B58" s="160"/>
      <c r="C58" s="96"/>
      <c r="D58" s="96"/>
      <c r="E58" s="96"/>
      <c r="F58" s="96"/>
      <c r="G58" s="96"/>
      <c r="H58" s="96"/>
      <c r="I58" s="96"/>
      <c r="J58" s="96"/>
      <c r="K58" s="96"/>
      <c r="L58" s="96"/>
      <c r="M58" s="96"/>
    </row>
    <row r="59" spans="1:13" ht="27.75" customHeight="1" x14ac:dyDescent="0.25">
      <c r="A59" s="1314" t="s">
        <v>1172</v>
      </c>
      <c r="B59" s="1314"/>
      <c r="C59" s="1314"/>
      <c r="D59" s="1314"/>
      <c r="E59" s="1314"/>
      <c r="F59" s="1314"/>
      <c r="G59" s="1314"/>
      <c r="H59" s="1314"/>
      <c r="I59" s="1314"/>
      <c r="J59" s="1314"/>
      <c r="K59" s="1314"/>
      <c r="L59" s="1314"/>
      <c r="M59" s="1314"/>
    </row>
    <row r="60" spans="1:13" ht="12.75" customHeight="1" x14ac:dyDescent="0.25">
      <c r="A60" s="99" t="s">
        <v>646</v>
      </c>
      <c r="B60" s="93"/>
      <c r="C60" s="96"/>
      <c r="D60" s="96"/>
      <c r="E60" s="96"/>
      <c r="F60" s="96"/>
      <c r="G60" s="96"/>
      <c r="H60" s="96"/>
      <c r="I60" s="96"/>
      <c r="J60" s="96"/>
      <c r="K60" s="96"/>
      <c r="L60" s="96"/>
      <c r="M60" s="96"/>
    </row>
    <row r="61" spans="1:13" ht="12.75" customHeight="1" x14ac:dyDescent="0.25">
      <c r="A61" s="1314" t="s">
        <v>647</v>
      </c>
      <c r="B61" s="1314"/>
      <c r="C61" s="1314"/>
      <c r="D61" s="1314"/>
      <c r="E61" s="1314"/>
      <c r="F61" s="1314"/>
      <c r="G61" s="1314"/>
      <c r="H61" s="1314"/>
      <c r="I61" s="1314"/>
      <c r="J61" s="1314"/>
      <c r="K61" s="1314"/>
      <c r="L61" s="1314"/>
      <c r="M61" s="1314"/>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724</v>
      </c>
      <c r="B63" s="93"/>
      <c r="C63" s="102">
        <f t="shared" ref="C63:M63" si="12">C44-C50</f>
        <v>0</v>
      </c>
      <c r="D63" s="102">
        <f t="shared" si="12"/>
        <v>0</v>
      </c>
      <c r="E63" s="102">
        <f t="shared" si="12"/>
        <v>0</v>
      </c>
      <c r="F63" s="102">
        <f t="shared" si="12"/>
        <v>0</v>
      </c>
      <c r="G63" s="102">
        <f t="shared" si="12"/>
        <v>0</v>
      </c>
      <c r="H63" s="102">
        <f t="shared" si="12"/>
        <v>0</v>
      </c>
      <c r="I63" s="102">
        <f t="shared" si="12"/>
        <v>0</v>
      </c>
      <c r="J63" s="102">
        <f t="shared" si="12"/>
        <v>0</v>
      </c>
      <c r="K63" s="102">
        <f t="shared" si="12"/>
        <v>0</v>
      </c>
      <c r="L63" s="102">
        <f t="shared" si="12"/>
        <v>0</v>
      </c>
      <c r="M63" s="102">
        <f t="shared" si="12"/>
        <v>0</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11" activePane="bottomRight" state="frozen"/>
      <selection activeCell="C6" sqref="C6"/>
      <selection pane="topRight" activeCell="C6" sqref="C6"/>
      <selection pane="bottomLeft" activeCell="C6" sqref="C6"/>
      <selection pane="bottomRight" activeCell="K16" sqref="K16"/>
    </sheetView>
  </sheetViews>
  <sheetFormatPr defaultRowHeight="12.75" x14ac:dyDescent="0.25"/>
  <cols>
    <col min="1" max="1" width="36" style="5" bestFit="1" customWidth="1"/>
    <col min="2" max="2" width="3.140625" style="58" customWidth="1"/>
    <col min="3" max="13" width="8.710937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x14ac:dyDescent="0.25">
      <c r="A1" s="57" t="str">
        <f>muni&amp;" - "&amp;_ADJ7&amp;" - "&amp;Date</f>
        <v>LIM354 Polokwane - Table B7 Adjustments Budget Cash Flows - 25 February 2016</v>
      </c>
      <c r="B1" s="5"/>
      <c r="C1" s="58"/>
    </row>
    <row r="2" spans="1:21" ht="38.25" x14ac:dyDescent="0.25">
      <c r="A2" s="1318" t="str">
        <f>desc</f>
        <v>Description</v>
      </c>
      <c r="B2" s="1318" t="str">
        <f>head27</f>
        <v>Ref</v>
      </c>
      <c r="C2" s="1315" t="str">
        <f>Head2</f>
        <v>Budget Year 2015/16</v>
      </c>
      <c r="D2" s="1316"/>
      <c r="E2" s="1316"/>
      <c r="F2" s="1316"/>
      <c r="G2" s="1316"/>
      <c r="H2" s="1316"/>
      <c r="I2" s="1316"/>
      <c r="J2" s="1316"/>
      <c r="K2" s="1316"/>
      <c r="L2" s="103" t="str">
        <f>Head10</f>
        <v>Budget Year +1 2016/17</v>
      </c>
      <c r="M2" s="61" t="str">
        <f>Head11</f>
        <v>Budget Year +2 2017/18</v>
      </c>
    </row>
    <row r="3" spans="1:21" ht="25.5" x14ac:dyDescent="0.25">
      <c r="A3" s="1319"/>
      <c r="B3" s="13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319"/>
      <c r="B4" s="1319"/>
      <c r="C4" s="65"/>
      <c r="D4" s="15">
        <v>3</v>
      </c>
      <c r="E4" s="15">
        <v>4</v>
      </c>
      <c r="F4" s="15">
        <v>5</v>
      </c>
      <c r="G4" s="15">
        <v>6</v>
      </c>
      <c r="H4" s="15">
        <v>7</v>
      </c>
      <c r="I4" s="15">
        <v>8</v>
      </c>
      <c r="J4" s="15">
        <v>9</v>
      </c>
      <c r="K4" s="15">
        <v>10</v>
      </c>
      <c r="L4" s="15"/>
      <c r="M4" s="17"/>
    </row>
    <row r="5" spans="1:21" ht="13.5" x14ac:dyDescent="0.25">
      <c r="A5" s="66" t="s">
        <v>641</v>
      </c>
      <c r="B5" s="104"/>
      <c r="C5" s="67" t="s">
        <v>581</v>
      </c>
      <c r="D5" s="68" t="s">
        <v>582</v>
      </c>
      <c r="E5" s="68" t="s">
        <v>583</v>
      </c>
      <c r="F5" s="69" t="s">
        <v>584</v>
      </c>
      <c r="G5" s="69" t="s">
        <v>585</v>
      </c>
      <c r="H5" s="69" t="s">
        <v>586</v>
      </c>
      <c r="I5" s="70" t="s">
        <v>587</v>
      </c>
      <c r="J5" s="70" t="s">
        <v>588</v>
      </c>
      <c r="K5" s="70" t="s">
        <v>589</v>
      </c>
      <c r="L5" s="70"/>
      <c r="M5" s="71"/>
      <c r="N5"/>
      <c r="O5"/>
      <c r="P5"/>
      <c r="Q5"/>
      <c r="R5"/>
      <c r="S5"/>
      <c r="T5"/>
      <c r="U5"/>
    </row>
    <row r="6" spans="1:21" ht="12.75" customHeight="1" x14ac:dyDescent="0.25">
      <c r="A6" s="139" t="s">
        <v>773</v>
      </c>
      <c r="B6" s="73"/>
      <c r="C6" s="74"/>
      <c r="D6" s="75"/>
      <c r="E6" s="75"/>
      <c r="F6" s="75"/>
      <c r="G6" s="75"/>
      <c r="H6" s="75"/>
      <c r="I6" s="75"/>
      <c r="J6" s="75"/>
      <c r="K6" s="75"/>
      <c r="L6" s="75"/>
      <c r="M6" s="76"/>
      <c r="N6"/>
      <c r="O6"/>
      <c r="P6"/>
      <c r="Q6"/>
      <c r="R6"/>
      <c r="S6"/>
      <c r="T6"/>
      <c r="U6"/>
    </row>
    <row r="7" spans="1:21" ht="12.75" customHeight="1" x14ac:dyDescent="0.25">
      <c r="A7" s="139" t="s">
        <v>774</v>
      </c>
      <c r="B7" s="73"/>
      <c r="C7" s="74"/>
      <c r="D7" s="75"/>
      <c r="E7" s="75"/>
      <c r="F7" s="75"/>
      <c r="G7" s="75"/>
      <c r="H7" s="75"/>
      <c r="I7" s="75"/>
      <c r="J7" s="75"/>
      <c r="K7" s="75"/>
      <c r="L7" s="75"/>
      <c r="M7" s="76"/>
      <c r="N7"/>
      <c r="O7"/>
      <c r="P7"/>
      <c r="Q7"/>
      <c r="R7"/>
      <c r="S7"/>
      <c r="T7"/>
      <c r="U7"/>
    </row>
    <row r="8" spans="1:21" ht="12.75" customHeight="1" x14ac:dyDescent="0.25">
      <c r="A8" s="597" t="s">
        <v>1608</v>
      </c>
      <c r="B8" s="73"/>
      <c r="C8" s="130">
        <v>299229519.60000002</v>
      </c>
      <c r="D8" s="109"/>
      <c r="E8" s="109"/>
      <c r="F8" s="109"/>
      <c r="G8" s="109"/>
      <c r="H8" s="109"/>
      <c r="I8" s="109">
        <f>-'B4-FinPerf RE'!K7*0.24</f>
        <v>-75360058.560000002</v>
      </c>
      <c r="J8" s="75">
        <f>SUM(E8:I8)</f>
        <v>-75360058.560000002</v>
      </c>
      <c r="K8" s="75">
        <f>IF(D8=0,C8+J8,D8+J8)</f>
        <v>223869461.04000002</v>
      </c>
      <c r="L8" s="109">
        <v>337032182.24280006</v>
      </c>
      <c r="M8" s="110">
        <v>353883791.35494006</v>
      </c>
      <c r="N8"/>
      <c r="O8"/>
      <c r="P8"/>
      <c r="Q8"/>
      <c r="R8"/>
      <c r="S8"/>
      <c r="T8"/>
      <c r="U8"/>
    </row>
    <row r="9" spans="1:21" ht="12.75" customHeight="1" x14ac:dyDescent="0.25">
      <c r="A9" s="597" t="s">
        <v>592</v>
      </c>
      <c r="B9" s="73"/>
      <c r="C9" s="130">
        <v>1018862238.27522</v>
      </c>
      <c r="D9" s="109"/>
      <c r="E9" s="109"/>
      <c r="F9" s="109"/>
      <c r="G9" s="109"/>
      <c r="H9" s="109">
        <v>0</v>
      </c>
      <c r="I9" s="109">
        <f>-35133180.63018</f>
        <v>-35133180.630180001</v>
      </c>
      <c r="J9" s="75">
        <f t="shared" ref="J9:J14" si="0">SUM(E9:I9)</f>
        <v>-35133180.630180001</v>
      </c>
      <c r="K9" s="75">
        <f t="shared" ref="K9:K14" si="1">IF(D9=0,C9+J9,D9+J9)</f>
        <v>983729057.64504004</v>
      </c>
      <c r="L9" s="109">
        <v>1183825119.2250879</v>
      </c>
      <c r="M9" s="110">
        <v>1285528240.2062581</v>
      </c>
      <c r="N9"/>
      <c r="O9"/>
      <c r="P9"/>
      <c r="Q9"/>
      <c r="R9"/>
      <c r="S9"/>
      <c r="T9"/>
      <c r="U9"/>
    </row>
    <row r="10" spans="1:21" ht="12.75" customHeight="1" x14ac:dyDescent="0.25">
      <c r="A10" s="597" t="s">
        <v>695</v>
      </c>
      <c r="B10" s="73"/>
      <c r="C10" s="130">
        <v>116710048.31999999</v>
      </c>
      <c r="D10" s="109"/>
      <c r="E10" s="109"/>
      <c r="F10" s="109"/>
      <c r="G10" s="109"/>
      <c r="H10" s="109"/>
      <c r="I10" s="109">
        <v>1000</v>
      </c>
      <c r="J10" s="75">
        <f t="shared" si="0"/>
        <v>1000</v>
      </c>
      <c r="K10" s="75">
        <f t="shared" si="1"/>
        <v>116711048.31999999</v>
      </c>
      <c r="L10" s="109">
        <v>89460241.783746511</v>
      </c>
      <c r="M10" s="110">
        <v>96078437.012953654</v>
      </c>
      <c r="N10"/>
      <c r="O10"/>
      <c r="P10"/>
      <c r="Q10"/>
      <c r="R10"/>
      <c r="S10"/>
      <c r="T10"/>
      <c r="U10"/>
    </row>
    <row r="11" spans="1:21" ht="12.75" customHeight="1" x14ac:dyDescent="0.25">
      <c r="A11" s="129" t="s">
        <v>775</v>
      </c>
      <c r="B11" s="73">
        <v>1</v>
      </c>
      <c r="C11" s="130">
        <v>679560000</v>
      </c>
      <c r="D11" s="109"/>
      <c r="E11" s="109"/>
      <c r="F11" s="109"/>
      <c r="G11" s="109"/>
      <c r="H11" s="109">
        <v>-156700000</v>
      </c>
      <c r="I11" s="109"/>
      <c r="J11" s="75">
        <f t="shared" si="0"/>
        <v>-156700000</v>
      </c>
      <c r="K11" s="75">
        <f t="shared" si="1"/>
        <v>522860000</v>
      </c>
      <c r="L11" s="109">
        <v>665756000</v>
      </c>
      <c r="M11" s="110">
        <v>716327000</v>
      </c>
      <c r="N11"/>
      <c r="O11"/>
      <c r="P11"/>
      <c r="Q11"/>
      <c r="R11"/>
      <c r="S11"/>
      <c r="T11"/>
      <c r="U11"/>
    </row>
    <row r="12" spans="1:21" ht="12.75" customHeight="1" x14ac:dyDescent="0.25">
      <c r="A12" s="129" t="s">
        <v>776</v>
      </c>
      <c r="B12" s="73">
        <v>1</v>
      </c>
      <c r="C12" s="130">
        <v>465588000</v>
      </c>
      <c r="D12" s="109"/>
      <c r="E12" s="109"/>
      <c r="F12" s="109"/>
      <c r="G12" s="109"/>
      <c r="H12" s="109">
        <v>5366300</v>
      </c>
      <c r="I12" s="109">
        <v>-38243000</v>
      </c>
      <c r="J12" s="75">
        <f t="shared" si="0"/>
        <v>-32876700</v>
      </c>
      <c r="K12" s="75">
        <f t="shared" si="1"/>
        <v>432711300</v>
      </c>
      <c r="L12" s="109">
        <v>425198041.39999998</v>
      </c>
      <c r="M12" s="110">
        <v>437608034.0582</v>
      </c>
      <c r="N12"/>
      <c r="O12"/>
      <c r="P12"/>
      <c r="Q12"/>
      <c r="R12"/>
      <c r="S12"/>
      <c r="T12"/>
      <c r="U12"/>
    </row>
    <row r="13" spans="1:21" ht="12.75" customHeight="1" x14ac:dyDescent="0.25">
      <c r="A13" s="129" t="s">
        <v>777</v>
      </c>
      <c r="B13" s="73"/>
      <c r="C13" s="130">
        <v>58404000</v>
      </c>
      <c r="D13" s="109"/>
      <c r="E13" s="109"/>
      <c r="F13" s="109"/>
      <c r="G13" s="109"/>
      <c r="H13" s="109"/>
      <c r="I13" s="109"/>
      <c r="J13" s="75">
        <f t="shared" si="0"/>
        <v>0</v>
      </c>
      <c r="K13" s="75">
        <f t="shared" si="1"/>
        <v>58404000</v>
      </c>
      <c r="L13" s="109">
        <v>62200260</v>
      </c>
      <c r="M13" s="110">
        <v>66118876.380000003</v>
      </c>
      <c r="N13"/>
      <c r="O13"/>
      <c r="P13"/>
      <c r="Q13"/>
      <c r="R13"/>
      <c r="S13"/>
      <c r="T13"/>
      <c r="U13"/>
    </row>
    <row r="14" spans="1:21" ht="12.75" customHeight="1" x14ac:dyDescent="0.25">
      <c r="A14" s="129" t="s">
        <v>778</v>
      </c>
      <c r="B14" s="73"/>
      <c r="C14" s="130"/>
      <c r="D14" s="109"/>
      <c r="E14" s="109"/>
      <c r="F14" s="109"/>
      <c r="G14" s="109"/>
      <c r="H14" s="109"/>
      <c r="I14" s="109"/>
      <c r="J14" s="75">
        <f t="shared" si="0"/>
        <v>0</v>
      </c>
      <c r="K14" s="75">
        <f t="shared" si="1"/>
        <v>0</v>
      </c>
      <c r="L14" s="109"/>
      <c r="M14" s="110"/>
      <c r="N14"/>
      <c r="O14"/>
      <c r="P14"/>
      <c r="Q14"/>
      <c r="R14"/>
      <c r="S14"/>
      <c r="T14"/>
      <c r="U14"/>
    </row>
    <row r="15" spans="1:21" ht="12.75" customHeight="1" x14ac:dyDescent="0.25">
      <c r="A15" s="139" t="s">
        <v>779</v>
      </c>
      <c r="B15" s="73"/>
      <c r="C15" s="74"/>
      <c r="D15" s="75"/>
      <c r="E15" s="75"/>
      <c r="F15" s="75"/>
      <c r="G15" s="75"/>
      <c r="H15" s="75"/>
      <c r="I15" s="75"/>
      <c r="J15" s="75"/>
      <c r="K15" s="75"/>
      <c r="L15" s="75"/>
      <c r="M15" s="76"/>
      <c r="N15"/>
      <c r="O15"/>
      <c r="P15"/>
      <c r="Q15"/>
      <c r="R15"/>
      <c r="S15"/>
      <c r="T15"/>
      <c r="U15"/>
    </row>
    <row r="16" spans="1:21" ht="12.75" customHeight="1" x14ac:dyDescent="0.25">
      <c r="A16" s="129" t="s">
        <v>780</v>
      </c>
      <c r="B16" s="73"/>
      <c r="C16" s="130">
        <v>-1901931653.454</v>
      </c>
      <c r="D16" s="109"/>
      <c r="E16" s="109"/>
      <c r="F16" s="109"/>
      <c r="G16" s="109"/>
      <c r="H16" s="109"/>
      <c r="I16" s="109">
        <f>-C16*0.05</f>
        <v>95096582.672700003</v>
      </c>
      <c r="J16" s="75">
        <f>SUM(E16:I16)</f>
        <v>95096582.672700003</v>
      </c>
      <c r="K16" s="75">
        <f>IF(D16=0,C16+J16,D16+J16)</f>
        <v>-1806835070.7813001</v>
      </c>
      <c r="L16" s="109">
        <v>-1964386814.6993685</v>
      </c>
      <c r="M16" s="110">
        <v>-2058684450.0937879</v>
      </c>
      <c r="N16"/>
      <c r="O16"/>
      <c r="P16"/>
      <c r="Q16"/>
      <c r="R16"/>
      <c r="S16"/>
      <c r="T16"/>
      <c r="U16"/>
    </row>
    <row r="17" spans="1:21" ht="12.75" customHeight="1" x14ac:dyDescent="0.25">
      <c r="A17" s="30" t="s">
        <v>599</v>
      </c>
      <c r="B17" s="73"/>
      <c r="C17" s="130">
        <v>-37000000</v>
      </c>
      <c r="D17" s="109"/>
      <c r="E17" s="109"/>
      <c r="F17" s="109"/>
      <c r="G17" s="109"/>
      <c r="H17" s="109"/>
      <c r="I17" s="109"/>
      <c r="J17" s="75">
        <f>SUM(E17:I17)</f>
        <v>0</v>
      </c>
      <c r="K17" s="75">
        <f>IF(D17=0,C17+J17,D17+J17)</f>
        <v>-37000000</v>
      </c>
      <c r="L17" s="109">
        <v>-39404984.979999989</v>
      </c>
      <c r="M17" s="110">
        <v>-41887483.493740007</v>
      </c>
      <c r="N17"/>
      <c r="O17"/>
      <c r="P17"/>
      <c r="Q17"/>
      <c r="R17"/>
      <c r="S17"/>
      <c r="T17"/>
      <c r="U17"/>
    </row>
    <row r="18" spans="1:21" ht="12.75" customHeight="1" x14ac:dyDescent="0.25">
      <c r="A18" s="30" t="s">
        <v>1280</v>
      </c>
      <c r="B18" s="73">
        <v>1</v>
      </c>
      <c r="C18" s="130">
        <v>-6480000</v>
      </c>
      <c r="D18" s="109"/>
      <c r="E18" s="109"/>
      <c r="F18" s="109"/>
      <c r="G18" s="109"/>
      <c r="H18" s="109"/>
      <c r="I18" s="109">
        <v>-10700000</v>
      </c>
      <c r="J18" s="75">
        <f>SUM(E18:I18)</f>
        <v>-10700000</v>
      </c>
      <c r="K18" s="75">
        <f>IF(D18=0,C18+J18,D18+J18)</f>
        <v>-17180000</v>
      </c>
      <c r="L18" s="109">
        <v>-6901200</v>
      </c>
      <c r="M18" s="110">
        <v>-7335975.5999999996</v>
      </c>
      <c r="N18"/>
      <c r="O18"/>
      <c r="P18"/>
      <c r="Q18"/>
      <c r="R18"/>
      <c r="S18"/>
      <c r="T18"/>
      <c r="U18"/>
    </row>
    <row r="19" spans="1:21" ht="12.75" customHeight="1" x14ac:dyDescent="0.25">
      <c r="A19" s="163" t="s">
        <v>781</v>
      </c>
      <c r="B19" s="79"/>
      <c r="C19" s="80">
        <f>SUM(C8:C14)+SUM(C16:C18)</f>
        <v>692942152.74122</v>
      </c>
      <c r="D19" s="81">
        <f t="shared" ref="D19:I19" si="2">SUM(D8:D14)+SUM(D16:D18)</f>
        <v>0</v>
      </c>
      <c r="E19" s="81">
        <f t="shared" si="2"/>
        <v>0</v>
      </c>
      <c r="F19" s="81">
        <f t="shared" si="2"/>
        <v>0</v>
      </c>
      <c r="G19" s="81">
        <f t="shared" si="2"/>
        <v>0</v>
      </c>
      <c r="H19" s="81">
        <f t="shared" si="2"/>
        <v>-151333700</v>
      </c>
      <c r="I19" s="81">
        <f t="shared" si="2"/>
        <v>-64338656.517480001</v>
      </c>
      <c r="J19" s="81">
        <f>SUM(J8:J18)</f>
        <v>-215672356.51748002</v>
      </c>
      <c r="K19" s="81">
        <f>SUM(K8:K18)</f>
        <v>477269796.2237401</v>
      </c>
      <c r="L19" s="80">
        <f>SUM(L8:L14)+SUM(L16:L18)</f>
        <v>752778844.9722662</v>
      </c>
      <c r="M19" s="80">
        <f>SUM(M8:M14)+SUM(M16:M18)</f>
        <v>847636469.82482409</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782</v>
      </c>
      <c r="B21" s="73"/>
      <c r="C21" s="74"/>
      <c r="D21" s="75"/>
      <c r="E21" s="75"/>
      <c r="F21" s="75"/>
      <c r="G21" s="75"/>
      <c r="H21" s="75"/>
      <c r="I21" s="75"/>
      <c r="J21" s="75"/>
      <c r="K21" s="75"/>
      <c r="L21" s="75"/>
      <c r="M21" s="76"/>
      <c r="O21"/>
      <c r="P21"/>
      <c r="Q21"/>
      <c r="R21"/>
      <c r="S21"/>
      <c r="T21"/>
      <c r="U21"/>
    </row>
    <row r="22" spans="1:21" ht="12.75" customHeight="1" x14ac:dyDescent="0.25">
      <c r="A22" s="139" t="s">
        <v>774</v>
      </c>
      <c r="B22" s="73"/>
      <c r="C22" s="74"/>
      <c r="D22" s="75"/>
      <c r="E22" s="75"/>
      <c r="F22" s="75"/>
      <c r="G22" s="75"/>
      <c r="H22" s="75"/>
      <c r="I22" s="75"/>
      <c r="J22" s="75"/>
      <c r="K22" s="75"/>
      <c r="L22" s="75"/>
      <c r="M22" s="76"/>
      <c r="O22"/>
      <c r="P22"/>
      <c r="Q22"/>
      <c r="R22"/>
      <c r="S22"/>
      <c r="T22"/>
      <c r="U22"/>
    </row>
    <row r="23" spans="1:21" ht="12.75" customHeight="1" x14ac:dyDescent="0.25">
      <c r="A23" s="129" t="s">
        <v>783</v>
      </c>
      <c r="B23" s="73"/>
      <c r="C23" s="130">
        <v>21140000</v>
      </c>
      <c r="D23" s="109"/>
      <c r="E23" s="109"/>
      <c r="F23" s="109"/>
      <c r="G23" s="109"/>
      <c r="H23" s="109"/>
      <c r="I23" s="109"/>
      <c r="J23" s="75">
        <f>SUM(E23:I23)</f>
        <v>0</v>
      </c>
      <c r="K23" s="75">
        <f>IF(D23=0,C23+J23,D23+J23)</f>
        <v>21140000</v>
      </c>
      <c r="L23" s="109"/>
      <c r="M23" s="110"/>
      <c r="O23"/>
      <c r="P23"/>
      <c r="Q23"/>
      <c r="R23"/>
      <c r="S23"/>
      <c r="T23"/>
      <c r="U23"/>
    </row>
    <row r="24" spans="1:21" ht="12.75" customHeight="1" x14ac:dyDescent="0.25">
      <c r="A24" s="129" t="s">
        <v>784</v>
      </c>
      <c r="B24" s="73"/>
      <c r="C24" s="130">
        <v>400000</v>
      </c>
      <c r="D24" s="109"/>
      <c r="E24" s="109"/>
      <c r="F24" s="109"/>
      <c r="G24" s="109"/>
      <c r="H24" s="109"/>
      <c r="I24" s="109"/>
      <c r="J24" s="75">
        <f>SUM(E24:I24)</f>
        <v>0</v>
      </c>
      <c r="K24" s="75">
        <f>IF(D24=0,C24+J24,D24+J24)</f>
        <v>400000</v>
      </c>
      <c r="L24" s="109">
        <v>405000</v>
      </c>
      <c r="M24" s="110">
        <v>410000</v>
      </c>
      <c r="O24"/>
      <c r="P24"/>
      <c r="Q24"/>
      <c r="R24"/>
      <c r="S24"/>
      <c r="T24"/>
      <c r="U24"/>
    </row>
    <row r="25" spans="1:21" ht="12.75" customHeight="1" x14ac:dyDescent="0.25">
      <c r="A25" s="129" t="s">
        <v>790</v>
      </c>
      <c r="B25" s="115"/>
      <c r="C25" s="130"/>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9" t="s">
        <v>791</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779</v>
      </c>
      <c r="B27" s="73"/>
      <c r="C27" s="74"/>
      <c r="D27" s="75"/>
      <c r="E27" s="75"/>
      <c r="F27" s="75"/>
      <c r="G27" s="75"/>
      <c r="H27" s="75"/>
      <c r="I27" s="75"/>
      <c r="J27" s="75"/>
      <c r="K27" s="75"/>
      <c r="L27" s="75"/>
      <c r="M27" s="76"/>
      <c r="O27"/>
      <c r="P27"/>
      <c r="Q27"/>
      <c r="R27"/>
      <c r="S27"/>
      <c r="T27"/>
      <c r="U27"/>
    </row>
    <row r="28" spans="1:21" ht="12.75" customHeight="1" x14ac:dyDescent="0.25">
      <c r="A28" s="129" t="s">
        <v>792</v>
      </c>
      <c r="B28" s="73"/>
      <c r="C28" s="130">
        <v>-580121000</v>
      </c>
      <c r="D28" s="109">
        <v>0</v>
      </c>
      <c r="E28" s="109">
        <v>0</v>
      </c>
      <c r="F28" s="109"/>
      <c r="G28" s="109"/>
      <c r="H28" s="109">
        <v>-42677088.57</v>
      </c>
      <c r="I28" s="109"/>
      <c r="J28" s="75">
        <f>SUM(E28:I28)</f>
        <v>-42677088.57</v>
      </c>
      <c r="K28" s="75">
        <f>IF(D28=0,C28+J28,D28+J28)</f>
        <v>-622798088.57000005</v>
      </c>
      <c r="L28" s="109">
        <v>-632618000</v>
      </c>
      <c r="M28" s="110">
        <v>-679731000</v>
      </c>
      <c r="O28"/>
      <c r="P28"/>
      <c r="Q28"/>
      <c r="R28"/>
      <c r="S28"/>
      <c r="T28"/>
      <c r="U28"/>
    </row>
    <row r="29" spans="1:21" ht="12.75" customHeight="1" x14ac:dyDescent="0.25">
      <c r="A29" s="163" t="s">
        <v>793</v>
      </c>
      <c r="B29" s="79"/>
      <c r="C29" s="80">
        <f>SUM(C23:C26)+C28</f>
        <v>-558581000</v>
      </c>
      <c r="D29" s="81">
        <f t="shared" ref="D29:I29" si="3">SUM(D23:D26)+D28</f>
        <v>0</v>
      </c>
      <c r="E29" s="81">
        <f t="shared" si="3"/>
        <v>0</v>
      </c>
      <c r="F29" s="81">
        <f t="shared" si="3"/>
        <v>0</v>
      </c>
      <c r="G29" s="81">
        <f t="shared" si="3"/>
        <v>0</v>
      </c>
      <c r="H29" s="81">
        <f t="shared" si="3"/>
        <v>-42677088.57</v>
      </c>
      <c r="I29" s="81">
        <f t="shared" si="3"/>
        <v>0</v>
      </c>
      <c r="J29" s="81">
        <f>SUM(J23:J28)</f>
        <v>-42677088.57</v>
      </c>
      <c r="K29" s="81">
        <f>SUM(K23:K28)</f>
        <v>-601258088.57000005</v>
      </c>
      <c r="L29" s="81">
        <f>SUM(L23:L26)+L28</f>
        <v>-632213000</v>
      </c>
      <c r="M29" s="82">
        <f>SUM(M23:M26)+M28</f>
        <v>-679321000</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794</v>
      </c>
      <c r="B31" s="73"/>
      <c r="C31" s="74"/>
      <c r="D31" s="75"/>
      <c r="E31" s="75"/>
      <c r="F31" s="75"/>
      <c r="G31" s="75"/>
      <c r="H31" s="75"/>
      <c r="I31" s="75"/>
      <c r="J31" s="75"/>
      <c r="K31" s="75"/>
      <c r="L31" s="75"/>
      <c r="M31" s="76"/>
      <c r="O31"/>
      <c r="P31"/>
      <c r="Q31"/>
      <c r="R31"/>
      <c r="S31"/>
      <c r="T31"/>
      <c r="U31"/>
    </row>
    <row r="32" spans="1:21" ht="12.75" customHeight="1" x14ac:dyDescent="0.25">
      <c r="A32" s="139" t="s">
        <v>774</v>
      </c>
      <c r="B32" s="73"/>
      <c r="C32" s="74"/>
      <c r="D32" s="75"/>
      <c r="E32" s="75"/>
      <c r="F32" s="75"/>
      <c r="G32" s="75"/>
      <c r="H32" s="75"/>
      <c r="I32" s="75"/>
      <c r="J32" s="75"/>
      <c r="K32" s="75"/>
      <c r="L32" s="75"/>
      <c r="M32" s="76"/>
      <c r="O32"/>
      <c r="P32"/>
      <c r="Q32"/>
      <c r="R32"/>
      <c r="S32"/>
      <c r="T32"/>
      <c r="U32"/>
    </row>
    <row r="33" spans="1:21" ht="12.75" customHeight="1" x14ac:dyDescent="0.25">
      <c r="A33" s="129" t="s">
        <v>795</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796</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1281</v>
      </c>
      <c r="B35" s="73"/>
      <c r="C35" s="130">
        <v>2000000</v>
      </c>
      <c r="D35" s="109"/>
      <c r="E35" s="109"/>
      <c r="F35" s="109"/>
      <c r="G35" s="109"/>
      <c r="H35" s="109"/>
      <c r="I35" s="109"/>
      <c r="J35" s="75">
        <f>SUM(E35:I35)</f>
        <v>0</v>
      </c>
      <c r="K35" s="75">
        <f>IF(D35=0,C35+J35,D35+J35)</f>
        <v>2000000</v>
      </c>
      <c r="L35" s="109">
        <v>2000000</v>
      </c>
      <c r="M35" s="110">
        <v>2000000</v>
      </c>
      <c r="O35"/>
      <c r="P35"/>
      <c r="Q35"/>
      <c r="R35"/>
      <c r="S35"/>
      <c r="T35"/>
      <c r="U35"/>
    </row>
    <row r="36" spans="1:21" ht="12.75" customHeight="1" x14ac:dyDescent="0.25">
      <c r="A36" s="139" t="s">
        <v>779</v>
      </c>
      <c r="B36" s="73"/>
      <c r="C36" s="74"/>
      <c r="D36" s="75"/>
      <c r="E36" s="75"/>
      <c r="F36" s="75"/>
      <c r="G36" s="75"/>
      <c r="H36" s="75"/>
      <c r="I36" s="75"/>
      <c r="J36" s="75"/>
      <c r="K36" s="75"/>
      <c r="L36" s="75"/>
      <c r="M36" s="76"/>
      <c r="O36"/>
      <c r="P36"/>
      <c r="Q36"/>
      <c r="R36"/>
      <c r="S36"/>
      <c r="T36"/>
      <c r="U36"/>
    </row>
    <row r="37" spans="1:21" ht="12.75" customHeight="1" x14ac:dyDescent="0.25">
      <c r="A37" s="129" t="s">
        <v>797</v>
      </c>
      <c r="B37" s="73"/>
      <c r="C37" s="130">
        <v>-58100000</v>
      </c>
      <c r="D37" s="109"/>
      <c r="E37" s="109"/>
      <c r="F37" s="109"/>
      <c r="G37" s="109"/>
      <c r="H37" s="109"/>
      <c r="I37" s="109"/>
      <c r="J37" s="75">
        <f>SUM(E37:I37)</f>
        <v>0</v>
      </c>
      <c r="K37" s="75">
        <f>IF(D37=0,C37+J37,D37+J37)</f>
        <v>-58100000</v>
      </c>
      <c r="L37" s="109">
        <v>-58600000</v>
      </c>
      <c r="M37" s="110">
        <v>-59100000</v>
      </c>
      <c r="O37"/>
      <c r="P37"/>
      <c r="Q37"/>
      <c r="R37"/>
      <c r="S37"/>
      <c r="T37"/>
      <c r="U37"/>
    </row>
    <row r="38" spans="1:21" ht="12.75" customHeight="1" x14ac:dyDescent="0.25">
      <c r="A38" s="163" t="s">
        <v>798</v>
      </c>
      <c r="B38" s="79"/>
      <c r="C38" s="80">
        <f>SUM(C33:C35)+C37</f>
        <v>-56100000</v>
      </c>
      <c r="D38" s="81">
        <f t="shared" ref="D38:I38" si="4">SUM(D33:D35)+D37</f>
        <v>0</v>
      </c>
      <c r="E38" s="81">
        <f t="shared" si="4"/>
        <v>0</v>
      </c>
      <c r="F38" s="81">
        <f t="shared" si="4"/>
        <v>0</v>
      </c>
      <c r="G38" s="81">
        <f t="shared" si="4"/>
        <v>0</v>
      </c>
      <c r="H38" s="81">
        <f t="shared" si="4"/>
        <v>0</v>
      </c>
      <c r="I38" s="81">
        <f t="shared" si="4"/>
        <v>0</v>
      </c>
      <c r="J38" s="81">
        <f>SUM(J33:J37)</f>
        <v>0</v>
      </c>
      <c r="K38" s="81">
        <f>SUM(K33:K37)</f>
        <v>-56100000</v>
      </c>
      <c r="L38" s="81">
        <f>SUM(L33:L35)+L37</f>
        <v>-56600000</v>
      </c>
      <c r="M38" s="82">
        <f>SUM(M33:M35)+M37</f>
        <v>-57100000</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799</v>
      </c>
      <c r="B40" s="73"/>
      <c r="C40" s="140">
        <f>C19+C29+C38</f>
        <v>78261152.741219997</v>
      </c>
      <c r="D40" s="141">
        <f t="shared" ref="D40:M40" si="5">D19+D29+D38</f>
        <v>0</v>
      </c>
      <c r="E40" s="141">
        <f t="shared" si="5"/>
        <v>0</v>
      </c>
      <c r="F40" s="141">
        <f t="shared" si="5"/>
        <v>0</v>
      </c>
      <c r="G40" s="141">
        <f t="shared" si="5"/>
        <v>0</v>
      </c>
      <c r="H40" s="141">
        <f t="shared" si="5"/>
        <v>-194010788.56999999</v>
      </c>
      <c r="I40" s="141">
        <f t="shared" si="5"/>
        <v>-64338656.517480001</v>
      </c>
      <c r="J40" s="141">
        <f t="shared" si="5"/>
        <v>-258349445.08748001</v>
      </c>
      <c r="K40" s="141">
        <f t="shared" si="5"/>
        <v>-180088292.34625995</v>
      </c>
      <c r="L40" s="141">
        <f t="shared" si="5"/>
        <v>63965844.972266197</v>
      </c>
      <c r="M40" s="142">
        <f t="shared" si="5"/>
        <v>111215469.82482409</v>
      </c>
      <c r="O40"/>
      <c r="P40"/>
      <c r="Q40"/>
      <c r="R40"/>
      <c r="S40"/>
      <c r="T40"/>
      <c r="U40"/>
    </row>
    <row r="41" spans="1:21" ht="12.75" customHeight="1" x14ac:dyDescent="0.25">
      <c r="A41" s="129" t="s">
        <v>800</v>
      </c>
      <c r="B41" s="73">
        <v>2</v>
      </c>
      <c r="C41" s="130">
        <v>236990405</v>
      </c>
      <c r="D41" s="109"/>
      <c r="E41" s="109"/>
      <c r="F41" s="109"/>
      <c r="G41" s="109"/>
      <c r="H41" s="109"/>
      <c r="I41" s="109">
        <f>322963447.28-236990405</f>
        <v>85973042.279999971</v>
      </c>
      <c r="J41" s="174">
        <f>SUM(E41:I41)</f>
        <v>85973042.279999971</v>
      </c>
      <c r="K41" s="75">
        <f>IF(D41=0,C41+J41,D41+J41)</f>
        <v>322963447.27999997</v>
      </c>
      <c r="L41" s="109">
        <f>K42</f>
        <v>142875154.93374002</v>
      </c>
      <c r="M41" s="110">
        <f>L42</f>
        <v>206840999.90600622</v>
      </c>
      <c r="N41"/>
      <c r="O41"/>
      <c r="P41"/>
      <c r="Q41"/>
      <c r="R41"/>
      <c r="S41"/>
      <c r="T41"/>
      <c r="U41"/>
    </row>
    <row r="42" spans="1:21" ht="12.75" customHeight="1" x14ac:dyDescent="0.25">
      <c r="A42" s="176" t="s">
        <v>801</v>
      </c>
      <c r="B42" s="88">
        <v>2</v>
      </c>
      <c r="C42" s="177">
        <f>C40+C41</f>
        <v>315251557.74122</v>
      </c>
      <c r="D42" s="178">
        <f t="shared" ref="D42:J42" si="6">D40+D41</f>
        <v>0</v>
      </c>
      <c r="E42" s="178">
        <f t="shared" si="6"/>
        <v>0</v>
      </c>
      <c r="F42" s="178">
        <f t="shared" si="6"/>
        <v>0</v>
      </c>
      <c r="G42" s="178">
        <f t="shared" si="6"/>
        <v>0</v>
      </c>
      <c r="H42" s="178">
        <f t="shared" si="6"/>
        <v>-194010788.56999999</v>
      </c>
      <c r="I42" s="178">
        <f t="shared" si="6"/>
        <v>21634385.762519971</v>
      </c>
      <c r="J42" s="178">
        <f t="shared" si="6"/>
        <v>-172376402.80748004</v>
      </c>
      <c r="K42" s="178">
        <f>K40+K41</f>
        <v>142875154.93374002</v>
      </c>
      <c r="L42" s="178">
        <f>L40+L41</f>
        <v>206840999.90600622</v>
      </c>
      <c r="M42" s="179">
        <f>M40+M41</f>
        <v>318056469.73083031</v>
      </c>
      <c r="N42"/>
      <c r="O42"/>
      <c r="P42"/>
      <c r="Q42"/>
      <c r="R42"/>
      <c r="S42"/>
      <c r="T42"/>
      <c r="U42"/>
    </row>
    <row r="43" spans="1:21" ht="12.75" customHeight="1" x14ac:dyDescent="0.25">
      <c r="A43" s="158" t="str">
        <f>head27a</f>
        <v>References</v>
      </c>
      <c r="B43" s="93"/>
      <c r="C43" s="180"/>
      <c r="D43" s="180"/>
      <c r="E43" s="180"/>
      <c r="F43" s="180"/>
      <c r="G43" s="180"/>
      <c r="H43" s="180"/>
      <c r="I43" s="180"/>
      <c r="J43" s="180"/>
      <c r="K43" s="180"/>
      <c r="L43" s="180"/>
      <c r="M43" s="180"/>
      <c r="N43"/>
      <c r="O43"/>
      <c r="P43"/>
      <c r="Q43"/>
      <c r="R43"/>
      <c r="S43"/>
      <c r="T43"/>
      <c r="U43"/>
    </row>
    <row r="44" spans="1:21" ht="12.75" customHeight="1" x14ac:dyDescent="0.25">
      <c r="A44" s="120" t="s">
        <v>1180</v>
      </c>
      <c r="B44" s="93"/>
      <c r="C44" s="96"/>
      <c r="D44" s="94"/>
      <c r="E44" s="96"/>
      <c r="F44" s="96"/>
      <c r="G44" s="96"/>
      <c r="H44" s="96"/>
      <c r="I44" s="96"/>
      <c r="J44" s="96"/>
      <c r="K44" s="96"/>
      <c r="L44" s="96"/>
      <c r="M44" s="96"/>
      <c r="N44"/>
      <c r="O44"/>
      <c r="P44"/>
      <c r="Q44"/>
      <c r="R44"/>
      <c r="S44"/>
      <c r="T44"/>
      <c r="U44"/>
    </row>
    <row r="45" spans="1:21" ht="12.75" customHeight="1" x14ac:dyDescent="0.25">
      <c r="A45" s="120" t="s">
        <v>1181</v>
      </c>
      <c r="B45" s="93"/>
      <c r="C45" s="96"/>
      <c r="D45" s="94"/>
      <c r="E45" s="96"/>
      <c r="F45" s="96"/>
      <c r="G45" s="96"/>
      <c r="H45" s="96"/>
      <c r="I45" s="96"/>
      <c r="J45" s="96"/>
      <c r="K45" s="96"/>
      <c r="L45" s="96"/>
      <c r="M45" s="96"/>
      <c r="N45"/>
      <c r="O45"/>
      <c r="P45"/>
      <c r="Q45"/>
      <c r="R45"/>
      <c r="S45"/>
      <c r="T45"/>
      <c r="U45"/>
    </row>
    <row r="46" spans="1:21" ht="12.75" customHeight="1" x14ac:dyDescent="0.25">
      <c r="A46" s="1320" t="s">
        <v>1099</v>
      </c>
      <c r="B46" s="1320"/>
      <c r="C46" s="1320"/>
      <c r="D46" s="1320"/>
      <c r="E46" s="1320"/>
      <c r="F46" s="1320"/>
      <c r="G46" s="1320"/>
      <c r="H46" s="1320"/>
      <c r="I46" s="1320"/>
      <c r="J46" s="1320"/>
      <c r="K46" s="1320"/>
      <c r="L46" s="1320"/>
      <c r="M46" s="1320"/>
      <c r="N46"/>
      <c r="O46"/>
      <c r="P46"/>
      <c r="Q46"/>
      <c r="R46"/>
      <c r="S46"/>
      <c r="T46"/>
      <c r="U46"/>
    </row>
    <row r="47" spans="1:21" ht="25.5" customHeight="1" x14ac:dyDescent="0.25">
      <c r="A47" s="1320" t="s">
        <v>1168</v>
      </c>
      <c r="B47" s="1320"/>
      <c r="C47" s="1320"/>
      <c r="D47" s="1320"/>
      <c r="E47" s="1320"/>
      <c r="F47" s="1320"/>
      <c r="G47" s="1320"/>
      <c r="H47" s="1320"/>
      <c r="I47" s="1320"/>
      <c r="J47" s="1320"/>
      <c r="K47" s="1320"/>
      <c r="L47" s="1320"/>
      <c r="M47" s="1320"/>
      <c r="N47"/>
      <c r="O47"/>
      <c r="P47"/>
      <c r="Q47"/>
      <c r="R47"/>
      <c r="S47"/>
      <c r="T47"/>
      <c r="U47"/>
    </row>
    <row r="48" spans="1:21" ht="12.75" customHeight="1" x14ac:dyDescent="0.25">
      <c r="A48" s="1314" t="s">
        <v>1169</v>
      </c>
      <c r="B48" s="1314"/>
      <c r="C48" s="1314"/>
      <c r="D48" s="1314"/>
      <c r="E48" s="1314"/>
      <c r="F48" s="1314"/>
      <c r="G48" s="1314"/>
      <c r="H48" s="1314"/>
      <c r="I48" s="1314"/>
      <c r="J48" s="1314"/>
      <c r="K48" s="1314"/>
      <c r="L48" s="1314"/>
      <c r="M48" s="1314"/>
      <c r="N48"/>
      <c r="O48"/>
      <c r="P48"/>
      <c r="Q48"/>
      <c r="R48"/>
      <c r="S48"/>
      <c r="T48"/>
      <c r="U48"/>
    </row>
    <row r="49" spans="1:21" ht="12.75" customHeight="1" x14ac:dyDescent="0.25">
      <c r="A49" s="1314" t="s">
        <v>1170</v>
      </c>
      <c r="B49" s="1314"/>
      <c r="C49" s="1314"/>
      <c r="D49" s="1314"/>
      <c r="E49" s="1314"/>
      <c r="F49" s="1314"/>
      <c r="G49" s="1314"/>
      <c r="H49" s="1314"/>
      <c r="I49" s="1314"/>
      <c r="J49" s="1314"/>
      <c r="K49" s="1314"/>
      <c r="L49" s="1314"/>
      <c r="M49" s="1314"/>
      <c r="N49"/>
      <c r="O49"/>
      <c r="P49"/>
      <c r="Q49"/>
      <c r="R49"/>
      <c r="S49"/>
      <c r="T49"/>
      <c r="U49"/>
    </row>
    <row r="50" spans="1:21" ht="12.75" customHeight="1" x14ac:dyDescent="0.25">
      <c r="A50" s="99" t="s">
        <v>1171</v>
      </c>
      <c r="B50" s="93"/>
      <c r="C50" s="96"/>
      <c r="D50" s="96"/>
      <c r="E50" s="96"/>
      <c r="F50" s="96"/>
      <c r="G50" s="96"/>
      <c r="H50" s="96"/>
      <c r="I50" s="96"/>
      <c r="J50" s="96"/>
      <c r="K50" s="96"/>
      <c r="L50" s="96"/>
      <c r="M50" s="96"/>
      <c r="N50"/>
      <c r="O50"/>
      <c r="P50"/>
      <c r="Q50"/>
      <c r="R50"/>
      <c r="S50"/>
      <c r="T50"/>
      <c r="U50"/>
    </row>
    <row r="51" spans="1:21" ht="25.5" customHeight="1" x14ac:dyDescent="0.25">
      <c r="A51" s="1314" t="s">
        <v>1172</v>
      </c>
      <c r="B51" s="1314"/>
      <c r="C51" s="1314"/>
      <c r="D51" s="1314"/>
      <c r="E51" s="1314"/>
      <c r="F51" s="1314"/>
      <c r="G51" s="1314"/>
      <c r="H51" s="1314"/>
      <c r="I51" s="1314"/>
      <c r="J51" s="1314"/>
      <c r="K51" s="1314"/>
      <c r="L51" s="1314"/>
      <c r="M51" s="1314"/>
      <c r="N51"/>
      <c r="O51"/>
      <c r="P51"/>
      <c r="Q51"/>
      <c r="R51"/>
      <c r="S51"/>
      <c r="T51"/>
      <c r="U51"/>
    </row>
    <row r="52" spans="1:21" ht="12.75" customHeight="1" x14ac:dyDescent="0.25">
      <c r="A52" s="99" t="s">
        <v>646</v>
      </c>
      <c r="B52" s="93"/>
      <c r="C52" s="96"/>
      <c r="D52" s="96"/>
      <c r="E52" s="96"/>
      <c r="F52" s="96"/>
      <c r="G52" s="96"/>
      <c r="H52" s="96"/>
      <c r="I52" s="96"/>
      <c r="J52" s="96"/>
      <c r="K52" s="96"/>
      <c r="L52" s="96"/>
      <c r="M52" s="96"/>
      <c r="N52"/>
      <c r="O52"/>
      <c r="P52"/>
      <c r="Q52"/>
      <c r="R52"/>
      <c r="S52"/>
      <c r="T52"/>
      <c r="U52"/>
    </row>
    <row r="53" spans="1:21" ht="12.75" customHeight="1" x14ac:dyDescent="0.25">
      <c r="A53" s="1314" t="s">
        <v>647</v>
      </c>
      <c r="B53" s="1314"/>
      <c r="C53" s="1314"/>
      <c r="D53" s="1314"/>
      <c r="E53" s="1314"/>
      <c r="F53" s="1314"/>
      <c r="G53" s="1314"/>
      <c r="H53" s="1314"/>
      <c r="I53" s="1314"/>
      <c r="J53" s="1314"/>
      <c r="K53" s="1314"/>
      <c r="L53" s="1314"/>
      <c r="M53" s="1314"/>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1"/>
      <c r="D55" s="182"/>
      <c r="E55" s="182"/>
      <c r="F55" s="182"/>
      <c r="G55" s="182"/>
      <c r="H55" s="182"/>
      <c r="I55" s="182"/>
      <c r="J55" s="182"/>
      <c r="K55" s="182"/>
      <c r="L55" s="182"/>
      <c r="M55" s="181"/>
      <c r="N55" s="102"/>
      <c r="O55" s="102"/>
      <c r="P55" s="102"/>
    </row>
    <row r="56" spans="1:21" ht="12.75" customHeight="1" x14ac:dyDescent="0.25">
      <c r="A56" s="48"/>
      <c r="B56" s="121"/>
      <c r="C56" s="48"/>
      <c r="D56" s="183"/>
      <c r="E56" s="183"/>
      <c r="F56" s="183"/>
      <c r="G56" s="183"/>
      <c r="H56" s="183"/>
      <c r="I56" s="183"/>
      <c r="J56" s="183"/>
      <c r="K56" s="183"/>
      <c r="L56" s="183"/>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99"/>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M21" sqref="C7:M21"/>
    </sheetView>
  </sheetViews>
  <sheetFormatPr defaultRowHeight="12.75" x14ac:dyDescent="0.25"/>
  <cols>
    <col min="1" max="1" width="36" style="185" bestFit="1" customWidth="1"/>
    <col min="2" max="2" width="3.140625" style="186" customWidth="1"/>
    <col min="3" max="13" width="8.7109375" style="185" customWidth="1"/>
    <col min="14" max="14" width="9.85546875" style="185" customWidth="1"/>
    <col min="15" max="15" width="9.5703125" style="185" customWidth="1"/>
    <col min="16" max="16" width="9.85546875" style="185" customWidth="1"/>
    <col min="17" max="19" width="9.5703125" style="185" customWidth="1"/>
    <col min="20" max="20" width="9.85546875" style="185" customWidth="1"/>
    <col min="21" max="23" width="9.5703125" style="185" customWidth="1"/>
    <col min="24" max="25" width="9.85546875" style="185" customWidth="1"/>
    <col min="26" max="16384" width="9.140625" style="185"/>
  </cols>
  <sheetData>
    <row r="1" spans="1:14" ht="13.5" x14ac:dyDescent="0.25">
      <c r="A1" s="184" t="str">
        <f>muni&amp;" - "&amp;_ADJ8&amp;" - "&amp;Date</f>
        <v>LIM354 Polokwane - Table B8 Cash backed reserves/accumulated surplus reconciliation - 25 February 2016</v>
      </c>
      <c r="B1" s="185"/>
      <c r="C1" s="186"/>
    </row>
    <row r="2" spans="1:14" ht="38.25" x14ac:dyDescent="0.25">
      <c r="A2" s="1339" t="str">
        <f>desc</f>
        <v>Description</v>
      </c>
      <c r="B2" s="1339" t="str">
        <f>head27</f>
        <v>Ref</v>
      </c>
      <c r="C2" s="1341" t="str">
        <f>Head2</f>
        <v>Budget Year 2015/16</v>
      </c>
      <c r="D2" s="1342"/>
      <c r="E2" s="1342"/>
      <c r="F2" s="1342"/>
      <c r="G2" s="1342"/>
      <c r="H2" s="1342"/>
      <c r="I2" s="1342"/>
      <c r="J2" s="1342"/>
      <c r="K2" s="1342"/>
      <c r="L2" s="187" t="str">
        <f>Head10</f>
        <v>Budget Year +1 2016/17</v>
      </c>
      <c r="M2" s="188" t="str">
        <f>Head11</f>
        <v>Budget Year +2 2017/18</v>
      </c>
    </row>
    <row r="3" spans="1:14" ht="25.5" x14ac:dyDescent="0.25">
      <c r="A3" s="1340"/>
      <c r="B3" s="1340"/>
      <c r="C3" s="189" t="str">
        <f>Head6</f>
        <v>Original Budget</v>
      </c>
      <c r="D3" s="190" t="str">
        <f>Head54</f>
        <v>Prior Adjusted</v>
      </c>
      <c r="E3" s="190" t="str">
        <f>Head51</f>
        <v>Accum. Funds</v>
      </c>
      <c r="F3" s="190" t="str">
        <f>Head52</f>
        <v>Multi-year capital</v>
      </c>
      <c r="G3" s="190" t="str">
        <f>Head53</f>
        <v>Unfore. Unavoid.</v>
      </c>
      <c r="H3" s="190" t="str">
        <f>Head55</f>
        <v>Nat. or Prov. Govt</v>
      </c>
      <c r="I3" s="191" t="str">
        <f>Head50</f>
        <v>Other Adjusts.</v>
      </c>
      <c r="J3" s="191" t="str">
        <f>Head56</f>
        <v>Total Adjusts.</v>
      </c>
      <c r="K3" s="191" t="str">
        <f>Head7</f>
        <v>Adjusted Budget</v>
      </c>
      <c r="L3" s="191" t="str">
        <f>Head7</f>
        <v>Adjusted Budget</v>
      </c>
      <c r="M3" s="192" t="str">
        <f>Head7</f>
        <v>Adjusted Budget</v>
      </c>
    </row>
    <row r="4" spans="1:14" x14ac:dyDescent="0.25">
      <c r="A4" s="1340"/>
      <c r="B4" s="1340"/>
      <c r="C4" s="193"/>
      <c r="D4" s="194">
        <v>3</v>
      </c>
      <c r="E4" s="194">
        <v>4</v>
      </c>
      <c r="F4" s="194">
        <v>5</v>
      </c>
      <c r="G4" s="194">
        <v>6</v>
      </c>
      <c r="H4" s="194">
        <v>7</v>
      </c>
      <c r="I4" s="194">
        <v>8</v>
      </c>
      <c r="J4" s="194">
        <v>9</v>
      </c>
      <c r="K4" s="194">
        <v>10</v>
      </c>
      <c r="L4" s="194"/>
      <c r="M4" s="195"/>
    </row>
    <row r="5" spans="1:14" x14ac:dyDescent="0.25">
      <c r="A5" s="196" t="s">
        <v>641</v>
      </c>
      <c r="B5" s="197"/>
      <c r="C5" s="198" t="s">
        <v>581</v>
      </c>
      <c r="D5" s="199" t="s">
        <v>582</v>
      </c>
      <c r="E5" s="199" t="s">
        <v>583</v>
      </c>
      <c r="F5" s="200" t="s">
        <v>584</v>
      </c>
      <c r="G5" s="200" t="s">
        <v>585</v>
      </c>
      <c r="H5" s="200" t="s">
        <v>586</v>
      </c>
      <c r="I5" s="201" t="s">
        <v>587</v>
      </c>
      <c r="J5" s="201" t="s">
        <v>588</v>
      </c>
      <c r="K5" s="201" t="s">
        <v>589</v>
      </c>
      <c r="L5" s="201"/>
      <c r="M5" s="202"/>
    </row>
    <row r="6" spans="1:14" ht="12.75" customHeight="1" x14ac:dyDescent="0.25">
      <c r="A6" s="203" t="s">
        <v>627</v>
      </c>
      <c r="B6" s="204"/>
      <c r="C6" s="205"/>
      <c r="D6" s="138"/>
      <c r="E6" s="138"/>
      <c r="F6" s="138"/>
      <c r="G6" s="138"/>
      <c r="H6" s="138"/>
      <c r="I6" s="138"/>
      <c r="J6" s="138"/>
      <c r="K6" s="138"/>
      <c r="L6" s="138"/>
      <c r="M6" s="206"/>
    </row>
    <row r="7" spans="1:14" ht="12.75" customHeight="1" x14ac:dyDescent="0.25">
      <c r="A7" s="207" t="s">
        <v>625</v>
      </c>
      <c r="B7" s="204">
        <v>1</v>
      </c>
      <c r="C7" s="131">
        <f>'B7-CFlow'!C42</f>
        <v>315251557.74122</v>
      </c>
      <c r="D7" s="132">
        <f>'B7-CFlow'!D42</f>
        <v>0</v>
      </c>
      <c r="E7" s="132">
        <f>'B7-CFlow'!E42</f>
        <v>0</v>
      </c>
      <c r="F7" s="132">
        <f>'B7-CFlow'!F42</f>
        <v>0</v>
      </c>
      <c r="G7" s="132">
        <f>'B7-CFlow'!G42</f>
        <v>0</v>
      </c>
      <c r="H7" s="132">
        <f>'B7-CFlow'!H42</f>
        <v>-194010788.56999999</v>
      </c>
      <c r="I7" s="132">
        <f>'B7-CFlow'!I42</f>
        <v>21634385.762519971</v>
      </c>
      <c r="J7" s="138">
        <f>SUM(E7:I7)</f>
        <v>-172376402.80748004</v>
      </c>
      <c r="K7" s="138">
        <f>IF(D7=0,C7+J7,D7+J7)</f>
        <v>142875154.93373996</v>
      </c>
      <c r="L7" s="132">
        <f>'B7-CFlow'!L42</f>
        <v>206840999.90600622</v>
      </c>
      <c r="M7" s="133">
        <f>'B7-CFlow'!M42</f>
        <v>318056469.73083031</v>
      </c>
    </row>
    <row r="8" spans="1:14" ht="12.75" customHeight="1" x14ac:dyDescent="0.25">
      <c r="A8" s="129" t="s">
        <v>786</v>
      </c>
      <c r="B8" s="643"/>
      <c r="C8" s="131">
        <f>'B6-FinPos'!C8+'B6-FinPos'!C9-'B6-FinPos'!C31-'B8-ResRecon'!C7</f>
        <v>99748442.258780003</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194010788.56999999</v>
      </c>
      <c r="I8" s="131">
        <f>'B6-FinPos'!I8+'B6-FinPos'!I9-'B6-FinPos'!I31-'B8-ResRecon'!I7</f>
        <v>-271634385.76251996</v>
      </c>
      <c r="J8" s="132">
        <f>SUM(E8:I8)</f>
        <v>-77623597.192519963</v>
      </c>
      <c r="K8" s="132">
        <f>IF(D8=0,C8+J8,D8+J8)</f>
        <v>22124845.06626004</v>
      </c>
      <c r="L8" s="132">
        <f>'B6-FinPos'!L8+'B6-FinPos'!L9-'B6-FinPos'!L31-'B8-ResRecon'!L7</f>
        <v>198159000.09399378</v>
      </c>
      <c r="M8" s="133">
        <f>'B6-FinPos'!M8+'B6-FinPos'!M9-'B6-FinPos'!M31-'B8-ResRecon'!M7</f>
        <v>26943530.269169688</v>
      </c>
    </row>
    <row r="9" spans="1:14" ht="12.75" customHeight="1" x14ac:dyDescent="0.25">
      <c r="A9" s="207" t="s">
        <v>803</v>
      </c>
      <c r="B9" s="204">
        <v>1</v>
      </c>
      <c r="C9" s="131">
        <f>'B6-FinPos'!C18</f>
        <v>58999800</v>
      </c>
      <c r="D9" s="132">
        <f>'B6-FinPos'!D18</f>
        <v>0</v>
      </c>
      <c r="E9" s="132">
        <f>'B6-FinPos'!E18</f>
        <v>0</v>
      </c>
      <c r="F9" s="132">
        <f>'B6-FinPos'!F18</f>
        <v>0</v>
      </c>
      <c r="G9" s="132">
        <f>'B6-FinPos'!G18</f>
        <v>0</v>
      </c>
      <c r="H9" s="132">
        <f>'B6-FinPos'!H18</f>
        <v>0</v>
      </c>
      <c r="I9" s="132">
        <f>'B6-FinPos'!I18</f>
        <v>0</v>
      </c>
      <c r="J9" s="132">
        <f>SUM(E9:I9)</f>
        <v>0</v>
      </c>
      <c r="K9" s="132">
        <f>IF(D9=0,C9+J9,D9+J9)</f>
        <v>58999800</v>
      </c>
      <c r="L9" s="132">
        <f>'B6-FinPos'!L18</f>
        <v>58999800</v>
      </c>
      <c r="M9" s="133">
        <f>'B6-FinPos'!M18</f>
        <v>58999800</v>
      </c>
    </row>
    <row r="10" spans="1:14" ht="12.75" customHeight="1" x14ac:dyDescent="0.25">
      <c r="A10" s="208" t="s">
        <v>804</v>
      </c>
      <c r="B10" s="209"/>
      <c r="C10" s="210">
        <f t="shared" ref="C10:M10" si="0">SUM(C7:C9)</f>
        <v>473999800</v>
      </c>
      <c r="D10" s="211">
        <f t="shared" si="0"/>
        <v>0</v>
      </c>
      <c r="E10" s="211">
        <f t="shared" si="0"/>
        <v>0</v>
      </c>
      <c r="F10" s="211">
        <f t="shared" si="0"/>
        <v>0</v>
      </c>
      <c r="G10" s="211">
        <f t="shared" si="0"/>
        <v>0</v>
      </c>
      <c r="H10" s="211">
        <f t="shared" si="0"/>
        <v>0</v>
      </c>
      <c r="I10" s="211">
        <f t="shared" si="0"/>
        <v>-250000000</v>
      </c>
      <c r="J10" s="211">
        <f t="shared" si="0"/>
        <v>-250000000</v>
      </c>
      <c r="K10" s="211">
        <f t="shared" si="0"/>
        <v>223999800</v>
      </c>
      <c r="L10" s="211">
        <f t="shared" si="0"/>
        <v>463999800</v>
      </c>
      <c r="M10" s="212">
        <f t="shared" si="0"/>
        <v>403999800</v>
      </c>
    </row>
    <row r="11" spans="1:14" ht="5.0999999999999996" customHeight="1" x14ac:dyDescent="0.25">
      <c r="A11" s="213"/>
      <c r="B11" s="204"/>
      <c r="C11" s="205"/>
      <c r="D11" s="138"/>
      <c r="E11" s="138"/>
      <c r="F11" s="138"/>
      <c r="G11" s="138"/>
      <c r="H11" s="138"/>
      <c r="I11" s="138"/>
      <c r="J11" s="138"/>
      <c r="K11" s="138"/>
      <c r="L11" s="138"/>
      <c r="M11" s="206"/>
    </row>
    <row r="12" spans="1:14" ht="12.75" customHeight="1" x14ac:dyDescent="0.25">
      <c r="A12" s="203" t="s">
        <v>1278</v>
      </c>
      <c r="B12" s="204"/>
      <c r="C12" s="205"/>
      <c r="D12" s="138"/>
      <c r="E12" s="138"/>
      <c r="F12" s="138"/>
      <c r="G12" s="138"/>
      <c r="H12" s="138"/>
      <c r="I12" s="138"/>
      <c r="J12" s="138"/>
      <c r="K12" s="138"/>
      <c r="L12" s="138"/>
      <c r="M12" s="206"/>
    </row>
    <row r="13" spans="1:14" ht="12.75" customHeight="1" x14ac:dyDescent="0.25">
      <c r="A13" s="207" t="s">
        <v>805</v>
      </c>
      <c r="B13" s="204"/>
      <c r="C13" s="131">
        <f>'SB2'!C33</f>
        <v>330000000</v>
      </c>
      <c r="D13" s="132">
        <f>'SB2'!D33</f>
        <v>0</v>
      </c>
      <c r="E13" s="132">
        <f>'SB2'!E33</f>
        <v>0</v>
      </c>
      <c r="F13" s="132">
        <f>'SB2'!F33</f>
        <v>0</v>
      </c>
      <c r="G13" s="132">
        <f>'SB2'!G33</f>
        <v>0</v>
      </c>
      <c r="H13" s="132">
        <f>'SB2'!H33</f>
        <v>0</v>
      </c>
      <c r="I13" s="132">
        <f>'SB2'!I33</f>
        <v>-312500000</v>
      </c>
      <c r="J13" s="132">
        <f t="shared" ref="J13:J19" si="1">SUM(E13:I13)</f>
        <v>-312500000</v>
      </c>
      <c r="K13" s="132">
        <f>IF(D13=0,C13+J13,D13+J13)</f>
        <v>17500000</v>
      </c>
      <c r="L13" s="132">
        <f>'SB2'!L33</f>
        <v>300000000</v>
      </c>
      <c r="M13" s="133">
        <f>'SB2'!M33</f>
        <v>295000000</v>
      </c>
    </row>
    <row r="14" spans="1:14" ht="12.75" customHeight="1" x14ac:dyDescent="0.25">
      <c r="A14" s="207" t="s">
        <v>806</v>
      </c>
      <c r="B14" s="204"/>
      <c r="C14" s="130"/>
      <c r="D14" s="109"/>
      <c r="E14" s="109"/>
      <c r="F14" s="109"/>
      <c r="G14" s="109"/>
      <c r="H14" s="109"/>
      <c r="I14" s="109"/>
      <c r="J14" s="132">
        <f t="shared" si="1"/>
        <v>0</v>
      </c>
      <c r="K14" s="132">
        <f>IF(D14=0,C14+J14,D14+J14)</f>
        <v>0</v>
      </c>
      <c r="L14" s="109"/>
      <c r="M14" s="110"/>
      <c r="N14" s="860"/>
    </row>
    <row r="15" spans="1:14" ht="12.75" customHeight="1" x14ac:dyDescent="0.25">
      <c r="A15" s="207" t="s">
        <v>807</v>
      </c>
      <c r="B15" s="204"/>
      <c r="C15" s="130"/>
      <c r="D15" s="130"/>
      <c r="E15" s="130"/>
      <c r="F15" s="130"/>
      <c r="G15" s="130"/>
      <c r="H15" s="130"/>
      <c r="I15" s="130"/>
      <c r="J15" s="132">
        <f t="shared" si="1"/>
        <v>0</v>
      </c>
      <c r="K15" s="132">
        <f>IF(D15=0,C15+J15,D15+J15)</f>
        <v>0</v>
      </c>
      <c r="L15" s="109"/>
      <c r="M15" s="110"/>
    </row>
    <row r="16" spans="1:14" ht="12.75" customHeight="1" x14ac:dyDescent="0.25">
      <c r="A16" s="207" t="s">
        <v>808</v>
      </c>
      <c r="B16" s="204">
        <v>2</v>
      </c>
      <c r="C16" s="131">
        <f>-C40</f>
        <v>30704000</v>
      </c>
      <c r="D16" s="132">
        <f>-D40</f>
        <v>0</v>
      </c>
      <c r="E16" s="174"/>
      <c r="F16" s="174"/>
      <c r="G16" s="174"/>
      <c r="H16" s="174"/>
      <c r="I16" s="132">
        <f>IF(D16=0,(K16-C16)-SUM(E16:H16),(K16-D16)-SUM(E16:H16))</f>
        <v>109809000</v>
      </c>
      <c r="J16" s="138">
        <f t="shared" si="1"/>
        <v>109809000</v>
      </c>
      <c r="K16" s="138">
        <f>-K40</f>
        <v>140513000</v>
      </c>
      <c r="L16" s="132">
        <f>-L40</f>
        <v>26143000</v>
      </c>
      <c r="M16" s="133">
        <f>-M40</f>
        <v>20882000</v>
      </c>
    </row>
    <row r="17" spans="1:14" ht="12.75" customHeight="1" x14ac:dyDescent="0.25">
      <c r="A17" s="207" t="s">
        <v>809</v>
      </c>
      <c r="B17" s="204"/>
      <c r="C17" s="130"/>
      <c r="D17" s="109"/>
      <c r="E17" s="109"/>
      <c r="F17" s="109"/>
      <c r="G17" s="109"/>
      <c r="H17" s="109"/>
      <c r="I17" s="109">
        <v>21000000</v>
      </c>
      <c r="J17" s="138">
        <f t="shared" si="1"/>
        <v>21000000</v>
      </c>
      <c r="K17" s="138">
        <f>IF(D17=0,C17+J17,D17+J17)</f>
        <v>21000000</v>
      </c>
      <c r="L17" s="109"/>
      <c r="M17" s="110"/>
    </row>
    <row r="18" spans="1:14" ht="12.75" customHeight="1" x14ac:dyDescent="0.25">
      <c r="A18" s="207" t="s">
        <v>1279</v>
      </c>
      <c r="B18" s="204"/>
      <c r="C18" s="205">
        <f>C50</f>
        <v>0</v>
      </c>
      <c r="D18" s="138">
        <f>D50</f>
        <v>0</v>
      </c>
      <c r="E18" s="174"/>
      <c r="F18" s="174"/>
      <c r="G18" s="174"/>
      <c r="H18" s="174"/>
      <c r="I18" s="132">
        <f>IF(D18=0,(K18-C18)-SUM(E18:H18),(K18-D18)-SUM(E18:H18))</f>
        <v>0</v>
      </c>
      <c r="J18" s="138">
        <f t="shared" si="1"/>
        <v>0</v>
      </c>
      <c r="K18" s="138">
        <f>K50</f>
        <v>0</v>
      </c>
      <c r="L18" s="138">
        <f>L50</f>
        <v>0</v>
      </c>
      <c r="M18" s="206">
        <f>M50</f>
        <v>0</v>
      </c>
    </row>
    <row r="19" spans="1:14" ht="12.75" customHeight="1" x14ac:dyDescent="0.25">
      <c r="A19" s="207" t="s">
        <v>810</v>
      </c>
      <c r="B19" s="204"/>
      <c r="C19" s="205">
        <f>C57</f>
        <v>0</v>
      </c>
      <c r="D19" s="138">
        <f>D57</f>
        <v>0</v>
      </c>
      <c r="E19" s="174"/>
      <c r="F19" s="174"/>
      <c r="G19" s="174"/>
      <c r="H19" s="174"/>
      <c r="I19" s="138">
        <f>IF(D19=0,(K19-C19)-SUM(E19:H19),(K19-D19)-SUM(E19:H19))</f>
        <v>441.98000000044703</v>
      </c>
      <c r="J19" s="138">
        <f t="shared" si="1"/>
        <v>441.98000000044703</v>
      </c>
      <c r="K19" s="138">
        <f>K57</f>
        <v>441.98000000044703</v>
      </c>
      <c r="L19" s="138">
        <f>L57</f>
        <v>0</v>
      </c>
      <c r="M19" s="206">
        <f>M57</f>
        <v>0</v>
      </c>
    </row>
    <row r="20" spans="1:14" ht="12.75" customHeight="1" x14ac:dyDescent="0.25">
      <c r="A20" s="214" t="s">
        <v>1561</v>
      </c>
      <c r="B20" s="215"/>
      <c r="C20" s="216">
        <f t="shared" ref="C20:M20" si="2">SUM(C13:C19)</f>
        <v>360704000</v>
      </c>
      <c r="D20" s="217">
        <f t="shared" si="2"/>
        <v>0</v>
      </c>
      <c r="E20" s="217">
        <f t="shared" si="2"/>
        <v>0</v>
      </c>
      <c r="F20" s="217">
        <f>SUM(F13:F19)</f>
        <v>0</v>
      </c>
      <c r="G20" s="217">
        <f t="shared" si="2"/>
        <v>0</v>
      </c>
      <c r="H20" s="217">
        <f t="shared" si="2"/>
        <v>0</v>
      </c>
      <c r="I20" s="217">
        <f t="shared" si="2"/>
        <v>-181690558.02000001</v>
      </c>
      <c r="J20" s="217">
        <f t="shared" si="2"/>
        <v>-181690558.02000001</v>
      </c>
      <c r="K20" s="217">
        <f t="shared" si="2"/>
        <v>179013441.97999999</v>
      </c>
      <c r="L20" s="217">
        <f t="shared" si="2"/>
        <v>326143000</v>
      </c>
      <c r="M20" s="218">
        <f t="shared" si="2"/>
        <v>315882000</v>
      </c>
    </row>
    <row r="21" spans="1:14" ht="12.75" customHeight="1" x14ac:dyDescent="0.25">
      <c r="A21" s="214" t="s">
        <v>811</v>
      </c>
      <c r="B21" s="215"/>
      <c r="C21" s="216">
        <f t="shared" ref="C21:M21" si="3">C10-C20</f>
        <v>113295800</v>
      </c>
      <c r="D21" s="217">
        <f t="shared" si="3"/>
        <v>0</v>
      </c>
      <c r="E21" s="217">
        <f t="shared" si="3"/>
        <v>0</v>
      </c>
      <c r="F21" s="217">
        <f t="shared" si="3"/>
        <v>0</v>
      </c>
      <c r="G21" s="217">
        <f t="shared" si="3"/>
        <v>0</v>
      </c>
      <c r="H21" s="217">
        <f t="shared" si="3"/>
        <v>0</v>
      </c>
      <c r="I21" s="217">
        <f t="shared" si="3"/>
        <v>-68309441.979999989</v>
      </c>
      <c r="J21" s="217">
        <f t="shared" si="3"/>
        <v>-68309441.979999989</v>
      </c>
      <c r="K21" s="217">
        <f t="shared" si="3"/>
        <v>44986358.020000011</v>
      </c>
      <c r="L21" s="217">
        <f t="shared" si="3"/>
        <v>137856800</v>
      </c>
      <c r="M21" s="218">
        <f t="shared" si="3"/>
        <v>88117800</v>
      </c>
    </row>
    <row r="22" spans="1:14" ht="12.75" customHeight="1" x14ac:dyDescent="0.25">
      <c r="A22" s="219" t="str">
        <f>head27a</f>
        <v>References</v>
      </c>
      <c r="B22" s="120"/>
      <c r="C22" s="120"/>
      <c r="D22" s="120"/>
      <c r="E22" s="120"/>
      <c r="F22" s="120"/>
      <c r="G22" s="120"/>
      <c r="H22" s="120"/>
      <c r="I22" s="120"/>
      <c r="J22" s="120"/>
      <c r="K22" s="120"/>
      <c r="L22" s="120"/>
      <c r="M22" s="220"/>
      <c r="N22" s="221"/>
    </row>
    <row r="23" spans="1:14" ht="12.75" customHeight="1" x14ac:dyDescent="0.25">
      <c r="A23" s="222" t="s">
        <v>1182</v>
      </c>
      <c r="B23" s="120"/>
      <c r="C23" s="120"/>
      <c r="D23" s="120"/>
      <c r="E23" s="120"/>
      <c r="F23" s="120"/>
      <c r="G23" s="120"/>
      <c r="H23" s="120"/>
      <c r="I23" s="120"/>
      <c r="J23" s="120"/>
      <c r="K23" s="120"/>
      <c r="L23" s="120"/>
      <c r="M23" s="120"/>
      <c r="N23" s="221"/>
    </row>
    <row r="24" spans="1:14" ht="12.75" customHeight="1" x14ac:dyDescent="0.25">
      <c r="A24" s="288" t="s">
        <v>1183</v>
      </c>
      <c r="B24" s="120"/>
      <c r="C24" s="120"/>
      <c r="D24" s="120"/>
      <c r="E24" s="120"/>
      <c r="F24" s="120"/>
      <c r="G24" s="120"/>
      <c r="H24" s="120"/>
      <c r="I24" s="120"/>
      <c r="J24" s="120"/>
      <c r="K24" s="120"/>
      <c r="L24" s="120"/>
      <c r="M24" s="120"/>
      <c r="N24" s="221"/>
    </row>
    <row r="25" spans="1:14" ht="12.75" customHeight="1" x14ac:dyDescent="0.25">
      <c r="A25" s="1320" t="s">
        <v>1099</v>
      </c>
      <c r="B25" s="1320"/>
      <c r="C25" s="1320"/>
      <c r="D25" s="1320"/>
      <c r="E25" s="1320"/>
      <c r="F25" s="1320"/>
      <c r="G25" s="1320"/>
      <c r="H25" s="1320"/>
      <c r="I25" s="1320"/>
      <c r="J25" s="1320"/>
      <c r="K25" s="1320"/>
      <c r="L25" s="1320"/>
      <c r="M25" s="1320"/>
      <c r="N25" s="221"/>
    </row>
    <row r="26" spans="1:14" ht="25.5" customHeight="1" x14ac:dyDescent="0.25">
      <c r="A26" s="1320" t="s">
        <v>1168</v>
      </c>
      <c r="B26" s="1320"/>
      <c r="C26" s="1320"/>
      <c r="D26" s="1320"/>
      <c r="E26" s="1320"/>
      <c r="F26" s="1320"/>
      <c r="G26" s="1320"/>
      <c r="H26" s="1320"/>
      <c r="I26" s="1320"/>
      <c r="J26" s="1320"/>
      <c r="K26" s="1320"/>
      <c r="L26" s="1320"/>
      <c r="M26" s="1320"/>
      <c r="N26" s="221"/>
    </row>
    <row r="27" spans="1:14" ht="12.75" customHeight="1" x14ac:dyDescent="0.25">
      <c r="A27" s="1314" t="s">
        <v>1169</v>
      </c>
      <c r="B27" s="1314"/>
      <c r="C27" s="1314"/>
      <c r="D27" s="1314"/>
      <c r="E27" s="1314"/>
      <c r="F27" s="1314"/>
      <c r="G27" s="1314"/>
      <c r="H27" s="1314"/>
      <c r="I27" s="1314"/>
      <c r="J27" s="1314"/>
      <c r="K27" s="1314"/>
      <c r="L27" s="1314"/>
      <c r="M27" s="1314"/>
      <c r="N27" s="221"/>
    </row>
    <row r="28" spans="1:14" ht="12.75" customHeight="1" x14ac:dyDescent="0.25">
      <c r="A28" s="1314" t="s">
        <v>1170</v>
      </c>
      <c r="B28" s="1314"/>
      <c r="C28" s="1314"/>
      <c r="D28" s="1314"/>
      <c r="E28" s="1314"/>
      <c r="F28" s="1314"/>
      <c r="G28" s="1314"/>
      <c r="H28" s="1314"/>
      <c r="I28" s="1314"/>
      <c r="J28" s="1314"/>
      <c r="K28" s="1314"/>
      <c r="L28" s="1314"/>
      <c r="M28" s="1314"/>
      <c r="N28" s="221"/>
    </row>
    <row r="29" spans="1:14" ht="12.75" customHeight="1" x14ac:dyDescent="0.25">
      <c r="A29" s="99" t="s">
        <v>1171</v>
      </c>
      <c r="B29" s="93"/>
      <c r="C29" s="96"/>
      <c r="D29" s="96"/>
      <c r="E29" s="96"/>
      <c r="F29" s="96"/>
      <c r="G29" s="96"/>
      <c r="H29" s="96"/>
      <c r="I29" s="96"/>
      <c r="J29" s="96"/>
      <c r="K29" s="96"/>
      <c r="L29" s="96"/>
      <c r="M29" s="96"/>
      <c r="N29" s="221"/>
    </row>
    <row r="30" spans="1:14" ht="12.75" customHeight="1" x14ac:dyDescent="0.25">
      <c r="A30" s="1314" t="s">
        <v>1172</v>
      </c>
      <c r="B30" s="1314"/>
      <c r="C30" s="1314"/>
      <c r="D30" s="1314"/>
      <c r="E30" s="1314"/>
      <c r="F30" s="1314"/>
      <c r="G30" s="1314"/>
      <c r="H30" s="1314"/>
      <c r="I30" s="1314"/>
      <c r="J30" s="1314"/>
      <c r="K30" s="1314"/>
      <c r="L30" s="1314"/>
      <c r="M30" s="1314"/>
      <c r="N30" s="221"/>
    </row>
    <row r="31" spans="1:14" ht="12.75" customHeight="1" x14ac:dyDescent="0.25">
      <c r="A31" s="99" t="s">
        <v>646</v>
      </c>
      <c r="B31" s="93"/>
      <c r="C31" s="96"/>
      <c r="D31" s="96"/>
      <c r="E31" s="96"/>
      <c r="F31" s="96"/>
      <c r="G31" s="96"/>
      <c r="H31" s="96"/>
      <c r="I31" s="96"/>
      <c r="J31" s="96"/>
      <c r="K31" s="96"/>
      <c r="L31" s="96"/>
      <c r="M31" s="96"/>
      <c r="N31" s="221"/>
    </row>
    <row r="32" spans="1:14" ht="12.75" customHeight="1" x14ac:dyDescent="0.25">
      <c r="A32" s="1314" t="s">
        <v>647</v>
      </c>
      <c r="B32" s="1314"/>
      <c r="C32" s="1314"/>
      <c r="D32" s="1314"/>
      <c r="E32" s="1314"/>
      <c r="F32" s="1314"/>
      <c r="G32" s="1314"/>
      <c r="H32" s="1314"/>
      <c r="I32" s="1314"/>
      <c r="J32" s="1314"/>
      <c r="K32" s="1314"/>
      <c r="L32" s="1314"/>
      <c r="M32" s="1314"/>
      <c r="N32" s="221"/>
    </row>
    <row r="33" spans="1:14" ht="12.75" customHeight="1" x14ac:dyDescent="0.25">
      <c r="A33" s="221"/>
      <c r="B33" s="221"/>
      <c r="C33" s="221"/>
      <c r="D33" s="221"/>
      <c r="E33" s="221"/>
      <c r="F33" s="221"/>
      <c r="G33" s="221"/>
      <c r="H33" s="221"/>
      <c r="I33" s="221"/>
      <c r="J33" s="221"/>
      <c r="K33" s="221"/>
      <c r="L33" s="221"/>
      <c r="M33" s="221"/>
      <c r="N33" s="221"/>
    </row>
    <row r="34" spans="1:14" ht="12.75" customHeight="1" x14ac:dyDescent="0.25">
      <c r="A34" s="223"/>
      <c r="B34" s="221"/>
      <c r="C34" s="221"/>
      <c r="D34" s="221"/>
      <c r="E34" s="221"/>
      <c r="F34" s="221"/>
      <c r="G34" s="221"/>
      <c r="H34" s="221"/>
      <c r="I34" s="221"/>
      <c r="J34" s="221"/>
      <c r="K34" s="221"/>
      <c r="L34" s="221"/>
      <c r="M34" s="221"/>
      <c r="N34" s="221"/>
    </row>
    <row r="35" spans="1:14" ht="12.75" customHeight="1" x14ac:dyDescent="0.25">
      <c r="A35" s="224"/>
      <c r="B35" s="221"/>
      <c r="C35" s="225"/>
      <c r="D35" s="225"/>
      <c r="E35" s="225"/>
      <c r="F35" s="225"/>
      <c r="G35" s="225"/>
      <c r="H35" s="225"/>
      <c r="I35" s="225"/>
      <c r="J35" s="225"/>
      <c r="K35" s="225"/>
      <c r="L35" s="225"/>
      <c r="M35" s="225"/>
    </row>
    <row r="36" spans="1:14" ht="12.75" customHeight="1" x14ac:dyDescent="0.25">
      <c r="A36" s="226"/>
      <c r="B36" s="221"/>
      <c r="C36" s="225"/>
      <c r="D36" s="225"/>
      <c r="E36" s="225"/>
      <c r="F36" s="225"/>
      <c r="G36" s="225"/>
      <c r="H36" s="225"/>
      <c r="I36" s="225"/>
      <c r="J36" s="225"/>
      <c r="K36" s="225"/>
      <c r="L36" s="225"/>
      <c r="M36" s="225"/>
    </row>
    <row r="37" spans="1:14" ht="12.75" customHeight="1" x14ac:dyDescent="0.25">
      <c r="A37" s="223" t="str">
        <f>A16</f>
        <v>Other working capital requirements</v>
      </c>
      <c r="B37" s="221"/>
      <c r="C37" s="225"/>
      <c r="D37" s="225"/>
      <c r="E37" s="225"/>
      <c r="F37" s="225"/>
      <c r="G37" s="225"/>
      <c r="H37" s="225"/>
      <c r="I37" s="225"/>
      <c r="J37" s="225"/>
      <c r="K37" s="225"/>
      <c r="L37" s="225"/>
      <c r="M37" s="225"/>
    </row>
    <row r="38" spans="1:14" ht="12.75" customHeight="1" x14ac:dyDescent="0.25">
      <c r="A38" s="226" t="s">
        <v>1581</v>
      </c>
      <c r="B38" s="221"/>
      <c r="C38" s="925">
        <v>359296000</v>
      </c>
      <c r="D38" s="925">
        <f>IF(ISERROR(ROUND(D43*D44,0)),0,(ROUND(D43*D44,0)))</f>
        <v>0</v>
      </c>
      <c r="E38" s="225"/>
      <c r="F38" s="225"/>
      <c r="G38" s="225"/>
      <c r="H38" s="225"/>
      <c r="I38" s="225"/>
      <c r="J38" s="225"/>
      <c r="K38" s="925">
        <f>C38+D38</f>
        <v>359296000</v>
      </c>
      <c r="L38" s="925">
        <v>333857000</v>
      </c>
      <c r="M38" s="925">
        <v>349118000</v>
      </c>
    </row>
    <row r="39" spans="1:14" ht="12.75" customHeight="1" x14ac:dyDescent="0.25">
      <c r="A39" s="226" t="s">
        <v>1582</v>
      </c>
      <c r="B39" s="221"/>
      <c r="C39" s="925">
        <f>'SB2'!C32</f>
        <v>390000000</v>
      </c>
      <c r="D39" s="925">
        <f>'SB2'!D32</f>
        <v>0</v>
      </c>
      <c r="E39" s="226"/>
      <c r="F39" s="226"/>
      <c r="G39" s="226"/>
      <c r="H39" s="226"/>
      <c r="I39" s="226"/>
      <c r="J39" s="226"/>
      <c r="K39" s="925">
        <f>'SB2'!K32</f>
        <v>499809000</v>
      </c>
      <c r="L39" s="925">
        <f>'SB2'!L32</f>
        <v>360000000</v>
      </c>
      <c r="M39" s="925">
        <f>'SB2'!M32</f>
        <v>370000000</v>
      </c>
    </row>
    <row r="40" spans="1:14" ht="12.75" customHeight="1" thickBot="1" x14ac:dyDescent="0.3">
      <c r="A40" s="226" t="s">
        <v>819</v>
      </c>
      <c r="B40" s="221"/>
      <c r="C40" s="926">
        <f>C38-C39</f>
        <v>-30704000</v>
      </c>
      <c r="D40" s="926">
        <f>D38-D39</f>
        <v>0</v>
      </c>
      <c r="E40" s="225"/>
      <c r="F40" s="225"/>
      <c r="G40" s="225"/>
      <c r="H40" s="225"/>
      <c r="I40" s="225"/>
      <c r="J40" s="225"/>
      <c r="K40" s="926">
        <f>K38-K39</f>
        <v>-140513000</v>
      </c>
      <c r="L40" s="926">
        <f>L38-L39</f>
        <v>-26143000</v>
      </c>
      <c r="M40" s="926">
        <f>M38-M39</f>
        <v>-20882000</v>
      </c>
    </row>
    <row r="41" spans="1:14" ht="12.75" customHeight="1" thickTop="1" x14ac:dyDescent="0.25">
      <c r="A41" s="226"/>
      <c r="B41" s="221"/>
      <c r="C41" s="227"/>
      <c r="D41" s="227"/>
      <c r="E41" s="1247"/>
      <c r="F41" s="1247"/>
      <c r="G41" s="1247"/>
      <c r="H41" s="1247"/>
      <c r="I41" s="1247"/>
      <c r="J41" s="1247"/>
      <c r="K41" s="227"/>
      <c r="L41" s="227"/>
      <c r="M41" s="227"/>
    </row>
    <row r="42" spans="1:14" ht="12.75" customHeight="1" x14ac:dyDescent="0.25">
      <c r="A42" s="228" t="s">
        <v>820</v>
      </c>
      <c r="B42" s="221"/>
      <c r="C42" s="225"/>
      <c r="D42" s="225"/>
      <c r="E42" s="225"/>
      <c r="F42" s="225"/>
      <c r="G42" s="225"/>
      <c r="H42" s="225"/>
      <c r="I42" s="225"/>
      <c r="J42" s="225"/>
      <c r="K42" s="225"/>
      <c r="L42" s="225"/>
      <c r="M42" s="225"/>
    </row>
    <row r="43" spans="1:14" ht="12.75" customHeight="1" x14ac:dyDescent="0.25">
      <c r="A43" s="226" t="s">
        <v>1580</v>
      </c>
      <c r="B43" s="221"/>
      <c r="C43" s="925">
        <f>'B6-FinPos'!C10+'B6-FinPos'!C11+'B6-FinPos'!C17</f>
        <v>416791069</v>
      </c>
      <c r="D43" s="925">
        <f>'B6-FinPos'!D10+'B6-FinPos'!D11+'B6-FinPos'!D17</f>
        <v>0</v>
      </c>
      <c r="E43" s="1247"/>
      <c r="F43" s="1247"/>
      <c r="G43" s="1247"/>
      <c r="H43" s="1247"/>
      <c r="I43" s="1247"/>
      <c r="J43" s="1247"/>
      <c r="K43" s="925">
        <f>'B6-FinPos'!K10+'B6-FinPos'!K11+'B6-FinPos'!K17</f>
        <v>175763000</v>
      </c>
      <c r="L43" s="925">
        <f>'B6-FinPos'!L10+'B6-FinPos'!L11+'B6-FinPos'!L17</f>
        <v>113475796</v>
      </c>
      <c r="M43" s="925">
        <f>'B6-FinPos'!M10+'B6-FinPos'!M11+'B6-FinPos'!M17</f>
        <v>141617796</v>
      </c>
    </row>
    <row r="44" spans="1:14" ht="12.75" customHeight="1" x14ac:dyDescent="0.25">
      <c r="A44" s="221" t="s">
        <v>1583</v>
      </c>
      <c r="B44" s="221"/>
      <c r="C44" s="227">
        <f>IF(ISERROR('SB6'!G10),0,('SB6'!G10))</f>
        <v>0.18002221793575229</v>
      </c>
      <c r="D44" s="227">
        <f>IF(ISERROR('SB6'!H10),0,('SB6'!H10))</f>
        <v>0</v>
      </c>
      <c r="E44" s="226"/>
      <c r="F44" s="226"/>
      <c r="G44" s="226"/>
      <c r="H44" s="226"/>
      <c r="I44" s="226"/>
      <c r="J44" s="226"/>
      <c r="K44" s="227">
        <f>IF(ISERROR('SB6'!I10),0,('SB6'!I10))</f>
        <v>0.12944428114191175</v>
      </c>
      <c r="L44" s="227">
        <f>IF(ISERROR('SB6'!J10),0,('SB6'!J10))</f>
        <v>0.18731816991403238</v>
      </c>
      <c r="M44" s="227">
        <f>IF(ISERROR('SB6'!K10),0,('SB6'!K10))</f>
        <v>0.1774602372600837</v>
      </c>
    </row>
    <row r="45" spans="1:14" ht="12.75" customHeight="1" x14ac:dyDescent="0.25">
      <c r="A45" s="221"/>
      <c r="B45" s="221"/>
      <c r="C45" s="221"/>
      <c r="D45" s="221"/>
      <c r="E45" s="226"/>
      <c r="F45" s="226"/>
      <c r="G45" s="226"/>
      <c r="H45" s="226"/>
      <c r="I45" s="226"/>
      <c r="J45" s="226"/>
      <c r="K45" s="221"/>
      <c r="L45" s="221"/>
      <c r="M45" s="221"/>
    </row>
    <row r="46" spans="1:14" ht="12.75" customHeight="1" x14ac:dyDescent="0.25">
      <c r="A46" s="229" t="str">
        <f>A18</f>
        <v>Long term investments committed</v>
      </c>
      <c r="B46" s="221"/>
      <c r="C46" s="221"/>
      <c r="D46" s="221"/>
      <c r="E46" s="226"/>
      <c r="F46" s="226"/>
      <c r="G46" s="226"/>
      <c r="H46" s="226"/>
      <c r="I46" s="226"/>
      <c r="J46" s="226"/>
      <c r="K46" s="221"/>
      <c r="L46" s="221"/>
      <c r="M46" s="221"/>
    </row>
    <row r="47" spans="1:14" ht="12.75" customHeight="1" x14ac:dyDescent="0.25">
      <c r="A47" s="814" t="s">
        <v>821</v>
      </c>
      <c r="B47" s="230"/>
      <c r="C47" s="231"/>
      <c r="D47" s="231"/>
      <c r="E47" s="226"/>
      <c r="F47" s="226"/>
      <c r="G47" s="226"/>
      <c r="H47" s="226"/>
      <c r="I47" s="226"/>
      <c r="J47" s="226"/>
      <c r="K47" s="231"/>
      <c r="L47" s="231"/>
      <c r="M47" s="231"/>
    </row>
    <row r="48" spans="1:14" ht="12.75" customHeight="1" x14ac:dyDescent="0.25">
      <c r="A48" s="232"/>
      <c r="B48" s="230"/>
      <c r="C48" s="231"/>
      <c r="D48" s="231"/>
      <c r="E48" s="226"/>
      <c r="F48" s="226"/>
      <c r="G48" s="226"/>
      <c r="H48" s="226"/>
      <c r="I48" s="226"/>
      <c r="J48" s="226"/>
      <c r="K48" s="231"/>
      <c r="L48" s="231"/>
      <c r="M48" s="231"/>
    </row>
    <row r="49" spans="1:13" ht="12.75" customHeight="1" x14ac:dyDescent="0.25">
      <c r="A49" s="232"/>
      <c r="B49" s="230"/>
      <c r="C49" s="231"/>
      <c r="D49" s="231"/>
      <c r="E49" s="226"/>
      <c r="F49" s="226"/>
      <c r="G49" s="226"/>
      <c r="H49" s="226"/>
      <c r="I49" s="226"/>
      <c r="J49" s="226"/>
      <c r="K49" s="231"/>
      <c r="L49" s="231"/>
      <c r="M49" s="231"/>
    </row>
    <row r="50" spans="1:13" ht="12.75" customHeight="1" thickBot="1" x14ac:dyDescent="0.3">
      <c r="A50" s="221"/>
      <c r="B50" s="221"/>
      <c r="C50" s="926">
        <f>SUM(C47:C49)</f>
        <v>0</v>
      </c>
      <c r="D50" s="926">
        <f>SUM(D47:D49)</f>
        <v>0</v>
      </c>
      <c r="E50" s="225"/>
      <c r="F50" s="225"/>
      <c r="G50" s="225"/>
      <c r="H50" s="225"/>
      <c r="I50" s="225"/>
      <c r="J50" s="225"/>
      <c r="K50" s="926">
        <f>SUM(K47:K49)</f>
        <v>0</v>
      </c>
      <c r="L50" s="926">
        <f>SUM(L47:L49)</f>
        <v>0</v>
      </c>
      <c r="M50" s="926">
        <f>SUM(M47:M49)</f>
        <v>0</v>
      </c>
    </row>
    <row r="51" spans="1:13" ht="12.75" customHeight="1" thickTop="1" x14ac:dyDescent="0.25">
      <c r="A51" s="221"/>
      <c r="B51" s="221"/>
      <c r="C51" s="221"/>
      <c r="D51" s="221"/>
      <c r="E51" s="226"/>
      <c r="F51" s="226"/>
      <c r="G51" s="226"/>
      <c r="H51" s="226"/>
      <c r="I51" s="226"/>
      <c r="J51" s="226"/>
      <c r="K51" s="221"/>
      <c r="L51" s="221"/>
      <c r="M51" s="221"/>
    </row>
    <row r="52" spans="1:13" ht="12.75" customHeight="1" x14ac:dyDescent="0.25">
      <c r="A52" s="229" t="str">
        <f>A19</f>
        <v>Reserves to be backed by cash/investments</v>
      </c>
      <c r="B52" s="221"/>
      <c r="C52" s="221"/>
      <c r="D52" s="221"/>
      <c r="E52" s="226"/>
      <c r="F52" s="226"/>
      <c r="G52" s="226"/>
      <c r="H52" s="226"/>
      <c r="I52" s="226"/>
      <c r="J52" s="226"/>
      <c r="K52" s="221"/>
      <c r="L52" s="221"/>
      <c r="M52" s="221"/>
    </row>
    <row r="53" spans="1:13" ht="12.75" customHeight="1" x14ac:dyDescent="0.25">
      <c r="A53" s="232" t="str">
        <f>'SB2'!A56</f>
        <v>Housing Development Fund</v>
      </c>
      <c r="B53" s="226"/>
      <c r="C53" s="231">
        <v>0</v>
      </c>
      <c r="D53" s="231">
        <f>'SB2'!D56</f>
        <v>0</v>
      </c>
      <c r="E53" s="226"/>
      <c r="F53" s="226"/>
      <c r="G53" s="226"/>
      <c r="H53" s="226"/>
      <c r="I53" s="226"/>
      <c r="J53" s="226"/>
      <c r="K53" s="231">
        <f>'SB2'!K56</f>
        <v>441.98000000044703</v>
      </c>
      <c r="L53" s="231">
        <f>'SB2'!L56</f>
        <v>0</v>
      </c>
      <c r="M53" s="231">
        <f>'SB2'!M56</f>
        <v>0</v>
      </c>
    </row>
    <row r="54" spans="1:13" ht="12.75" customHeight="1" x14ac:dyDescent="0.25">
      <c r="A54" s="232" t="str">
        <f>'SB2'!A57</f>
        <v>Capital replacement</v>
      </c>
      <c r="B54" s="221"/>
      <c r="C54" s="231">
        <f>'SB2'!C57</f>
        <v>0</v>
      </c>
      <c r="D54" s="231">
        <f>'SB2'!D57</f>
        <v>0</v>
      </c>
      <c r="E54" s="226"/>
      <c r="F54" s="226"/>
      <c r="G54" s="226"/>
      <c r="H54" s="226"/>
      <c r="I54" s="226"/>
      <c r="J54" s="226"/>
      <c r="K54" s="231">
        <f>'SB2'!K57</f>
        <v>0</v>
      </c>
      <c r="L54" s="231">
        <f>'SB2'!L57</f>
        <v>0</v>
      </c>
      <c r="M54" s="231">
        <f>'SB2'!M57</f>
        <v>0</v>
      </c>
    </row>
    <row r="55" spans="1:13" ht="12.75" customHeight="1" x14ac:dyDescent="0.25">
      <c r="A55" s="232" t="str">
        <f>'SB2'!A58</f>
        <v>Self-insurance</v>
      </c>
      <c r="B55" s="221"/>
      <c r="C55" s="231">
        <f>'SB2'!C58</f>
        <v>0</v>
      </c>
      <c r="D55" s="231">
        <f>'SB2'!D58</f>
        <v>0</v>
      </c>
      <c r="E55" s="226"/>
      <c r="F55" s="226"/>
      <c r="G55" s="226"/>
      <c r="H55" s="226"/>
      <c r="I55" s="226"/>
      <c r="J55" s="226"/>
      <c r="K55" s="231">
        <f>'SB2'!K58</f>
        <v>0</v>
      </c>
      <c r="L55" s="231">
        <f>'SB2'!L58</f>
        <v>0</v>
      </c>
      <c r="M55" s="231">
        <f>'SB2'!M58</f>
        <v>0</v>
      </c>
    </row>
    <row r="56" spans="1:13" ht="12.75" customHeight="1" x14ac:dyDescent="0.25">
      <c r="A56" s="232" t="str">
        <f>'SB2'!A59</f>
        <v>Other reserves (list)</v>
      </c>
      <c r="B56" s="221"/>
      <c r="C56" s="231">
        <f>'SB2'!C59</f>
        <v>0</v>
      </c>
      <c r="D56" s="231">
        <f>'SB2'!D59</f>
        <v>0</v>
      </c>
      <c r="E56" s="226"/>
      <c r="F56" s="226"/>
      <c r="G56" s="226"/>
      <c r="H56" s="226"/>
      <c r="I56" s="226"/>
      <c r="J56" s="226"/>
      <c r="K56" s="231">
        <f>'SB2'!K59</f>
        <v>0</v>
      </c>
      <c r="L56" s="231">
        <f>'SB2'!L59</f>
        <v>0</v>
      </c>
      <c r="M56" s="231">
        <f>'SB2'!M59</f>
        <v>0</v>
      </c>
    </row>
    <row r="57" spans="1:13" ht="12.75" customHeight="1" thickBot="1" x14ac:dyDescent="0.3">
      <c r="A57" s="221"/>
      <c r="B57" s="221"/>
      <c r="C57" s="926">
        <f>SUM(C53:C56)</f>
        <v>0</v>
      </c>
      <c r="D57" s="926">
        <f>SUM(D53:D56)</f>
        <v>0</v>
      </c>
      <c r="E57" s="226"/>
      <c r="F57" s="226"/>
      <c r="G57" s="226"/>
      <c r="H57" s="226"/>
      <c r="I57" s="226"/>
      <c r="J57" s="226"/>
      <c r="K57" s="926">
        <f>SUM(K53:K56)</f>
        <v>441.98000000044703</v>
      </c>
      <c r="L57" s="926">
        <f>SUM(L53:L56)</f>
        <v>0</v>
      </c>
      <c r="M57" s="926">
        <f>SUM(M53:M56)</f>
        <v>0</v>
      </c>
    </row>
    <row r="58" spans="1:13" ht="12.75" customHeight="1" thickTop="1" x14ac:dyDescent="0.25">
      <c r="A58" s="221"/>
      <c r="B58" s="233"/>
      <c r="C58" s="221"/>
      <c r="D58" s="221"/>
      <c r="E58" s="221"/>
      <c r="F58" s="221"/>
      <c r="G58" s="221"/>
      <c r="H58" s="221"/>
      <c r="I58" s="221"/>
      <c r="J58" s="221"/>
      <c r="K58" s="221"/>
      <c r="L58" s="221"/>
      <c r="M58" s="221"/>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mergeCells count="9">
    <mergeCell ref="A32:M32"/>
    <mergeCell ref="A28:M28"/>
    <mergeCell ref="A27:M27"/>
    <mergeCell ref="B2:B4"/>
    <mergeCell ref="A2:A4"/>
    <mergeCell ref="A26:M26"/>
    <mergeCell ref="C2:K2"/>
    <mergeCell ref="A25:M25"/>
    <mergeCell ref="A30:M30"/>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156"/>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N17" sqref="N17"/>
    </sheetView>
  </sheetViews>
  <sheetFormatPr defaultRowHeight="12.75" x14ac:dyDescent="0.25"/>
  <cols>
    <col min="1" max="1" width="32.570312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"&amp;_ADJ9&amp;" - "&amp;Date</f>
        <v>LIM354 Polokwane - Table B9 Asset Management - 25 February 2016</v>
      </c>
      <c r="B1" s="5"/>
      <c r="C1" s="58"/>
    </row>
    <row r="2" spans="1:14" ht="38.25" x14ac:dyDescent="0.25">
      <c r="A2" s="1318" t="str">
        <f>desc</f>
        <v>Description</v>
      </c>
      <c r="B2" s="1318" t="str">
        <f>head27</f>
        <v>Ref</v>
      </c>
      <c r="C2" s="1315" t="str">
        <f>Head2</f>
        <v>Budget Year 2015/16</v>
      </c>
      <c r="D2" s="1316"/>
      <c r="E2" s="1316"/>
      <c r="F2" s="1316"/>
      <c r="G2" s="1316"/>
      <c r="H2" s="1316"/>
      <c r="I2" s="1316"/>
      <c r="J2" s="1316"/>
      <c r="K2" s="1316"/>
      <c r="L2" s="103" t="str">
        <f>Head10</f>
        <v>Budget Year +1 2016/17</v>
      </c>
      <c r="M2" s="61" t="str">
        <f>Head11</f>
        <v>Budget Year +2 2017/18</v>
      </c>
    </row>
    <row r="3" spans="1:14" ht="25.5" x14ac:dyDescent="0.25">
      <c r="A3" s="1319"/>
      <c r="B3" s="13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19"/>
      <c r="B4" s="1319"/>
      <c r="C4" s="65"/>
      <c r="D4" s="15">
        <v>7</v>
      </c>
      <c r="E4" s="15">
        <v>8</v>
      </c>
      <c r="F4" s="15">
        <v>9</v>
      </c>
      <c r="G4" s="15">
        <v>10</v>
      </c>
      <c r="H4" s="15">
        <v>11</v>
      </c>
      <c r="I4" s="15">
        <v>12</v>
      </c>
      <c r="J4" s="15">
        <v>13</v>
      </c>
      <c r="K4" s="15">
        <v>14</v>
      </c>
      <c r="L4" s="15"/>
      <c r="M4" s="17"/>
    </row>
    <row r="5" spans="1:14" x14ac:dyDescent="0.25">
      <c r="A5" s="66" t="s">
        <v>641</v>
      </c>
      <c r="B5" s="104"/>
      <c r="C5" s="67" t="s">
        <v>581</v>
      </c>
      <c r="D5" s="68" t="s">
        <v>582</v>
      </c>
      <c r="E5" s="68" t="s">
        <v>583</v>
      </c>
      <c r="F5" s="69" t="s">
        <v>584</v>
      </c>
      <c r="G5" s="69" t="s">
        <v>585</v>
      </c>
      <c r="H5" s="69" t="s">
        <v>586</v>
      </c>
      <c r="I5" s="70" t="s">
        <v>587</v>
      </c>
      <c r="J5" s="70" t="s">
        <v>588</v>
      </c>
      <c r="K5" s="70" t="s">
        <v>589</v>
      </c>
      <c r="L5" s="70"/>
      <c r="M5" s="71"/>
    </row>
    <row r="6" spans="1:14" ht="12.75" customHeight="1" x14ac:dyDescent="0.25">
      <c r="A6" s="139" t="s">
        <v>822</v>
      </c>
      <c r="B6" s="73"/>
      <c r="C6" s="140"/>
      <c r="D6" s="75"/>
      <c r="E6" s="75"/>
      <c r="F6" s="75"/>
      <c r="G6" s="75"/>
      <c r="H6" s="75"/>
      <c r="I6" s="75"/>
      <c r="J6" s="75"/>
      <c r="K6" s="141"/>
      <c r="L6" s="141"/>
      <c r="M6" s="142"/>
      <c r="N6" s="128"/>
    </row>
    <row r="7" spans="1:14" ht="12.75" customHeight="1" x14ac:dyDescent="0.25">
      <c r="A7" s="234" t="s">
        <v>1273</v>
      </c>
      <c r="B7" s="73">
        <v>1</v>
      </c>
      <c r="C7" s="140">
        <f>SUM(C13:C20)</f>
        <v>426128000</v>
      </c>
      <c r="D7" s="141">
        <f>SUM(D13:D20)</f>
        <v>0</v>
      </c>
      <c r="E7" s="141">
        <f t="shared" ref="E7:M7" si="0">SUM(E13:E20)</f>
        <v>0</v>
      </c>
      <c r="F7" s="141">
        <f t="shared" si="0"/>
        <v>0</v>
      </c>
      <c r="G7" s="141">
        <f t="shared" si="0"/>
        <v>0</v>
      </c>
      <c r="H7" s="141">
        <f t="shared" si="0"/>
        <v>42808656.000000007</v>
      </c>
      <c r="I7" s="141">
        <f t="shared" si="0"/>
        <v>3355680.9999999702</v>
      </c>
      <c r="J7" s="141">
        <f t="shared" si="0"/>
        <v>46164336.999999985</v>
      </c>
      <c r="K7" s="141">
        <f t="shared" si="0"/>
        <v>472292336.99999994</v>
      </c>
      <c r="L7" s="141">
        <f t="shared" si="0"/>
        <v>405162000</v>
      </c>
      <c r="M7" s="142">
        <f t="shared" si="0"/>
        <v>412085950</v>
      </c>
      <c r="N7" s="128"/>
    </row>
    <row r="8" spans="1:14" ht="12.75" customHeight="1" x14ac:dyDescent="0.25">
      <c r="A8" s="852" t="s">
        <v>823</v>
      </c>
      <c r="B8" s="73"/>
      <c r="C8" s="131">
        <f>SB18a!C9</f>
        <v>23956000</v>
      </c>
      <c r="D8" s="132">
        <f>SB18a!D9</f>
        <v>0</v>
      </c>
      <c r="E8" s="132">
        <f>SB18a!E9</f>
        <v>0</v>
      </c>
      <c r="F8" s="132">
        <f>SB18a!F9</f>
        <v>0</v>
      </c>
      <c r="G8" s="132">
        <f>SB18a!G9</f>
        <v>0</v>
      </c>
      <c r="H8" s="132">
        <f>SB18a!H9</f>
        <v>13694701.780000007</v>
      </c>
      <c r="I8" s="132">
        <f>SB18a!I9</f>
        <v>0</v>
      </c>
      <c r="J8" s="172">
        <f t="shared" ref="J8:J20" si="1">SUM(E8:I8)</f>
        <v>13694701.780000007</v>
      </c>
      <c r="K8" s="172">
        <f t="shared" ref="K8:K20" si="2">IF(D8=0,C8+J8,D8+J8)</f>
        <v>37650701.780000009</v>
      </c>
      <c r="L8" s="132">
        <f>SB18a!L9</f>
        <v>28080000</v>
      </c>
      <c r="M8" s="133">
        <f>SB18a!M9</f>
        <v>34488000</v>
      </c>
      <c r="N8" s="128"/>
    </row>
    <row r="9" spans="1:14" ht="12.75" customHeight="1" x14ac:dyDescent="0.25">
      <c r="A9" s="852" t="s">
        <v>824</v>
      </c>
      <c r="B9" s="73"/>
      <c r="C9" s="131">
        <f>SB18a!C12</f>
        <v>6800000</v>
      </c>
      <c r="D9" s="132">
        <f>SB18a!D12</f>
        <v>0</v>
      </c>
      <c r="E9" s="132">
        <f>SB18a!E12</f>
        <v>0</v>
      </c>
      <c r="F9" s="132">
        <f>SB18a!F12</f>
        <v>0</v>
      </c>
      <c r="G9" s="132">
        <f>SB18a!G12</f>
        <v>0</v>
      </c>
      <c r="H9" s="132">
        <f>SB18a!H12</f>
        <v>0</v>
      </c>
      <c r="I9" s="132">
        <f>SB18a!I12</f>
        <v>0</v>
      </c>
      <c r="J9" s="172">
        <f t="shared" si="1"/>
        <v>0</v>
      </c>
      <c r="K9" s="172">
        <f t="shared" si="2"/>
        <v>6800000</v>
      </c>
      <c r="L9" s="132">
        <f>SB18a!L12</f>
        <v>17800000</v>
      </c>
      <c r="M9" s="133">
        <f>SB18a!M12</f>
        <v>20900000</v>
      </c>
      <c r="N9" s="128"/>
    </row>
    <row r="10" spans="1:14" ht="12.75" customHeight="1" x14ac:dyDescent="0.25">
      <c r="A10" s="852" t="s">
        <v>825</v>
      </c>
      <c r="B10" s="73"/>
      <c r="C10" s="131">
        <f>SB18a!C16</f>
        <v>162500000</v>
      </c>
      <c r="D10" s="132">
        <f>SB18a!D16</f>
        <v>0</v>
      </c>
      <c r="E10" s="132">
        <f>SB18a!E16</f>
        <v>0</v>
      </c>
      <c r="F10" s="132">
        <f>SB18a!F16</f>
        <v>0</v>
      </c>
      <c r="G10" s="132">
        <f>SB18a!G16</f>
        <v>0</v>
      </c>
      <c r="H10" s="132">
        <f>SB18a!H16</f>
        <v>715418.19000000134</v>
      </c>
      <c r="I10" s="132">
        <f>SB18a!I16</f>
        <v>5149524.1599999703</v>
      </c>
      <c r="J10" s="172">
        <f t="shared" si="1"/>
        <v>5864942.3499999717</v>
      </c>
      <c r="K10" s="172">
        <f t="shared" si="2"/>
        <v>168364942.34999996</v>
      </c>
      <c r="L10" s="132">
        <f>SB18a!L16</f>
        <v>133364000</v>
      </c>
      <c r="M10" s="133">
        <f>SB18a!M16</f>
        <v>140682000</v>
      </c>
      <c r="N10" s="128"/>
    </row>
    <row r="11" spans="1:14" ht="12.75" customHeight="1" x14ac:dyDescent="0.25">
      <c r="A11" s="852" t="s">
        <v>826</v>
      </c>
      <c r="B11" s="73"/>
      <c r="C11" s="131">
        <f>SB18a!C20</f>
        <v>0</v>
      </c>
      <c r="D11" s="132">
        <f>SB18a!D20</f>
        <v>0</v>
      </c>
      <c r="E11" s="132">
        <f>SB18a!E20</f>
        <v>0</v>
      </c>
      <c r="F11" s="132">
        <f>SB18a!F20</f>
        <v>0</v>
      </c>
      <c r="G11" s="132">
        <f>SB18a!G20</f>
        <v>0</v>
      </c>
      <c r="H11" s="132">
        <f>SB18a!H20</f>
        <v>0</v>
      </c>
      <c r="I11" s="132">
        <f>SB18a!I20</f>
        <v>0</v>
      </c>
      <c r="J11" s="172">
        <f t="shared" si="1"/>
        <v>0</v>
      </c>
      <c r="K11" s="172">
        <f t="shared" si="2"/>
        <v>0</v>
      </c>
      <c r="L11" s="132">
        <f>SB18a!L20</f>
        <v>2500000</v>
      </c>
      <c r="M11" s="133">
        <f>SB18a!M20</f>
        <v>2750000</v>
      </c>
      <c r="N11" s="128"/>
    </row>
    <row r="12" spans="1:14" ht="12.75" customHeight="1" x14ac:dyDescent="0.25">
      <c r="A12" s="852" t="s">
        <v>827</v>
      </c>
      <c r="B12" s="73"/>
      <c r="C12" s="131">
        <f>SB18a!C23</f>
        <v>169689000</v>
      </c>
      <c r="D12" s="132">
        <f>SB18a!D23</f>
        <v>0</v>
      </c>
      <c r="E12" s="132">
        <f>SB18a!E23</f>
        <v>0</v>
      </c>
      <c r="F12" s="132">
        <f>SB18a!F23</f>
        <v>0</v>
      </c>
      <c r="G12" s="132">
        <f>SB18a!G23</f>
        <v>0</v>
      </c>
      <c r="H12" s="132">
        <f>SB18a!H23</f>
        <v>28167868.030000001</v>
      </c>
      <c r="I12" s="132">
        <f>SB18a!I23</f>
        <v>-1500000</v>
      </c>
      <c r="J12" s="172">
        <f t="shared" si="1"/>
        <v>26667868.030000001</v>
      </c>
      <c r="K12" s="172">
        <f t="shared" si="2"/>
        <v>196356868.03</v>
      </c>
      <c r="L12" s="132">
        <f>SB18a!L23</f>
        <v>156361000</v>
      </c>
      <c r="M12" s="133">
        <f>SB18a!M23</f>
        <v>147625950</v>
      </c>
      <c r="N12" s="128"/>
    </row>
    <row r="13" spans="1:14" ht="12.75" customHeight="1" x14ac:dyDescent="0.25">
      <c r="A13" s="164" t="s">
        <v>828</v>
      </c>
      <c r="B13" s="73"/>
      <c r="C13" s="714">
        <f>SUM(C8:C12)</f>
        <v>362945000</v>
      </c>
      <c r="D13" s="266">
        <f t="shared" ref="D13:J13" si="3">SUM(D8:D12)</f>
        <v>0</v>
      </c>
      <c r="E13" s="266">
        <f t="shared" si="3"/>
        <v>0</v>
      </c>
      <c r="F13" s="266">
        <f t="shared" si="3"/>
        <v>0</v>
      </c>
      <c r="G13" s="266">
        <f t="shared" si="3"/>
        <v>0</v>
      </c>
      <c r="H13" s="266">
        <f t="shared" si="3"/>
        <v>42577988.000000007</v>
      </c>
      <c r="I13" s="266">
        <f t="shared" si="3"/>
        <v>3649524.1599999703</v>
      </c>
      <c r="J13" s="589">
        <f t="shared" si="3"/>
        <v>46227512.159999982</v>
      </c>
      <c r="K13" s="589">
        <f t="shared" si="2"/>
        <v>409172512.15999997</v>
      </c>
      <c r="L13" s="266">
        <f>SUM(L8:L12)</f>
        <v>338105000</v>
      </c>
      <c r="M13" s="267">
        <f>SUM(M8:M12)</f>
        <v>346445950</v>
      </c>
      <c r="N13" s="128"/>
    </row>
    <row r="14" spans="1:14" ht="12.75" customHeight="1" x14ac:dyDescent="0.25">
      <c r="A14" s="164" t="s">
        <v>829</v>
      </c>
      <c r="B14" s="73"/>
      <c r="C14" s="131">
        <f>SB18a!C29</f>
        <v>46983000</v>
      </c>
      <c r="D14" s="132">
        <f>SB18a!D29</f>
        <v>0</v>
      </c>
      <c r="E14" s="132">
        <f>SB18a!E29</f>
        <v>0</v>
      </c>
      <c r="F14" s="132">
        <f>SB18a!F29</f>
        <v>0</v>
      </c>
      <c r="G14" s="132">
        <f>SB18a!G29</f>
        <v>0</v>
      </c>
      <c r="H14" s="132">
        <f>SB18a!H29</f>
        <v>230667.99999999907</v>
      </c>
      <c r="I14" s="132">
        <f>SB18a!I29</f>
        <v>0</v>
      </c>
      <c r="J14" s="172">
        <f t="shared" si="1"/>
        <v>230667.99999999907</v>
      </c>
      <c r="K14" s="172">
        <f t="shared" si="2"/>
        <v>47213668</v>
      </c>
      <c r="L14" s="132">
        <f>SB18a!L29</f>
        <v>50837000</v>
      </c>
      <c r="M14" s="133">
        <f>SB18a!M29</f>
        <v>50540000</v>
      </c>
      <c r="N14" s="128"/>
    </row>
    <row r="15" spans="1:14" ht="12.75" customHeight="1" x14ac:dyDescent="0.25">
      <c r="A15" s="164" t="s">
        <v>830</v>
      </c>
      <c r="B15" s="73"/>
      <c r="C15" s="131">
        <f>SB18a!C45</f>
        <v>0</v>
      </c>
      <c r="D15" s="132">
        <f>SB18a!D45</f>
        <v>0</v>
      </c>
      <c r="E15" s="132">
        <f>SB18a!E45</f>
        <v>0</v>
      </c>
      <c r="F15" s="132">
        <f>SB18a!F45</f>
        <v>0</v>
      </c>
      <c r="G15" s="132">
        <f>SB18a!G45</f>
        <v>0</v>
      </c>
      <c r="H15" s="132">
        <f>SB18a!H45</f>
        <v>0</v>
      </c>
      <c r="I15" s="132">
        <f>SB18a!I45</f>
        <v>0</v>
      </c>
      <c r="J15" s="172">
        <f t="shared" si="1"/>
        <v>0</v>
      </c>
      <c r="K15" s="172">
        <f t="shared" si="2"/>
        <v>0</v>
      </c>
      <c r="L15" s="132">
        <f>SB18a!L45</f>
        <v>0</v>
      </c>
      <c r="M15" s="133">
        <f>SB18a!M45</f>
        <v>0</v>
      </c>
      <c r="N15" s="128"/>
    </row>
    <row r="16" spans="1:14" ht="12.75" customHeight="1" x14ac:dyDescent="0.25">
      <c r="A16" s="164" t="s">
        <v>831</v>
      </c>
      <c r="B16" s="73"/>
      <c r="C16" s="131">
        <f>SB18a!C49</f>
        <v>0</v>
      </c>
      <c r="D16" s="132">
        <f>SB18a!D49</f>
        <v>0</v>
      </c>
      <c r="E16" s="132">
        <f>SB18a!E49</f>
        <v>0</v>
      </c>
      <c r="F16" s="132">
        <f>SB18a!F49</f>
        <v>0</v>
      </c>
      <c r="G16" s="132">
        <f>SB18a!G49</f>
        <v>0</v>
      </c>
      <c r="H16" s="132">
        <f>SB18a!H49</f>
        <v>0</v>
      </c>
      <c r="I16" s="132">
        <f>SB18a!I49</f>
        <v>0</v>
      </c>
      <c r="J16" s="172">
        <f t="shared" si="1"/>
        <v>0</v>
      </c>
      <c r="K16" s="172">
        <f t="shared" si="2"/>
        <v>0</v>
      </c>
      <c r="L16" s="132">
        <f>SB18a!L49</f>
        <v>0</v>
      </c>
      <c r="M16" s="133">
        <f>SB18a!M49</f>
        <v>0</v>
      </c>
      <c r="N16" s="128"/>
    </row>
    <row r="17" spans="1:14" ht="12.75" customHeight="1" x14ac:dyDescent="0.25">
      <c r="A17" s="164" t="s">
        <v>832</v>
      </c>
      <c r="B17" s="73">
        <v>6</v>
      </c>
      <c r="C17" s="131">
        <f>SB18a!C53</f>
        <v>13200000</v>
      </c>
      <c r="D17" s="132">
        <f>SB18a!D53</f>
        <v>0</v>
      </c>
      <c r="E17" s="132">
        <f>SB18a!E53</f>
        <v>0</v>
      </c>
      <c r="F17" s="132">
        <f>SB18a!F53</f>
        <v>0</v>
      </c>
      <c r="G17" s="132">
        <f>SB18a!G53</f>
        <v>0</v>
      </c>
      <c r="H17" s="132">
        <f>SB18a!H53</f>
        <v>0</v>
      </c>
      <c r="I17" s="132">
        <f>SB18a!I53</f>
        <v>-293843.15999999997</v>
      </c>
      <c r="J17" s="172">
        <f t="shared" si="1"/>
        <v>-293843.15999999997</v>
      </c>
      <c r="K17" s="172">
        <f t="shared" si="2"/>
        <v>12906156.84</v>
      </c>
      <c r="L17" s="132">
        <f>SB18a!L53</f>
        <v>12720000</v>
      </c>
      <c r="M17" s="133">
        <f>SB18a!M53</f>
        <v>11100000</v>
      </c>
      <c r="N17" s="128"/>
    </row>
    <row r="18" spans="1:14" ht="12.75" customHeight="1" x14ac:dyDescent="0.25">
      <c r="A18" s="164" t="s">
        <v>1343</v>
      </c>
      <c r="B18" s="73"/>
      <c r="C18" s="131">
        <f>SB18a!C67</f>
        <v>0</v>
      </c>
      <c r="D18" s="132">
        <f>SB18a!D67</f>
        <v>0</v>
      </c>
      <c r="E18" s="132">
        <f>SB18a!E67</f>
        <v>0</v>
      </c>
      <c r="F18" s="132">
        <f>SB18a!F67</f>
        <v>0</v>
      </c>
      <c r="G18" s="132">
        <f>SB18a!G67</f>
        <v>0</v>
      </c>
      <c r="H18" s="132">
        <f>SB18a!H67</f>
        <v>0</v>
      </c>
      <c r="I18" s="132">
        <f>SB18a!I67</f>
        <v>0</v>
      </c>
      <c r="J18" s="172">
        <f t="shared" si="1"/>
        <v>0</v>
      </c>
      <c r="K18" s="172">
        <f t="shared" si="2"/>
        <v>0</v>
      </c>
      <c r="L18" s="132">
        <f>SB18a!L67</f>
        <v>0</v>
      </c>
      <c r="M18" s="133">
        <f>SB18a!M67</f>
        <v>0</v>
      </c>
      <c r="N18" s="128"/>
    </row>
    <row r="19" spans="1:14" ht="12.75" customHeight="1" x14ac:dyDescent="0.25">
      <c r="A19" s="164" t="s">
        <v>834</v>
      </c>
      <c r="B19" s="73"/>
      <c r="C19" s="131">
        <f>SB18a!C71</f>
        <v>0</v>
      </c>
      <c r="D19" s="132">
        <f>SB18a!D71</f>
        <v>0</v>
      </c>
      <c r="E19" s="132">
        <f>SB18a!E71</f>
        <v>0</v>
      </c>
      <c r="F19" s="132">
        <f>SB18a!F71</f>
        <v>0</v>
      </c>
      <c r="G19" s="132">
        <f>SB18a!G71</f>
        <v>0</v>
      </c>
      <c r="H19" s="132">
        <f>SB18a!H71</f>
        <v>0</v>
      </c>
      <c r="I19" s="132">
        <f>SB18a!I71</f>
        <v>0</v>
      </c>
      <c r="J19" s="172">
        <f>SUM(E19:I19)</f>
        <v>0</v>
      </c>
      <c r="K19" s="172">
        <f>IF(D19=0,C19+J19,D19+J19)</f>
        <v>0</v>
      </c>
      <c r="L19" s="132">
        <f>SB18a!L71</f>
        <v>0</v>
      </c>
      <c r="M19" s="133">
        <f>SB18a!M71</f>
        <v>0</v>
      </c>
      <c r="N19" s="128"/>
    </row>
    <row r="20" spans="1:14" ht="12.75" customHeight="1" x14ac:dyDescent="0.25">
      <c r="A20" s="164" t="s">
        <v>833</v>
      </c>
      <c r="B20" s="73"/>
      <c r="C20" s="131">
        <f>SB18a!C75</f>
        <v>3000000</v>
      </c>
      <c r="D20" s="132">
        <f>SB18a!D75</f>
        <v>0</v>
      </c>
      <c r="E20" s="132">
        <f>SB18a!E75</f>
        <v>0</v>
      </c>
      <c r="F20" s="132">
        <f>SB18a!F75</f>
        <v>0</v>
      </c>
      <c r="G20" s="132">
        <f>SB18a!G75</f>
        <v>0</v>
      </c>
      <c r="H20" s="132">
        <f>SB18a!H75</f>
        <v>0</v>
      </c>
      <c r="I20" s="132">
        <f>SB18a!I75</f>
        <v>0</v>
      </c>
      <c r="J20" s="172">
        <f t="shared" si="1"/>
        <v>0</v>
      </c>
      <c r="K20" s="172">
        <f t="shared" si="2"/>
        <v>3000000</v>
      </c>
      <c r="L20" s="132">
        <f>SB18a!L75</f>
        <v>3500000</v>
      </c>
      <c r="M20" s="133">
        <f>SB18a!M75</f>
        <v>4000000</v>
      </c>
      <c r="N20" s="128"/>
    </row>
    <row r="21" spans="1:14" ht="3.75" customHeight="1" x14ac:dyDescent="0.25">
      <c r="A21" s="164"/>
      <c r="B21" s="73"/>
      <c r="C21" s="173"/>
      <c r="D21" s="174"/>
      <c r="E21" s="174"/>
      <c r="F21" s="174"/>
      <c r="G21" s="174"/>
      <c r="H21" s="174"/>
      <c r="I21" s="174"/>
      <c r="J21" s="172"/>
      <c r="K21" s="172"/>
      <c r="L21" s="174"/>
      <c r="M21" s="175"/>
      <c r="N21" s="867"/>
    </row>
    <row r="22" spans="1:14" ht="12.75" customHeight="1" x14ac:dyDescent="0.25">
      <c r="A22" s="234" t="s">
        <v>1274</v>
      </c>
      <c r="B22" s="115">
        <v>2</v>
      </c>
      <c r="C22" s="140">
        <f>SUM(C28:C35)</f>
        <v>153993000</v>
      </c>
      <c r="D22" s="141">
        <f t="shared" ref="D22:M22" si="4">SUM(D28:D35)</f>
        <v>0</v>
      </c>
      <c r="E22" s="141">
        <f t="shared" si="4"/>
        <v>0</v>
      </c>
      <c r="F22" s="141">
        <f t="shared" si="4"/>
        <v>0</v>
      </c>
      <c r="G22" s="141">
        <f t="shared" si="4"/>
        <v>0</v>
      </c>
      <c r="H22" s="141">
        <f t="shared" si="4"/>
        <v>0</v>
      </c>
      <c r="I22" s="141">
        <f t="shared" si="4"/>
        <v>0</v>
      </c>
      <c r="J22" s="141">
        <f t="shared" si="4"/>
        <v>0</v>
      </c>
      <c r="K22" s="141">
        <f t="shared" si="4"/>
        <v>153993000</v>
      </c>
      <c r="L22" s="141">
        <f t="shared" si="4"/>
        <v>190686000</v>
      </c>
      <c r="M22" s="142">
        <f t="shared" si="4"/>
        <v>225610000</v>
      </c>
      <c r="N22" s="128"/>
    </row>
    <row r="23" spans="1:14" ht="12.75" customHeight="1" x14ac:dyDescent="0.25">
      <c r="A23" s="852" t="s">
        <v>823</v>
      </c>
      <c r="B23" s="115"/>
      <c r="C23" s="131">
        <f>SB18b!C9</f>
        <v>97493000</v>
      </c>
      <c r="D23" s="132">
        <f>SB18b!D9</f>
        <v>0</v>
      </c>
      <c r="E23" s="132">
        <f>SB18b!E9</f>
        <v>0</v>
      </c>
      <c r="F23" s="132">
        <f>SB18b!F9</f>
        <v>0</v>
      </c>
      <c r="G23" s="132">
        <f>SB18b!G9</f>
        <v>0</v>
      </c>
      <c r="H23" s="132">
        <f>SB18b!H9</f>
        <v>0</v>
      </c>
      <c r="I23" s="132">
        <f>SB18b!I9</f>
        <v>0</v>
      </c>
      <c r="J23" s="172">
        <f t="shared" ref="J23:J35" si="5">SUM(E23:I23)</f>
        <v>0</v>
      </c>
      <c r="K23" s="172">
        <f t="shared" ref="K23:K35" si="6">IF(D23=0,C23+J23,D23+J23)</f>
        <v>97493000</v>
      </c>
      <c r="L23" s="132">
        <f>SB18b!L9</f>
        <v>94350000</v>
      </c>
      <c r="M23" s="133">
        <f>SB18b!M9</f>
        <v>112490000</v>
      </c>
      <c r="N23" s="128"/>
    </row>
    <row r="24" spans="1:14" ht="12.75" customHeight="1" x14ac:dyDescent="0.25">
      <c r="A24" s="852" t="s">
        <v>824</v>
      </c>
      <c r="B24" s="115"/>
      <c r="C24" s="131">
        <f>SB18b!C12</f>
        <v>16500000</v>
      </c>
      <c r="D24" s="132">
        <f>SB18b!D12</f>
        <v>0</v>
      </c>
      <c r="E24" s="132">
        <f>SB18b!E12</f>
        <v>0</v>
      </c>
      <c r="F24" s="132">
        <f>SB18b!F12</f>
        <v>0</v>
      </c>
      <c r="G24" s="132">
        <f>SB18b!G12</f>
        <v>0</v>
      </c>
      <c r="H24" s="132">
        <f>SB18b!H12</f>
        <v>0</v>
      </c>
      <c r="I24" s="132">
        <f>SB18b!I12</f>
        <v>0</v>
      </c>
      <c r="J24" s="172">
        <f t="shared" si="5"/>
        <v>0</v>
      </c>
      <c r="K24" s="172">
        <f t="shared" si="6"/>
        <v>16500000</v>
      </c>
      <c r="L24" s="132">
        <f>SB18b!L12</f>
        <v>42000000</v>
      </c>
      <c r="M24" s="133">
        <f>SB18b!M12</f>
        <v>47800000</v>
      </c>
      <c r="N24" s="128"/>
    </row>
    <row r="25" spans="1:14" ht="12.75" customHeight="1" x14ac:dyDescent="0.25">
      <c r="A25" s="852" t="s">
        <v>825</v>
      </c>
      <c r="B25" s="115"/>
      <c r="C25" s="131">
        <f>SB18b!C16</f>
        <v>0</v>
      </c>
      <c r="D25" s="132">
        <f>SB18b!D16</f>
        <v>0</v>
      </c>
      <c r="E25" s="132">
        <f>SB18b!E16</f>
        <v>0</v>
      </c>
      <c r="F25" s="132">
        <f>SB18b!F16</f>
        <v>0</v>
      </c>
      <c r="G25" s="132">
        <f>SB18b!G16</f>
        <v>0</v>
      </c>
      <c r="H25" s="132">
        <f>SB18b!H16</f>
        <v>0</v>
      </c>
      <c r="I25" s="132">
        <f>SB18b!I16</f>
        <v>0</v>
      </c>
      <c r="J25" s="172">
        <f t="shared" si="5"/>
        <v>0</v>
      </c>
      <c r="K25" s="172">
        <f t="shared" si="6"/>
        <v>0</v>
      </c>
      <c r="L25" s="132">
        <f>SB18b!L16</f>
        <v>3500000</v>
      </c>
      <c r="M25" s="133">
        <f>SB18b!M16</f>
        <v>12000000</v>
      </c>
      <c r="N25" s="128"/>
    </row>
    <row r="26" spans="1:14" ht="12.75" customHeight="1" x14ac:dyDescent="0.25">
      <c r="A26" s="852" t="s">
        <v>826</v>
      </c>
      <c r="B26" s="115"/>
      <c r="C26" s="131">
        <f>SB18b!C20</f>
        <v>1000000</v>
      </c>
      <c r="D26" s="132">
        <f>SB18b!D20</f>
        <v>0</v>
      </c>
      <c r="E26" s="132">
        <f>SB18b!E20</f>
        <v>0</v>
      </c>
      <c r="F26" s="132">
        <f>SB18b!F20</f>
        <v>0</v>
      </c>
      <c r="G26" s="132">
        <f>SB18b!G20</f>
        <v>0</v>
      </c>
      <c r="H26" s="132">
        <f>SB18b!H20</f>
        <v>0</v>
      </c>
      <c r="I26" s="132">
        <f>SB18b!I20</f>
        <v>0</v>
      </c>
      <c r="J26" s="172">
        <f t="shared" si="5"/>
        <v>0</v>
      </c>
      <c r="K26" s="172">
        <f t="shared" si="6"/>
        <v>1000000</v>
      </c>
      <c r="L26" s="132">
        <f>SB18b!L20</f>
        <v>500000</v>
      </c>
      <c r="M26" s="133">
        <f>SB18b!M20</f>
        <v>0</v>
      </c>
      <c r="N26" s="128"/>
    </row>
    <row r="27" spans="1:14" ht="12.75" customHeight="1" x14ac:dyDescent="0.25">
      <c r="A27" s="852" t="s">
        <v>827</v>
      </c>
      <c r="B27" s="115"/>
      <c r="C27" s="131">
        <f>SB18b!C23</f>
        <v>0</v>
      </c>
      <c r="D27" s="132">
        <f>SB18b!D23</f>
        <v>0</v>
      </c>
      <c r="E27" s="132">
        <f>SB18b!E23</f>
        <v>0</v>
      </c>
      <c r="F27" s="132">
        <f>SB18b!F23</f>
        <v>0</v>
      </c>
      <c r="G27" s="132">
        <f>SB18b!G23</f>
        <v>0</v>
      </c>
      <c r="H27" s="132">
        <f>SB18b!H23</f>
        <v>0</v>
      </c>
      <c r="I27" s="132">
        <f>SB18b!I23</f>
        <v>0</v>
      </c>
      <c r="J27" s="172">
        <f t="shared" si="5"/>
        <v>0</v>
      </c>
      <c r="K27" s="172">
        <f t="shared" si="6"/>
        <v>0</v>
      </c>
      <c r="L27" s="132">
        <f>SB18b!L23</f>
        <v>5586000</v>
      </c>
      <c r="M27" s="133">
        <f>SB18b!M23</f>
        <v>8700000</v>
      </c>
      <c r="N27" s="128"/>
    </row>
    <row r="28" spans="1:14" ht="12.75" customHeight="1" x14ac:dyDescent="0.25">
      <c r="A28" s="164" t="s">
        <v>828</v>
      </c>
      <c r="B28" s="115"/>
      <c r="C28" s="714">
        <f t="shared" ref="C28:J28" si="7">SUM(C23:C27)</f>
        <v>114993000</v>
      </c>
      <c r="D28" s="266">
        <f t="shared" si="7"/>
        <v>0</v>
      </c>
      <c r="E28" s="266">
        <f t="shared" si="7"/>
        <v>0</v>
      </c>
      <c r="F28" s="266">
        <f t="shared" si="7"/>
        <v>0</v>
      </c>
      <c r="G28" s="266">
        <f t="shared" si="7"/>
        <v>0</v>
      </c>
      <c r="H28" s="266">
        <f t="shared" si="7"/>
        <v>0</v>
      </c>
      <c r="I28" s="266">
        <f t="shared" si="7"/>
        <v>0</v>
      </c>
      <c r="J28" s="589">
        <f t="shared" si="7"/>
        <v>0</v>
      </c>
      <c r="K28" s="589">
        <f t="shared" si="6"/>
        <v>114993000</v>
      </c>
      <c r="L28" s="266">
        <f>SUM(L23:L27)</f>
        <v>145936000</v>
      </c>
      <c r="M28" s="267">
        <f>SUM(M23:M27)</f>
        <v>180990000</v>
      </c>
      <c r="N28" s="128"/>
    </row>
    <row r="29" spans="1:14" ht="12.75" customHeight="1" x14ac:dyDescent="0.25">
      <c r="A29" s="164" t="s">
        <v>829</v>
      </c>
      <c r="B29" s="115"/>
      <c r="C29" s="131">
        <f>SB18b!C29</f>
        <v>11200000</v>
      </c>
      <c r="D29" s="132">
        <f>SB18b!D29</f>
        <v>0</v>
      </c>
      <c r="E29" s="132">
        <f>SB18b!E29</f>
        <v>0</v>
      </c>
      <c r="F29" s="132">
        <f>SB18b!F29</f>
        <v>0</v>
      </c>
      <c r="G29" s="132">
        <f>SB18b!G29</f>
        <v>0</v>
      </c>
      <c r="H29" s="132">
        <f>SB18b!H29</f>
        <v>0</v>
      </c>
      <c r="I29" s="132">
        <f>SB18b!I29</f>
        <v>0</v>
      </c>
      <c r="J29" s="172">
        <f t="shared" si="5"/>
        <v>0</v>
      </c>
      <c r="K29" s="172">
        <f t="shared" si="6"/>
        <v>11200000</v>
      </c>
      <c r="L29" s="132">
        <f>SB18b!L29</f>
        <v>14250000</v>
      </c>
      <c r="M29" s="133">
        <f>SB18b!M29</f>
        <v>13120000</v>
      </c>
      <c r="N29" s="128"/>
    </row>
    <row r="30" spans="1:14" ht="12.75" customHeight="1" x14ac:dyDescent="0.25">
      <c r="A30" s="164" t="s">
        <v>830</v>
      </c>
      <c r="B30" s="115"/>
      <c r="C30" s="131">
        <f>SB18b!C45</f>
        <v>0</v>
      </c>
      <c r="D30" s="132">
        <f>SB18b!D45</f>
        <v>0</v>
      </c>
      <c r="E30" s="132">
        <f>SB18b!E45</f>
        <v>0</v>
      </c>
      <c r="F30" s="132">
        <f>SB18b!F45</f>
        <v>0</v>
      </c>
      <c r="G30" s="132">
        <f>SB18b!G45</f>
        <v>0</v>
      </c>
      <c r="H30" s="132">
        <f>SB18b!H45</f>
        <v>0</v>
      </c>
      <c r="I30" s="132">
        <f>SB18b!I45</f>
        <v>0</v>
      </c>
      <c r="J30" s="172">
        <f t="shared" si="5"/>
        <v>0</v>
      </c>
      <c r="K30" s="172">
        <f t="shared" si="6"/>
        <v>0</v>
      </c>
      <c r="L30" s="132">
        <f>SB18b!L45</f>
        <v>0</v>
      </c>
      <c r="M30" s="133">
        <f>SB18b!M45</f>
        <v>0</v>
      </c>
      <c r="N30" s="128"/>
    </row>
    <row r="31" spans="1:14" ht="12.75" customHeight="1" x14ac:dyDescent="0.25">
      <c r="A31" s="164" t="s">
        <v>831</v>
      </c>
      <c r="B31" s="115"/>
      <c r="C31" s="131">
        <f>SB18b!C49</f>
        <v>0</v>
      </c>
      <c r="D31" s="132">
        <f>SB18b!D49</f>
        <v>0</v>
      </c>
      <c r="E31" s="132">
        <f>SB18b!E49</f>
        <v>0</v>
      </c>
      <c r="F31" s="132">
        <f>SB18b!F49</f>
        <v>0</v>
      </c>
      <c r="G31" s="132">
        <f>SB18b!G49</f>
        <v>0</v>
      </c>
      <c r="H31" s="132">
        <f>SB18b!H49</f>
        <v>0</v>
      </c>
      <c r="I31" s="132">
        <f>SB18b!I49</f>
        <v>0</v>
      </c>
      <c r="J31" s="172">
        <f t="shared" si="5"/>
        <v>0</v>
      </c>
      <c r="K31" s="172">
        <f t="shared" si="6"/>
        <v>0</v>
      </c>
      <c r="L31" s="132">
        <f>SB18b!L49</f>
        <v>0</v>
      </c>
      <c r="M31" s="133">
        <f>SB18b!M49</f>
        <v>0</v>
      </c>
      <c r="N31" s="128"/>
    </row>
    <row r="32" spans="1:14" ht="12.75" customHeight="1" x14ac:dyDescent="0.25">
      <c r="A32" s="164" t="s">
        <v>832</v>
      </c>
      <c r="B32" s="115">
        <v>6</v>
      </c>
      <c r="C32" s="131">
        <f>SB18b!C53</f>
        <v>27800000</v>
      </c>
      <c r="D32" s="132">
        <f>SB18b!D53</f>
        <v>0</v>
      </c>
      <c r="E32" s="132">
        <f>SB18b!E53</f>
        <v>0</v>
      </c>
      <c r="F32" s="132">
        <f>SB18b!F53</f>
        <v>0</v>
      </c>
      <c r="G32" s="132">
        <f>SB18b!G53</f>
        <v>0</v>
      </c>
      <c r="H32" s="132">
        <f>SB18b!H53</f>
        <v>0</v>
      </c>
      <c r="I32" s="132">
        <f>SB18b!I53</f>
        <v>0</v>
      </c>
      <c r="J32" s="172">
        <f t="shared" si="5"/>
        <v>0</v>
      </c>
      <c r="K32" s="172">
        <f t="shared" si="6"/>
        <v>27800000</v>
      </c>
      <c r="L32" s="132">
        <f>SB18b!L53</f>
        <v>30500000</v>
      </c>
      <c r="M32" s="133">
        <f>SB18b!M53</f>
        <v>31500000</v>
      </c>
      <c r="N32" s="128"/>
    </row>
    <row r="33" spans="1:14" ht="12.75" customHeight="1" x14ac:dyDescent="0.25">
      <c r="A33" s="164" t="s">
        <v>1343</v>
      </c>
      <c r="B33" s="115"/>
      <c r="C33" s="131">
        <f>SB18b!C67</f>
        <v>0</v>
      </c>
      <c r="D33" s="132">
        <f>SB18b!D67</f>
        <v>0</v>
      </c>
      <c r="E33" s="132">
        <f>SB18b!E67</f>
        <v>0</v>
      </c>
      <c r="F33" s="132">
        <f>SB18b!F67</f>
        <v>0</v>
      </c>
      <c r="G33" s="132">
        <f>SB18b!G67</f>
        <v>0</v>
      </c>
      <c r="H33" s="132">
        <f>SB18b!H67</f>
        <v>0</v>
      </c>
      <c r="I33" s="132">
        <f>SB18b!I67</f>
        <v>0</v>
      </c>
      <c r="J33" s="172">
        <f t="shared" si="5"/>
        <v>0</v>
      </c>
      <c r="K33" s="172">
        <f t="shared" si="6"/>
        <v>0</v>
      </c>
      <c r="L33" s="132">
        <f>SB18b!L67</f>
        <v>0</v>
      </c>
      <c r="M33" s="133">
        <f>SB18b!M67</f>
        <v>0</v>
      </c>
      <c r="N33" s="128"/>
    </row>
    <row r="34" spans="1:14" ht="12.75" customHeight="1" x14ac:dyDescent="0.25">
      <c r="A34" s="164" t="s">
        <v>834</v>
      </c>
      <c r="B34" s="115"/>
      <c r="C34" s="131">
        <f>SB18b!C71</f>
        <v>0</v>
      </c>
      <c r="D34" s="132">
        <f>SB18b!D71</f>
        <v>0</v>
      </c>
      <c r="E34" s="132">
        <f>SB18b!E71</f>
        <v>0</v>
      </c>
      <c r="F34" s="132">
        <f>SB18b!F71</f>
        <v>0</v>
      </c>
      <c r="G34" s="132">
        <f>SB18b!G71</f>
        <v>0</v>
      </c>
      <c r="H34" s="132">
        <f>SB18b!H71</f>
        <v>0</v>
      </c>
      <c r="I34" s="132">
        <f>SB18b!I71</f>
        <v>0</v>
      </c>
      <c r="J34" s="172"/>
      <c r="K34" s="172"/>
      <c r="L34" s="132">
        <f>SB18b!L71</f>
        <v>0</v>
      </c>
      <c r="M34" s="133">
        <f>SB18b!M71</f>
        <v>0</v>
      </c>
      <c r="N34" s="128"/>
    </row>
    <row r="35" spans="1:14" ht="12.75" customHeight="1" x14ac:dyDescent="0.25">
      <c r="A35" s="164" t="s">
        <v>833</v>
      </c>
      <c r="B35" s="115"/>
      <c r="C35" s="131">
        <f>SB18b!C75</f>
        <v>0</v>
      </c>
      <c r="D35" s="132">
        <f>SB18b!D75</f>
        <v>0</v>
      </c>
      <c r="E35" s="132">
        <f>SB18b!E75</f>
        <v>0</v>
      </c>
      <c r="F35" s="132">
        <f>SB18b!F75</f>
        <v>0</v>
      </c>
      <c r="G35" s="132">
        <f>SB18b!G75</f>
        <v>0</v>
      </c>
      <c r="H35" s="132">
        <f>SB18b!H75</f>
        <v>0</v>
      </c>
      <c r="I35" s="132">
        <f>SB18b!I75</f>
        <v>0</v>
      </c>
      <c r="J35" s="172">
        <f t="shared" si="5"/>
        <v>0</v>
      </c>
      <c r="K35" s="172">
        <f t="shared" si="6"/>
        <v>0</v>
      </c>
      <c r="L35" s="132">
        <f>SB18b!L75</f>
        <v>0</v>
      </c>
      <c r="M35" s="133">
        <f>SB18b!M75</f>
        <v>0</v>
      </c>
      <c r="N35" s="128"/>
    </row>
    <row r="36" spans="1:14" ht="4.5" customHeight="1" x14ac:dyDescent="0.25">
      <c r="B36" s="115"/>
      <c r="C36" s="173"/>
      <c r="D36" s="174"/>
      <c r="E36" s="174"/>
      <c r="F36" s="174"/>
      <c r="G36" s="174"/>
      <c r="H36" s="174"/>
      <c r="I36" s="174"/>
      <c r="J36" s="172"/>
      <c r="K36" s="172"/>
      <c r="L36" s="174"/>
      <c r="M36" s="175"/>
      <c r="N36" s="128"/>
    </row>
    <row r="37" spans="1:14" ht="12.75" customHeight="1" x14ac:dyDescent="0.25">
      <c r="A37" s="234" t="s">
        <v>1275</v>
      </c>
      <c r="B37" s="73">
        <v>4</v>
      </c>
      <c r="C37" s="74"/>
      <c r="D37" s="75"/>
      <c r="E37" s="75"/>
      <c r="F37" s="75"/>
      <c r="G37" s="75"/>
      <c r="H37" s="75"/>
      <c r="I37" s="75"/>
      <c r="J37" s="75"/>
      <c r="K37" s="75"/>
      <c r="L37" s="75"/>
      <c r="M37" s="76"/>
      <c r="N37" s="128"/>
    </row>
    <row r="38" spans="1:14" ht="12.75" customHeight="1" x14ac:dyDescent="0.25">
      <c r="A38" s="852" t="s">
        <v>823</v>
      </c>
      <c r="B38" s="73"/>
      <c r="C38" s="74">
        <f t="shared" ref="C38:I49" si="8">C8+C23</f>
        <v>121449000</v>
      </c>
      <c r="D38" s="75">
        <f t="shared" si="8"/>
        <v>0</v>
      </c>
      <c r="E38" s="75">
        <f t="shared" si="8"/>
        <v>0</v>
      </c>
      <c r="F38" s="75">
        <f t="shared" si="8"/>
        <v>0</v>
      </c>
      <c r="G38" s="75">
        <f t="shared" si="8"/>
        <v>0</v>
      </c>
      <c r="H38" s="75">
        <f t="shared" si="8"/>
        <v>13694701.780000007</v>
      </c>
      <c r="I38" s="75">
        <f t="shared" si="8"/>
        <v>0</v>
      </c>
      <c r="J38" s="75">
        <f t="shared" ref="J38:J50" si="9">SUM(E38:I38)</f>
        <v>13694701.780000007</v>
      </c>
      <c r="K38" s="75">
        <f t="shared" ref="K38:K50" si="10">IF(D38=0,C38+J38,D38+J38)</f>
        <v>135143701.78</v>
      </c>
      <c r="L38" s="75">
        <f t="shared" ref="L38:M50" si="11">L8+L23</f>
        <v>122430000</v>
      </c>
      <c r="M38" s="76">
        <f t="shared" si="11"/>
        <v>146978000</v>
      </c>
      <c r="N38" s="128"/>
    </row>
    <row r="39" spans="1:14" ht="12.75" customHeight="1" x14ac:dyDescent="0.25">
      <c r="A39" s="852" t="s">
        <v>824</v>
      </c>
      <c r="B39" s="73"/>
      <c r="C39" s="74">
        <f t="shared" si="8"/>
        <v>23300000</v>
      </c>
      <c r="D39" s="75">
        <f t="shared" si="8"/>
        <v>0</v>
      </c>
      <c r="E39" s="75">
        <f t="shared" si="8"/>
        <v>0</v>
      </c>
      <c r="F39" s="75">
        <f t="shared" si="8"/>
        <v>0</v>
      </c>
      <c r="G39" s="75">
        <f t="shared" si="8"/>
        <v>0</v>
      </c>
      <c r="H39" s="75">
        <f t="shared" si="8"/>
        <v>0</v>
      </c>
      <c r="I39" s="75">
        <f t="shared" si="8"/>
        <v>0</v>
      </c>
      <c r="J39" s="75">
        <f t="shared" si="9"/>
        <v>0</v>
      </c>
      <c r="K39" s="75">
        <f t="shared" si="10"/>
        <v>23300000</v>
      </c>
      <c r="L39" s="75">
        <f t="shared" si="11"/>
        <v>59800000</v>
      </c>
      <c r="M39" s="76">
        <f t="shared" si="11"/>
        <v>68700000</v>
      </c>
      <c r="N39" s="128"/>
    </row>
    <row r="40" spans="1:14" ht="12.75" customHeight="1" x14ac:dyDescent="0.25">
      <c r="A40" s="852" t="s">
        <v>825</v>
      </c>
      <c r="B40" s="73"/>
      <c r="C40" s="74">
        <f>C10+C25</f>
        <v>162500000</v>
      </c>
      <c r="D40" s="75">
        <f t="shared" si="8"/>
        <v>0</v>
      </c>
      <c r="E40" s="75">
        <f t="shared" si="8"/>
        <v>0</v>
      </c>
      <c r="F40" s="75">
        <f t="shared" si="8"/>
        <v>0</v>
      </c>
      <c r="G40" s="75">
        <f t="shared" si="8"/>
        <v>0</v>
      </c>
      <c r="H40" s="75">
        <f t="shared" si="8"/>
        <v>715418.19000000134</v>
      </c>
      <c r="I40" s="75">
        <f t="shared" si="8"/>
        <v>5149524.1599999703</v>
      </c>
      <c r="J40" s="75">
        <f t="shared" si="9"/>
        <v>5864942.3499999717</v>
      </c>
      <c r="K40" s="75">
        <f t="shared" si="10"/>
        <v>168364942.34999996</v>
      </c>
      <c r="L40" s="75">
        <f t="shared" si="11"/>
        <v>136864000</v>
      </c>
      <c r="M40" s="76">
        <f t="shared" si="11"/>
        <v>152682000</v>
      </c>
      <c r="N40" s="128"/>
    </row>
    <row r="41" spans="1:14" ht="12.75" customHeight="1" x14ac:dyDescent="0.25">
      <c r="A41" s="852" t="s">
        <v>826</v>
      </c>
      <c r="B41" s="73"/>
      <c r="C41" s="74">
        <f>C11+C26</f>
        <v>1000000</v>
      </c>
      <c r="D41" s="75">
        <f t="shared" si="8"/>
        <v>0</v>
      </c>
      <c r="E41" s="75">
        <f t="shared" si="8"/>
        <v>0</v>
      </c>
      <c r="F41" s="75">
        <f t="shared" si="8"/>
        <v>0</v>
      </c>
      <c r="G41" s="75">
        <f t="shared" si="8"/>
        <v>0</v>
      </c>
      <c r="H41" s="75">
        <f t="shared" si="8"/>
        <v>0</v>
      </c>
      <c r="I41" s="75">
        <f t="shared" si="8"/>
        <v>0</v>
      </c>
      <c r="J41" s="75">
        <f t="shared" si="9"/>
        <v>0</v>
      </c>
      <c r="K41" s="75">
        <f t="shared" si="10"/>
        <v>1000000</v>
      </c>
      <c r="L41" s="75">
        <f t="shared" si="11"/>
        <v>3000000</v>
      </c>
      <c r="M41" s="76">
        <f t="shared" si="11"/>
        <v>2750000</v>
      </c>
      <c r="N41" s="128"/>
    </row>
    <row r="42" spans="1:14" ht="12.75" customHeight="1" x14ac:dyDescent="0.25">
      <c r="A42" s="852" t="s">
        <v>827</v>
      </c>
      <c r="B42" s="73"/>
      <c r="C42" s="74">
        <f t="shared" si="8"/>
        <v>169689000</v>
      </c>
      <c r="D42" s="75">
        <f t="shared" si="8"/>
        <v>0</v>
      </c>
      <c r="E42" s="75">
        <f t="shared" si="8"/>
        <v>0</v>
      </c>
      <c r="F42" s="75">
        <f t="shared" si="8"/>
        <v>0</v>
      </c>
      <c r="G42" s="75">
        <f t="shared" si="8"/>
        <v>0</v>
      </c>
      <c r="H42" s="75">
        <f t="shared" si="8"/>
        <v>28167868.030000001</v>
      </c>
      <c r="I42" s="75">
        <f t="shared" si="8"/>
        <v>-1500000</v>
      </c>
      <c r="J42" s="75">
        <f t="shared" si="9"/>
        <v>26667868.030000001</v>
      </c>
      <c r="K42" s="75">
        <f t="shared" si="10"/>
        <v>196356868.03</v>
      </c>
      <c r="L42" s="75">
        <f t="shared" si="11"/>
        <v>161947000</v>
      </c>
      <c r="M42" s="76">
        <f t="shared" si="11"/>
        <v>156325950</v>
      </c>
      <c r="N42" s="128"/>
    </row>
    <row r="43" spans="1:14" ht="12.75" customHeight="1" x14ac:dyDescent="0.25">
      <c r="A43" s="164" t="s">
        <v>828</v>
      </c>
      <c r="B43" s="73"/>
      <c r="C43" s="714">
        <f t="shared" ref="C43:J43" si="12">SUM(C38:C42)</f>
        <v>477938000</v>
      </c>
      <c r="D43" s="266">
        <f t="shared" si="12"/>
        <v>0</v>
      </c>
      <c r="E43" s="266">
        <f t="shared" si="12"/>
        <v>0</v>
      </c>
      <c r="F43" s="266">
        <f t="shared" si="12"/>
        <v>0</v>
      </c>
      <c r="G43" s="266">
        <f t="shared" si="12"/>
        <v>0</v>
      </c>
      <c r="H43" s="266">
        <f t="shared" si="12"/>
        <v>42577988.000000007</v>
      </c>
      <c r="I43" s="266">
        <f t="shared" si="12"/>
        <v>3649524.1599999703</v>
      </c>
      <c r="J43" s="589">
        <f t="shared" si="12"/>
        <v>46227512.159999982</v>
      </c>
      <c r="K43" s="589">
        <f t="shared" si="10"/>
        <v>524165512.15999997</v>
      </c>
      <c r="L43" s="266">
        <f>SUM(L38:L42)</f>
        <v>484041000</v>
      </c>
      <c r="M43" s="267">
        <f>SUM(M38:M42)</f>
        <v>527435950</v>
      </c>
      <c r="N43" s="128"/>
    </row>
    <row r="44" spans="1:14" ht="12.75" customHeight="1" x14ac:dyDescent="0.25">
      <c r="A44" s="164" t="s">
        <v>829</v>
      </c>
      <c r="B44" s="73"/>
      <c r="C44" s="74">
        <f t="shared" si="8"/>
        <v>58183000</v>
      </c>
      <c r="D44" s="75">
        <f t="shared" si="8"/>
        <v>0</v>
      </c>
      <c r="E44" s="75">
        <f t="shared" si="8"/>
        <v>0</v>
      </c>
      <c r="F44" s="75">
        <f t="shared" si="8"/>
        <v>0</v>
      </c>
      <c r="G44" s="75">
        <f t="shared" si="8"/>
        <v>0</v>
      </c>
      <c r="H44" s="75">
        <f t="shared" si="8"/>
        <v>230667.99999999907</v>
      </c>
      <c r="I44" s="75">
        <f t="shared" si="8"/>
        <v>0</v>
      </c>
      <c r="J44" s="75">
        <f t="shared" si="9"/>
        <v>230667.99999999907</v>
      </c>
      <c r="K44" s="75">
        <f t="shared" si="10"/>
        <v>58413668</v>
      </c>
      <c r="L44" s="75">
        <f t="shared" si="11"/>
        <v>65087000</v>
      </c>
      <c r="M44" s="76">
        <f t="shared" si="11"/>
        <v>63660000</v>
      </c>
      <c r="N44" s="128"/>
    </row>
    <row r="45" spans="1:14" ht="12.75" customHeight="1" x14ac:dyDescent="0.25">
      <c r="A45" s="164" t="s">
        <v>830</v>
      </c>
      <c r="B45" s="73"/>
      <c r="C45" s="74">
        <f t="shared" si="8"/>
        <v>0</v>
      </c>
      <c r="D45" s="75">
        <f t="shared" si="8"/>
        <v>0</v>
      </c>
      <c r="E45" s="75">
        <f t="shared" si="8"/>
        <v>0</v>
      </c>
      <c r="F45" s="75">
        <f t="shared" si="8"/>
        <v>0</v>
      </c>
      <c r="G45" s="75">
        <f t="shared" si="8"/>
        <v>0</v>
      </c>
      <c r="H45" s="75">
        <f t="shared" si="8"/>
        <v>0</v>
      </c>
      <c r="I45" s="75">
        <f t="shared" si="8"/>
        <v>0</v>
      </c>
      <c r="J45" s="75">
        <f t="shared" si="9"/>
        <v>0</v>
      </c>
      <c r="K45" s="75">
        <f t="shared" si="10"/>
        <v>0</v>
      </c>
      <c r="L45" s="75">
        <f t="shared" si="11"/>
        <v>0</v>
      </c>
      <c r="M45" s="76">
        <f t="shared" si="11"/>
        <v>0</v>
      </c>
      <c r="N45" s="128"/>
    </row>
    <row r="46" spans="1:14" ht="12.75" customHeight="1" x14ac:dyDescent="0.25">
      <c r="A46" s="164" t="s">
        <v>831</v>
      </c>
      <c r="B46" s="73"/>
      <c r="C46" s="74">
        <f t="shared" si="8"/>
        <v>0</v>
      </c>
      <c r="D46" s="75">
        <f t="shared" si="8"/>
        <v>0</v>
      </c>
      <c r="E46" s="75">
        <f t="shared" si="8"/>
        <v>0</v>
      </c>
      <c r="F46" s="75">
        <f t="shared" si="8"/>
        <v>0</v>
      </c>
      <c r="G46" s="75">
        <f t="shared" si="8"/>
        <v>0</v>
      </c>
      <c r="H46" s="75">
        <f t="shared" si="8"/>
        <v>0</v>
      </c>
      <c r="I46" s="75">
        <f t="shared" si="8"/>
        <v>0</v>
      </c>
      <c r="J46" s="75">
        <f t="shared" si="9"/>
        <v>0</v>
      </c>
      <c r="K46" s="75">
        <f t="shared" si="10"/>
        <v>0</v>
      </c>
      <c r="L46" s="75">
        <f t="shared" si="11"/>
        <v>0</v>
      </c>
      <c r="M46" s="76">
        <f t="shared" si="11"/>
        <v>0</v>
      </c>
      <c r="N46" s="128"/>
    </row>
    <row r="47" spans="1:14" ht="12.75" customHeight="1" x14ac:dyDescent="0.25">
      <c r="A47" s="164" t="s">
        <v>832</v>
      </c>
      <c r="B47" s="73"/>
      <c r="C47" s="74">
        <f t="shared" si="8"/>
        <v>41000000</v>
      </c>
      <c r="D47" s="75">
        <f t="shared" si="8"/>
        <v>0</v>
      </c>
      <c r="E47" s="75">
        <f t="shared" si="8"/>
        <v>0</v>
      </c>
      <c r="F47" s="75">
        <f t="shared" si="8"/>
        <v>0</v>
      </c>
      <c r="G47" s="75">
        <f t="shared" si="8"/>
        <v>0</v>
      </c>
      <c r="H47" s="75">
        <f t="shared" si="8"/>
        <v>0</v>
      </c>
      <c r="I47" s="75">
        <f t="shared" si="8"/>
        <v>-293843.15999999997</v>
      </c>
      <c r="J47" s="75">
        <f t="shared" si="9"/>
        <v>-293843.15999999997</v>
      </c>
      <c r="K47" s="75">
        <f t="shared" si="10"/>
        <v>40706156.840000004</v>
      </c>
      <c r="L47" s="75">
        <f t="shared" si="11"/>
        <v>43220000</v>
      </c>
      <c r="M47" s="76">
        <f t="shared" si="11"/>
        <v>42600000</v>
      </c>
      <c r="N47" s="128"/>
    </row>
    <row r="48" spans="1:14" ht="12.75" customHeight="1" x14ac:dyDescent="0.25">
      <c r="A48" s="164" t="s">
        <v>1343</v>
      </c>
      <c r="B48" s="73"/>
      <c r="C48" s="74">
        <f t="shared" si="8"/>
        <v>0</v>
      </c>
      <c r="D48" s="75">
        <f t="shared" si="8"/>
        <v>0</v>
      </c>
      <c r="E48" s="75">
        <f t="shared" si="8"/>
        <v>0</v>
      </c>
      <c r="F48" s="75">
        <f t="shared" si="8"/>
        <v>0</v>
      </c>
      <c r="G48" s="75">
        <f t="shared" si="8"/>
        <v>0</v>
      </c>
      <c r="H48" s="75">
        <f t="shared" si="8"/>
        <v>0</v>
      </c>
      <c r="I48" s="75">
        <f t="shared" si="8"/>
        <v>0</v>
      </c>
      <c r="J48" s="75">
        <f t="shared" si="9"/>
        <v>0</v>
      </c>
      <c r="K48" s="75">
        <f t="shared" si="10"/>
        <v>0</v>
      </c>
      <c r="L48" s="75">
        <f t="shared" si="11"/>
        <v>0</v>
      </c>
      <c r="M48" s="76">
        <f t="shared" si="11"/>
        <v>0</v>
      </c>
      <c r="N48" s="128"/>
    </row>
    <row r="49" spans="1:14" ht="12.75" customHeight="1" x14ac:dyDescent="0.25">
      <c r="A49" s="164" t="s">
        <v>834</v>
      </c>
      <c r="B49" s="73"/>
      <c r="C49" s="74">
        <f t="shared" si="8"/>
        <v>0</v>
      </c>
      <c r="D49" s="75">
        <f t="shared" si="8"/>
        <v>0</v>
      </c>
      <c r="E49" s="75">
        <f t="shared" si="8"/>
        <v>0</v>
      </c>
      <c r="F49" s="75">
        <f t="shared" si="8"/>
        <v>0</v>
      </c>
      <c r="G49" s="75">
        <f t="shared" si="8"/>
        <v>0</v>
      </c>
      <c r="H49" s="75">
        <f t="shared" si="8"/>
        <v>0</v>
      </c>
      <c r="I49" s="75">
        <f t="shared" si="8"/>
        <v>0</v>
      </c>
      <c r="J49" s="75">
        <f>SUM(E49:I49)</f>
        <v>0</v>
      </c>
      <c r="K49" s="75">
        <f>IF(D49=0,C49+J49,D49+J49)</f>
        <v>0</v>
      </c>
      <c r="L49" s="75">
        <f t="shared" si="11"/>
        <v>0</v>
      </c>
      <c r="M49" s="76">
        <f t="shared" si="11"/>
        <v>0</v>
      </c>
      <c r="N49" s="128"/>
    </row>
    <row r="50" spans="1:14" ht="12.75" customHeight="1" x14ac:dyDescent="0.25">
      <c r="A50" s="164" t="s">
        <v>833</v>
      </c>
      <c r="B50" s="73"/>
      <c r="C50" s="74">
        <f t="shared" ref="C50:I50" si="13">C20+C35</f>
        <v>3000000</v>
      </c>
      <c r="D50" s="75">
        <f t="shared" si="13"/>
        <v>0</v>
      </c>
      <c r="E50" s="75">
        <f t="shared" si="13"/>
        <v>0</v>
      </c>
      <c r="F50" s="75">
        <f t="shared" si="13"/>
        <v>0</v>
      </c>
      <c r="G50" s="75">
        <f t="shared" si="13"/>
        <v>0</v>
      </c>
      <c r="H50" s="75">
        <f t="shared" si="13"/>
        <v>0</v>
      </c>
      <c r="I50" s="75">
        <f t="shared" si="13"/>
        <v>0</v>
      </c>
      <c r="J50" s="75">
        <f t="shared" si="9"/>
        <v>0</v>
      </c>
      <c r="K50" s="75">
        <f t="shared" si="10"/>
        <v>3000000</v>
      </c>
      <c r="L50" s="75">
        <f t="shared" si="11"/>
        <v>3500000</v>
      </c>
      <c r="M50" s="76">
        <f t="shared" si="11"/>
        <v>4000000</v>
      </c>
      <c r="N50" s="128"/>
    </row>
    <row r="51" spans="1:14" ht="12.75" customHeight="1" x14ac:dyDescent="0.25">
      <c r="A51" s="163" t="s">
        <v>1276</v>
      </c>
      <c r="B51" s="79">
        <v>2</v>
      </c>
      <c r="C51" s="80">
        <f t="shared" ref="C51:M51" si="14">SUM(C43:C50)</f>
        <v>580121000</v>
      </c>
      <c r="D51" s="81">
        <f t="shared" si="14"/>
        <v>0</v>
      </c>
      <c r="E51" s="81">
        <f t="shared" si="14"/>
        <v>0</v>
      </c>
      <c r="F51" s="81">
        <f t="shared" si="14"/>
        <v>0</v>
      </c>
      <c r="G51" s="81">
        <f t="shared" si="14"/>
        <v>0</v>
      </c>
      <c r="H51" s="81">
        <f t="shared" si="14"/>
        <v>42808656.000000007</v>
      </c>
      <c r="I51" s="81">
        <f t="shared" si="14"/>
        <v>3355680.9999999702</v>
      </c>
      <c r="J51" s="81">
        <f t="shared" si="14"/>
        <v>46164336.999999985</v>
      </c>
      <c r="K51" s="81">
        <f t="shared" si="14"/>
        <v>626285337</v>
      </c>
      <c r="L51" s="81">
        <f t="shared" si="14"/>
        <v>595848000</v>
      </c>
      <c r="M51" s="82">
        <f t="shared" si="14"/>
        <v>637695950</v>
      </c>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39" t="s">
        <v>835</v>
      </c>
      <c r="B53" s="73">
        <v>5</v>
      </c>
      <c r="C53" s="173"/>
      <c r="D53" s="174"/>
      <c r="E53" s="174"/>
      <c r="F53" s="174"/>
      <c r="G53" s="174"/>
      <c r="H53" s="174"/>
      <c r="I53" s="174"/>
      <c r="J53" s="75"/>
      <c r="K53" s="75"/>
      <c r="L53" s="174"/>
      <c r="M53" s="175"/>
      <c r="N53" s="128"/>
    </row>
    <row r="54" spans="1:14" ht="12.75" customHeight="1" x14ac:dyDescent="0.25">
      <c r="A54" s="852" t="s">
        <v>823</v>
      </c>
      <c r="B54" s="73"/>
      <c r="C54" s="130">
        <v>1675802991.3699999</v>
      </c>
      <c r="D54" s="109"/>
      <c r="E54" s="109"/>
      <c r="F54" s="109"/>
      <c r="G54" s="109"/>
      <c r="H54" s="109">
        <f>'B5-Capex'!H57</f>
        <v>41862570</v>
      </c>
      <c r="I54" s="109">
        <f>'B5-Capex'!I57</f>
        <v>-27232882</v>
      </c>
      <c r="J54" s="75">
        <f t="shared" ref="J54:J64" si="15">SUM(E54:I54)</f>
        <v>14629688</v>
      </c>
      <c r="K54" s="75">
        <f t="shared" ref="K54:K64" si="16">IF(D54=0,C54+J54,D54+J54)</f>
        <v>1690432679.3699999</v>
      </c>
      <c r="L54" s="1251">
        <v>1798232991.3699999</v>
      </c>
      <c r="M54" s="1252">
        <v>1945210991.3699999</v>
      </c>
      <c r="N54" s="128"/>
    </row>
    <row r="55" spans="1:14" ht="12.75" customHeight="1" x14ac:dyDescent="0.25">
      <c r="A55" s="852" t="s">
        <v>824</v>
      </c>
      <c r="B55" s="73"/>
      <c r="C55" s="130">
        <v>797997268.5</v>
      </c>
      <c r="D55" s="109"/>
      <c r="E55" s="109"/>
      <c r="F55" s="109"/>
      <c r="G55" s="109"/>
      <c r="H55" s="109"/>
      <c r="I55" s="109">
        <f>'B5-Capex'!I60</f>
        <v>-3050000</v>
      </c>
      <c r="J55" s="75">
        <f t="shared" si="15"/>
        <v>-3050000</v>
      </c>
      <c r="K55" s="75">
        <f t="shared" si="16"/>
        <v>794947268.5</v>
      </c>
      <c r="L55" s="1251">
        <v>885797268.5</v>
      </c>
      <c r="M55" s="1252">
        <v>981497268.5</v>
      </c>
      <c r="N55" s="128"/>
    </row>
    <row r="56" spans="1:14" ht="12.75" customHeight="1" x14ac:dyDescent="0.25">
      <c r="A56" s="852" t="s">
        <v>825</v>
      </c>
      <c r="B56" s="137"/>
      <c r="C56" s="130">
        <v>1173906080.71</v>
      </c>
      <c r="D56" s="109"/>
      <c r="E56" s="109"/>
      <c r="F56" s="109"/>
      <c r="G56" s="109"/>
      <c r="H56" s="109">
        <f>'B5-Capex'!H61</f>
        <v>715418</v>
      </c>
      <c r="I56" s="109">
        <f>'B5-Capex'!I61</f>
        <v>35088279</v>
      </c>
      <c r="J56" s="75">
        <f t="shared" si="15"/>
        <v>35803697</v>
      </c>
      <c r="K56" s="75">
        <f t="shared" si="16"/>
        <v>1209709777.71</v>
      </c>
      <c r="L56" s="1251">
        <v>1322770080.71</v>
      </c>
      <c r="M56" s="1252">
        <v>1487452080.71</v>
      </c>
      <c r="N56" s="128"/>
    </row>
    <row r="57" spans="1:14" ht="12.75" customHeight="1" x14ac:dyDescent="0.25">
      <c r="A57" s="852" t="s">
        <v>826</v>
      </c>
      <c r="B57" s="73"/>
      <c r="C57" s="130">
        <v>283896436.54999995</v>
      </c>
      <c r="D57" s="109"/>
      <c r="E57" s="109"/>
      <c r="F57" s="109"/>
      <c r="G57" s="109"/>
      <c r="H57" s="109"/>
      <c r="I57" s="109">
        <f>'B5-Capex'!I62+'B5-Capex'!I63</f>
        <v>-1355377</v>
      </c>
      <c r="J57" s="75">
        <f t="shared" si="15"/>
        <v>-1355377</v>
      </c>
      <c r="K57" s="75">
        <f t="shared" si="16"/>
        <v>282541059.54999995</v>
      </c>
      <c r="L57" s="1251">
        <v>286896436.54999995</v>
      </c>
      <c r="M57" s="1252">
        <v>289646436.54999995</v>
      </c>
      <c r="N57" s="128"/>
    </row>
    <row r="58" spans="1:14" ht="12.75" customHeight="1" x14ac:dyDescent="0.25">
      <c r="A58" s="852" t="s">
        <v>827</v>
      </c>
      <c r="B58" s="73"/>
      <c r="C58" s="130">
        <f>3659956692.28-495173447.999999</f>
        <v>3164783244.2800012</v>
      </c>
      <c r="D58" s="109"/>
      <c r="E58" s="109"/>
      <c r="F58" s="109"/>
      <c r="G58" s="109"/>
      <c r="H58" s="109">
        <f>'B5-Capex'!H51</f>
        <v>230667.99999999907</v>
      </c>
      <c r="I58" s="109">
        <f>'B5-Capex'!I56+'B5-Capex'!I52+'B5-Capex'!I51+'B5-Capex'!I50+'B5-Capex'!I48+'B5-Capex'!I46</f>
        <v>-94340</v>
      </c>
      <c r="J58" s="75">
        <f t="shared" si="15"/>
        <v>136327.99999999907</v>
      </c>
      <c r="K58" s="75">
        <f t="shared" si="16"/>
        <v>3164919572.2800012</v>
      </c>
      <c r="L58" s="1251">
        <f>3713480692.28-532768447.999999</f>
        <v>3180712244.2800012</v>
      </c>
      <c r="M58" s="1252">
        <f>3753101692.28-576382972.999999</f>
        <v>3176718719.2800012</v>
      </c>
      <c r="N58" s="128"/>
    </row>
    <row r="59" spans="1:14" ht="12.75" customHeight="1" x14ac:dyDescent="0.25">
      <c r="A59" s="129" t="s">
        <v>828</v>
      </c>
      <c r="B59" s="73"/>
      <c r="C59" s="714">
        <f t="shared" ref="C59:J59" si="17">SUM(C54:C58)</f>
        <v>7096386021.4100018</v>
      </c>
      <c r="D59" s="266">
        <f t="shared" si="17"/>
        <v>0</v>
      </c>
      <c r="E59" s="266">
        <f t="shared" si="17"/>
        <v>0</v>
      </c>
      <c r="F59" s="266">
        <f t="shared" si="17"/>
        <v>0</v>
      </c>
      <c r="G59" s="266">
        <f t="shared" si="17"/>
        <v>0</v>
      </c>
      <c r="H59" s="266">
        <f t="shared" si="17"/>
        <v>42808656</v>
      </c>
      <c r="I59" s="266">
        <f t="shared" si="17"/>
        <v>3355680</v>
      </c>
      <c r="J59" s="589">
        <f t="shared" si="17"/>
        <v>46164336</v>
      </c>
      <c r="K59" s="589">
        <f t="shared" si="16"/>
        <v>7142550357.4100018</v>
      </c>
      <c r="L59" s="266">
        <f>SUM(L54:L58)</f>
        <v>7474409021.4100018</v>
      </c>
      <c r="M59" s="267">
        <f>SUM(M54:M58)</f>
        <v>7880525496.4100018</v>
      </c>
      <c r="N59" s="128"/>
    </row>
    <row r="60" spans="1:14" ht="12.75" customHeight="1" x14ac:dyDescent="0.25">
      <c r="A60" s="129" t="s">
        <v>829</v>
      </c>
      <c r="B60" s="73"/>
      <c r="C60" s="130"/>
      <c r="D60" s="109"/>
      <c r="E60" s="109"/>
      <c r="F60" s="109"/>
      <c r="G60" s="109">
        <v>0</v>
      </c>
      <c r="H60" s="109"/>
      <c r="I60" s="109"/>
      <c r="J60" s="75">
        <f t="shared" si="15"/>
        <v>0</v>
      </c>
      <c r="K60" s="75">
        <f t="shared" si="16"/>
        <v>0</v>
      </c>
      <c r="L60" s="109"/>
      <c r="M60" s="110"/>
      <c r="N60" s="128"/>
    </row>
    <row r="61" spans="1:14" ht="12.75" customHeight="1" x14ac:dyDescent="0.25">
      <c r="A61" s="129" t="s">
        <v>830</v>
      </c>
      <c r="B61" s="73"/>
      <c r="C61" s="130"/>
      <c r="D61" s="109"/>
      <c r="E61" s="109"/>
      <c r="F61" s="109"/>
      <c r="G61" s="109">
        <v>0</v>
      </c>
      <c r="H61" s="109"/>
      <c r="I61" s="109">
        <v>0</v>
      </c>
      <c r="J61" s="75">
        <f t="shared" si="15"/>
        <v>0</v>
      </c>
      <c r="K61" s="75">
        <f t="shared" si="16"/>
        <v>0</v>
      </c>
      <c r="L61" s="109"/>
      <c r="M61" s="110"/>
      <c r="N61" s="128"/>
    </row>
    <row r="62" spans="1:14" ht="12.75" customHeight="1" x14ac:dyDescent="0.25">
      <c r="A62" s="129" t="s">
        <v>831</v>
      </c>
      <c r="B62" s="73"/>
      <c r="C62" s="173">
        <f>'B6-FinPos'!C19</f>
        <v>544472448</v>
      </c>
      <c r="D62" s="173">
        <f>'B6-FinPos'!D19</f>
        <v>0</v>
      </c>
      <c r="E62" s="173">
        <f>'B6-FinPos'!E19</f>
        <v>0</v>
      </c>
      <c r="F62" s="173">
        <f>'B6-FinPos'!F19</f>
        <v>0</v>
      </c>
      <c r="G62" s="173">
        <f>'B6-FinPos'!G19</f>
        <v>0</v>
      </c>
      <c r="H62" s="173">
        <f>'B6-FinPos'!H19</f>
        <v>0</v>
      </c>
      <c r="I62" s="173">
        <f>'B6-FinPos'!I19</f>
        <v>0</v>
      </c>
      <c r="J62" s="75">
        <f t="shared" si="15"/>
        <v>0</v>
      </c>
      <c r="K62" s="75">
        <f t="shared" si="16"/>
        <v>544472448</v>
      </c>
      <c r="L62" s="173">
        <f>'B6-FinPos'!L19</f>
        <v>543972448</v>
      </c>
      <c r="M62" s="175">
        <f>'B6-FinPos'!M19</f>
        <v>543472448</v>
      </c>
      <c r="N62" s="128"/>
    </row>
    <row r="63" spans="1:14" ht="12.75" customHeight="1" x14ac:dyDescent="0.25">
      <c r="A63" s="129" t="s">
        <v>832</v>
      </c>
      <c r="B63" s="73"/>
      <c r="C63" s="130"/>
      <c r="D63" s="109"/>
      <c r="E63" s="109"/>
      <c r="F63" s="109"/>
      <c r="G63" s="109"/>
      <c r="H63" s="109"/>
      <c r="I63" s="109"/>
      <c r="J63" s="75">
        <f t="shared" si="15"/>
        <v>0</v>
      </c>
      <c r="K63" s="75">
        <f t="shared" si="16"/>
        <v>0</v>
      </c>
      <c r="L63" s="109"/>
      <c r="M63" s="110"/>
      <c r="N63" s="128"/>
    </row>
    <row r="64" spans="1:14" ht="12.75" customHeight="1" x14ac:dyDescent="0.25">
      <c r="A64" s="129" t="s">
        <v>1343</v>
      </c>
      <c r="B64" s="73"/>
      <c r="C64" s="173">
        <f>'B6-FinPos'!C22</f>
        <v>0</v>
      </c>
      <c r="D64" s="173">
        <f>'B6-FinPos'!D22</f>
        <v>0</v>
      </c>
      <c r="E64" s="173">
        <f>'B6-FinPos'!E22</f>
        <v>0</v>
      </c>
      <c r="F64" s="173">
        <f>'B6-FinPos'!F22</f>
        <v>0</v>
      </c>
      <c r="G64" s="173">
        <f>'B6-FinPos'!G22</f>
        <v>0</v>
      </c>
      <c r="H64" s="173">
        <f>'B6-FinPos'!H22</f>
        <v>0</v>
      </c>
      <c r="I64" s="173">
        <f>'B6-FinPos'!I22</f>
        <v>0</v>
      </c>
      <c r="J64" s="75">
        <f t="shared" si="15"/>
        <v>0</v>
      </c>
      <c r="K64" s="75">
        <f t="shared" si="16"/>
        <v>0</v>
      </c>
      <c r="L64" s="174">
        <f>'B6-FinPos'!L22</f>
        <v>0</v>
      </c>
      <c r="M64" s="1129">
        <f>'B6-FinPos'!M22</f>
        <v>0</v>
      </c>
      <c r="N64" s="128"/>
    </row>
    <row r="65" spans="1:14" ht="12.75" customHeight="1" x14ac:dyDescent="0.25">
      <c r="A65" s="597" t="str">
        <f>A19</f>
        <v>Biological assets</v>
      </c>
      <c r="B65" s="73"/>
      <c r="C65" s="173">
        <f>'B6-FinPos'!C23</f>
        <v>16633000</v>
      </c>
      <c r="D65" s="173">
        <f>'B6-FinPos'!D23</f>
        <v>0</v>
      </c>
      <c r="E65" s="173">
        <f>'B6-FinPos'!E23</f>
        <v>0</v>
      </c>
      <c r="F65" s="173">
        <f>'B6-FinPos'!F23</f>
        <v>0</v>
      </c>
      <c r="G65" s="173">
        <f>'B6-FinPos'!G23</f>
        <v>0</v>
      </c>
      <c r="H65" s="173">
        <f>'B6-FinPos'!H23</f>
        <v>0</v>
      </c>
      <c r="I65" s="173">
        <f>'B6-FinPos'!I23</f>
        <v>0</v>
      </c>
      <c r="J65" s="75">
        <f>SUM(E65:I65)</f>
        <v>0</v>
      </c>
      <c r="K65" s="75">
        <f>IF(D65=0,C65+J65,D65+J65)</f>
        <v>16633000</v>
      </c>
      <c r="L65" s="174">
        <f>'B6-FinPos'!L23</f>
        <v>16633000</v>
      </c>
      <c r="M65" s="1129">
        <f>'B6-FinPos'!M23</f>
        <v>16633000</v>
      </c>
      <c r="N65" s="128"/>
    </row>
    <row r="66" spans="1:14" ht="12.75" customHeight="1" x14ac:dyDescent="0.25">
      <c r="A66" s="597" t="str">
        <f>A20</f>
        <v>Intangibles</v>
      </c>
      <c r="B66" s="73"/>
      <c r="C66" s="173">
        <f>'B6-FinPos'!C24</f>
        <v>12049379</v>
      </c>
      <c r="D66" s="173">
        <f>'B6-FinPos'!D24</f>
        <v>0</v>
      </c>
      <c r="E66" s="173">
        <f>'B6-FinPos'!E24</f>
        <v>0</v>
      </c>
      <c r="F66" s="173">
        <f>'B6-FinPos'!F24</f>
        <v>0</v>
      </c>
      <c r="G66" s="173">
        <f>'B6-FinPos'!G24</f>
        <v>0</v>
      </c>
      <c r="H66" s="173">
        <f>'B6-FinPos'!H24</f>
        <v>0</v>
      </c>
      <c r="I66" s="173">
        <f>'B6-FinPos'!I24</f>
        <v>0</v>
      </c>
      <c r="J66" s="75">
        <f>SUM(E66:I66)</f>
        <v>0</v>
      </c>
      <c r="K66" s="75">
        <f>IF(D66=0,C66+J66,D66+J66)</f>
        <v>12049379</v>
      </c>
      <c r="L66" s="174">
        <f>'B6-FinPos'!L24</f>
        <v>11299379</v>
      </c>
      <c r="M66" s="1129">
        <f>'B6-FinPos'!M24</f>
        <v>10549379</v>
      </c>
      <c r="N66" s="128"/>
    </row>
    <row r="67" spans="1:14" ht="12.75" customHeight="1" x14ac:dyDescent="0.25">
      <c r="A67" s="163" t="s">
        <v>1277</v>
      </c>
      <c r="B67" s="79">
        <v>5</v>
      </c>
      <c r="C67" s="80">
        <f t="shared" ref="C67:M67" si="18">SUM(C59:C66)</f>
        <v>7669540848.4100018</v>
      </c>
      <c r="D67" s="81">
        <f t="shared" si="18"/>
        <v>0</v>
      </c>
      <c r="E67" s="81">
        <f t="shared" si="18"/>
        <v>0</v>
      </c>
      <c r="F67" s="81">
        <f t="shared" si="18"/>
        <v>0</v>
      </c>
      <c r="G67" s="81">
        <f t="shared" si="18"/>
        <v>0</v>
      </c>
      <c r="H67" s="81">
        <f t="shared" si="18"/>
        <v>42808656</v>
      </c>
      <c r="I67" s="81">
        <f t="shared" si="18"/>
        <v>3355680</v>
      </c>
      <c r="J67" s="81">
        <f t="shared" si="18"/>
        <v>46164336</v>
      </c>
      <c r="K67" s="81">
        <f t="shared" si="18"/>
        <v>7715705184.4100018</v>
      </c>
      <c r="L67" s="81">
        <f t="shared" si="18"/>
        <v>8046313848.4100018</v>
      </c>
      <c r="M67" s="82">
        <f t="shared" si="18"/>
        <v>8451180323.4100018</v>
      </c>
      <c r="N67" s="128"/>
    </row>
    <row r="68" spans="1:14" ht="5.0999999999999996" customHeight="1" x14ac:dyDescent="0.25">
      <c r="A68" s="136"/>
      <c r="B68" s="73"/>
      <c r="C68" s="74"/>
      <c r="D68" s="75"/>
      <c r="E68" s="75"/>
      <c r="F68" s="75"/>
      <c r="G68" s="75"/>
      <c r="H68" s="75"/>
      <c r="I68" s="75"/>
      <c r="J68" s="75"/>
      <c r="K68" s="75"/>
      <c r="L68" s="75"/>
      <c r="M68" s="76"/>
      <c r="N68" s="128"/>
    </row>
    <row r="69" spans="1:14" ht="12.75" customHeight="1" x14ac:dyDescent="0.25">
      <c r="A69" s="853" t="s">
        <v>836</v>
      </c>
      <c r="B69" s="73"/>
      <c r="C69" s="74"/>
      <c r="D69" s="75"/>
      <c r="E69" s="75"/>
      <c r="F69" s="75"/>
      <c r="G69" s="75"/>
      <c r="H69" s="75"/>
      <c r="I69" s="75"/>
      <c r="J69" s="75"/>
      <c r="K69" s="75"/>
      <c r="L69" s="75"/>
      <c r="M69" s="76"/>
      <c r="N69" s="128"/>
    </row>
    <row r="70" spans="1:14" ht="12.75" customHeight="1" x14ac:dyDescent="0.25">
      <c r="A70" s="235" t="s">
        <v>598</v>
      </c>
      <c r="B70" s="73"/>
      <c r="C70" s="74">
        <f>'B4-FinPerf RE'!C30</f>
        <v>205000000</v>
      </c>
      <c r="D70" s="75">
        <f>'B4-FinPerf RE'!D30</f>
        <v>0</v>
      </c>
      <c r="E70" s="75">
        <f>'B4-FinPerf RE'!E30</f>
        <v>0</v>
      </c>
      <c r="F70" s="75">
        <f>'B4-FinPerf RE'!F30</f>
        <v>0</v>
      </c>
      <c r="G70" s="75">
        <f>'B4-FinPerf RE'!G30</f>
        <v>0</v>
      </c>
      <c r="H70" s="75">
        <f>'B4-FinPerf RE'!H30</f>
        <v>0</v>
      </c>
      <c r="I70" s="75">
        <f>'B4-FinPerf RE'!I30</f>
        <v>0</v>
      </c>
      <c r="J70" s="75">
        <f>SUM(E70:I70)</f>
        <v>0</v>
      </c>
      <c r="K70" s="75">
        <f>IF(D70=0,C70+J70,D70+J70)</f>
        <v>205000000</v>
      </c>
      <c r="L70" s="172">
        <f>'B4-FinPerf RE'!L30</f>
        <v>218325000</v>
      </c>
      <c r="M70" s="236">
        <f>'B4-FinPerf RE'!M30</f>
        <v>232079475</v>
      </c>
      <c r="N70" s="128"/>
    </row>
    <row r="71" spans="1:14" ht="12.75" customHeight="1" x14ac:dyDescent="0.25">
      <c r="A71" s="235" t="s">
        <v>837</v>
      </c>
      <c r="B71" s="73">
        <v>3</v>
      </c>
      <c r="C71" s="237">
        <f>SUM(C77:C81)</f>
        <v>177520393.60000002</v>
      </c>
      <c r="D71" s="238">
        <f t="shared" ref="D71:M71" si="19">SUM(D77:D81)</f>
        <v>0</v>
      </c>
      <c r="E71" s="238">
        <f t="shared" si="19"/>
        <v>0</v>
      </c>
      <c r="F71" s="238">
        <f t="shared" si="19"/>
        <v>0</v>
      </c>
      <c r="G71" s="238">
        <f t="shared" si="19"/>
        <v>0</v>
      </c>
      <c r="H71" s="238">
        <f t="shared" si="19"/>
        <v>0</v>
      </c>
      <c r="I71" s="238">
        <f>SUM(I77:I81)</f>
        <v>23832733</v>
      </c>
      <c r="J71" s="238">
        <f t="shared" si="19"/>
        <v>23832733</v>
      </c>
      <c r="K71" s="238">
        <f t="shared" si="19"/>
        <v>201353126.60000002</v>
      </c>
      <c r="L71" s="238">
        <f t="shared" si="19"/>
        <v>188637432.43400031</v>
      </c>
      <c r="M71" s="239">
        <f t="shared" si="19"/>
        <v>200521539.7173422</v>
      </c>
      <c r="N71" s="128"/>
    </row>
    <row r="72" spans="1:14" ht="12.75" customHeight="1" x14ac:dyDescent="0.25">
      <c r="A72" s="852" t="s">
        <v>823</v>
      </c>
      <c r="B72" s="73"/>
      <c r="C72" s="131">
        <f>SB18c!C9</f>
        <v>24508855.199999999</v>
      </c>
      <c r="D72" s="131">
        <f>SB18c!D9</f>
        <v>0</v>
      </c>
      <c r="E72" s="131">
        <f>SB18c!E9</f>
        <v>0</v>
      </c>
      <c r="F72" s="131">
        <f>SB18c!F9</f>
        <v>0</v>
      </c>
      <c r="G72" s="131">
        <f>SB18c!G9</f>
        <v>0</v>
      </c>
      <c r="H72" s="131">
        <f>SB18c!H9</f>
        <v>0</v>
      </c>
      <c r="I72" s="131">
        <f>SB18c!I9</f>
        <v>12789703</v>
      </c>
      <c r="J72" s="172">
        <f t="shared" ref="J72:J80" si="20">SUM(E72:I72)</f>
        <v>12789703</v>
      </c>
      <c r="K72" s="172">
        <f t="shared" ref="K72:K81" si="21">IF(D72=0,C72+J72,D72+J72)</f>
        <v>37298558.200000003</v>
      </c>
      <c r="L72" s="132">
        <f>SB18c!L9</f>
        <v>25856687.236000001</v>
      </c>
      <c r="M72" s="267">
        <f>SB18c!M9</f>
        <v>27227121.659508001</v>
      </c>
      <c r="N72" s="128"/>
    </row>
    <row r="73" spans="1:14" ht="12.75" customHeight="1" x14ac:dyDescent="0.25">
      <c r="A73" s="852" t="s">
        <v>824</v>
      </c>
      <c r="B73" s="73"/>
      <c r="C73" s="131">
        <f>SB18c!C12</f>
        <v>24142204</v>
      </c>
      <c r="D73" s="131">
        <f>SB18c!D12</f>
        <v>0</v>
      </c>
      <c r="E73" s="131">
        <f>SB18c!E12</f>
        <v>0</v>
      </c>
      <c r="F73" s="131">
        <f>SB18c!F12</f>
        <v>0</v>
      </c>
      <c r="G73" s="131">
        <f>SB18c!G12</f>
        <v>0</v>
      </c>
      <c r="H73" s="131">
        <f>SB18c!H12</f>
        <v>0</v>
      </c>
      <c r="I73" s="131">
        <f>SB18c!I12</f>
        <v>1000000</v>
      </c>
      <c r="J73" s="172">
        <f t="shared" si="20"/>
        <v>1000000</v>
      </c>
      <c r="K73" s="172">
        <f t="shared" si="21"/>
        <v>25142204</v>
      </c>
      <c r="L73" s="131">
        <f>SB18c!L12</f>
        <v>25470025.220000003</v>
      </c>
      <c r="M73" s="133">
        <f>SB18c!M12</f>
        <v>26819936.556659997</v>
      </c>
      <c r="N73" s="128"/>
    </row>
    <row r="74" spans="1:14" ht="12.75" customHeight="1" x14ac:dyDescent="0.25">
      <c r="A74" s="852" t="s">
        <v>825</v>
      </c>
      <c r="B74" s="73"/>
      <c r="C74" s="131">
        <f>SB18c!C16</f>
        <v>28106474</v>
      </c>
      <c r="D74" s="131">
        <f>SB18c!D16</f>
        <v>0</v>
      </c>
      <c r="E74" s="131">
        <f>SB18c!E16</f>
        <v>0</v>
      </c>
      <c r="F74" s="131">
        <f>SB18c!F16</f>
        <v>0</v>
      </c>
      <c r="G74" s="131">
        <f>SB18c!G16</f>
        <v>0</v>
      </c>
      <c r="H74" s="131">
        <f>SB18c!H16</f>
        <v>0</v>
      </c>
      <c r="I74" s="131">
        <f>SB18c!I16</f>
        <v>4020172</v>
      </c>
      <c r="J74" s="172">
        <f t="shared" si="20"/>
        <v>4020172</v>
      </c>
      <c r="K74" s="172">
        <f t="shared" si="21"/>
        <v>32126646</v>
      </c>
      <c r="L74" s="132">
        <f>SB18c!L16</f>
        <v>29652330.07</v>
      </c>
      <c r="M74" s="133">
        <f>SB18c!M16</f>
        <v>31223903.56371</v>
      </c>
      <c r="N74" s="128"/>
    </row>
    <row r="75" spans="1:14" ht="12.75" customHeight="1" x14ac:dyDescent="0.25">
      <c r="A75" s="852" t="s">
        <v>826</v>
      </c>
      <c r="B75" s="73"/>
      <c r="C75" s="131">
        <f>SB18c!C20</f>
        <v>39383227.200000003</v>
      </c>
      <c r="D75" s="131">
        <f>SB18c!D20</f>
        <v>0</v>
      </c>
      <c r="E75" s="131">
        <f>SB18c!E20</f>
        <v>0</v>
      </c>
      <c r="F75" s="131">
        <f>SB18c!F20</f>
        <v>0</v>
      </c>
      <c r="G75" s="131">
        <f>SB18c!G20</f>
        <v>0</v>
      </c>
      <c r="H75" s="131">
        <f>SB18c!H20</f>
        <v>0</v>
      </c>
      <c r="I75" s="131">
        <f>SB18c!I20</f>
        <v>3445000</v>
      </c>
      <c r="J75" s="172">
        <f t="shared" si="20"/>
        <v>3445000</v>
      </c>
      <c r="K75" s="172">
        <f t="shared" si="21"/>
        <v>42828227.200000003</v>
      </c>
      <c r="L75" s="132">
        <f>SB18c!L20</f>
        <v>41549304.696000002</v>
      </c>
      <c r="M75" s="133">
        <f>SB18c!M20</f>
        <v>43751417.844887994</v>
      </c>
      <c r="N75" s="128"/>
    </row>
    <row r="76" spans="1:14" ht="12.75" customHeight="1" x14ac:dyDescent="0.25">
      <c r="A76" s="852" t="s">
        <v>827</v>
      </c>
      <c r="B76" s="73"/>
      <c r="C76" s="131">
        <f>SB18c!C23</f>
        <v>0</v>
      </c>
      <c r="D76" s="131">
        <f>SB18c!D23</f>
        <v>0</v>
      </c>
      <c r="E76" s="131">
        <f>SB18c!E23</f>
        <v>0</v>
      </c>
      <c r="F76" s="131">
        <f>SB18c!F23</f>
        <v>0</v>
      </c>
      <c r="G76" s="131">
        <f>SB18c!G23</f>
        <v>0</v>
      </c>
      <c r="H76" s="131">
        <f>SB18c!H23</f>
        <v>0</v>
      </c>
      <c r="I76" s="131">
        <f>SB18c!I23</f>
        <v>0</v>
      </c>
      <c r="J76" s="172">
        <f t="shared" si="20"/>
        <v>0</v>
      </c>
      <c r="K76" s="172">
        <f t="shared" si="21"/>
        <v>0</v>
      </c>
      <c r="L76" s="132">
        <f>SB18c!L23</f>
        <v>0</v>
      </c>
      <c r="M76" s="133">
        <f>SB18c!M23</f>
        <v>0</v>
      </c>
      <c r="N76" s="128"/>
    </row>
    <row r="77" spans="1:14" ht="12.75" customHeight="1" x14ac:dyDescent="0.25">
      <c r="A77" s="164" t="s">
        <v>828</v>
      </c>
      <c r="B77" s="73"/>
      <c r="C77" s="714">
        <f>SUM(C72:C76)</f>
        <v>116140760.40000001</v>
      </c>
      <c r="D77" s="266">
        <f t="shared" ref="D77:I77" si="22">SUM(D72:D76)</f>
        <v>0</v>
      </c>
      <c r="E77" s="266">
        <f t="shared" si="22"/>
        <v>0</v>
      </c>
      <c r="F77" s="266">
        <f t="shared" si="22"/>
        <v>0</v>
      </c>
      <c r="G77" s="266">
        <f t="shared" si="22"/>
        <v>0</v>
      </c>
      <c r="H77" s="266">
        <f t="shared" si="22"/>
        <v>0</v>
      </c>
      <c r="I77" s="266">
        <f t="shared" si="22"/>
        <v>21254875</v>
      </c>
      <c r="J77" s="589">
        <f>SUM(J72:J76)</f>
        <v>21254875</v>
      </c>
      <c r="K77" s="589">
        <f>SUM(K72:K76)</f>
        <v>137395635.40000001</v>
      </c>
      <c r="L77" s="266">
        <f>SUM(L72:L76)</f>
        <v>122528347.222</v>
      </c>
      <c r="M77" s="267">
        <f>SUM(M72:M76)</f>
        <v>129022379.62476599</v>
      </c>
      <c r="N77" s="128"/>
    </row>
    <row r="78" spans="1:14" ht="12.75" customHeight="1" x14ac:dyDescent="0.25">
      <c r="A78" s="164" t="s">
        <v>829</v>
      </c>
      <c r="B78" s="73"/>
      <c r="C78" s="131">
        <f>SB18c!C29</f>
        <v>61379633.200000003</v>
      </c>
      <c r="D78" s="131">
        <f>SB18c!D29</f>
        <v>0</v>
      </c>
      <c r="E78" s="131">
        <f>SB18c!E29</f>
        <v>0</v>
      </c>
      <c r="F78" s="131">
        <f>SB18c!F29</f>
        <v>0</v>
      </c>
      <c r="G78" s="131">
        <f>SB18c!G29</f>
        <v>0</v>
      </c>
      <c r="H78" s="131">
        <f>SB18c!H29</f>
        <v>0</v>
      </c>
      <c r="I78" s="131">
        <f>SB18c!I29</f>
        <v>2577858</v>
      </c>
      <c r="J78" s="172">
        <f t="shared" si="20"/>
        <v>2577858</v>
      </c>
      <c r="K78" s="172">
        <f t="shared" si="21"/>
        <v>63957491.200000003</v>
      </c>
      <c r="L78" s="132">
        <f>SB18c!L29</f>
        <v>66109085.212000296</v>
      </c>
      <c r="M78" s="133">
        <f>SB18c!M29</f>
        <v>71499160.092576206</v>
      </c>
      <c r="N78" s="128"/>
    </row>
    <row r="79" spans="1:14" ht="12.75" customHeight="1" x14ac:dyDescent="0.25">
      <c r="A79" s="164" t="s">
        <v>830</v>
      </c>
      <c r="B79" s="73"/>
      <c r="C79" s="131">
        <f>SB18c!C45</f>
        <v>0</v>
      </c>
      <c r="D79" s="131">
        <f>SB18c!D45</f>
        <v>0</v>
      </c>
      <c r="E79" s="131">
        <f>SB18c!E45</f>
        <v>0</v>
      </c>
      <c r="F79" s="131">
        <f>SB18c!F45</f>
        <v>0</v>
      </c>
      <c r="G79" s="131">
        <f>SB18c!G45</f>
        <v>0</v>
      </c>
      <c r="H79" s="131">
        <f>SB18c!H45</f>
        <v>0</v>
      </c>
      <c r="I79" s="131">
        <f>SB18c!I45</f>
        <v>0</v>
      </c>
      <c r="J79" s="172">
        <f t="shared" si="20"/>
        <v>0</v>
      </c>
      <c r="K79" s="172">
        <f t="shared" si="21"/>
        <v>0</v>
      </c>
      <c r="L79" s="132">
        <f>SB18c!L45</f>
        <v>0</v>
      </c>
      <c r="M79" s="133">
        <f>SB18c!M45</f>
        <v>0</v>
      </c>
      <c r="N79" s="128"/>
    </row>
    <row r="80" spans="1:14" ht="12.75" customHeight="1" x14ac:dyDescent="0.25">
      <c r="A80" s="164" t="s">
        <v>831</v>
      </c>
      <c r="B80" s="73"/>
      <c r="C80" s="131">
        <f>SB18c!C49</f>
        <v>0</v>
      </c>
      <c r="D80" s="131">
        <f>SB18c!D49</f>
        <v>0</v>
      </c>
      <c r="E80" s="131">
        <f>SB18c!E49</f>
        <v>0</v>
      </c>
      <c r="F80" s="131">
        <f>SB18c!F49</f>
        <v>0</v>
      </c>
      <c r="G80" s="131">
        <f>SB18c!G49</f>
        <v>0</v>
      </c>
      <c r="H80" s="131">
        <f>SB18c!H49</f>
        <v>0</v>
      </c>
      <c r="I80" s="131">
        <f>SB18c!I49</f>
        <v>0</v>
      </c>
      <c r="J80" s="172">
        <f t="shared" si="20"/>
        <v>0</v>
      </c>
      <c r="K80" s="172">
        <f t="shared" si="21"/>
        <v>0</v>
      </c>
      <c r="L80" s="132">
        <f>SB18c!L49</f>
        <v>0</v>
      </c>
      <c r="M80" s="133">
        <f>SB18c!M49</f>
        <v>0</v>
      </c>
      <c r="N80" s="128"/>
    </row>
    <row r="81" spans="1:14" ht="12.75" customHeight="1" x14ac:dyDescent="0.25">
      <c r="A81" s="164" t="s">
        <v>832</v>
      </c>
      <c r="B81" s="73">
        <v>6</v>
      </c>
      <c r="C81" s="131">
        <f>SB18c!C53+SB18c!C67+SB18c!C71+SB18c!C75</f>
        <v>0</v>
      </c>
      <c r="D81" s="131">
        <f>SB18c!D53+SB18c!D67+SB18c!D71+SB18c!D75</f>
        <v>0</v>
      </c>
      <c r="E81" s="131">
        <f>SB18c!E53+SB18c!E67+SB18c!E71+SB18c!E75</f>
        <v>0</v>
      </c>
      <c r="F81" s="131">
        <f>SB18c!F53+SB18c!F67+SB18c!F71+SB18c!F75</f>
        <v>0</v>
      </c>
      <c r="G81" s="131">
        <f>SB18c!G53+SB18c!G67+SB18c!G71+SB18c!G75</f>
        <v>0</v>
      </c>
      <c r="H81" s="131">
        <f>SB18c!H53+SB18c!H67+SB18c!H71+SB18c!H75</f>
        <v>0</v>
      </c>
      <c r="I81" s="131">
        <f>SB18c!I53+SB18c!I67+SB18c!I71+SB18c!I75</f>
        <v>0</v>
      </c>
      <c r="J81" s="172">
        <f>SUM(E81:I81)</f>
        <v>0</v>
      </c>
      <c r="K81" s="172">
        <f t="shared" si="21"/>
        <v>0</v>
      </c>
      <c r="L81" s="132">
        <f>SB18c!L53+SB18c!L67+SB18c!L71+SB18c!L75</f>
        <v>0</v>
      </c>
      <c r="M81" s="133">
        <f>SB18c!M53+SB18c!M67+SB18c!M71+SB18c!M75</f>
        <v>0</v>
      </c>
      <c r="N81" s="128"/>
    </row>
    <row r="82" spans="1:14" ht="12.75" customHeight="1" x14ac:dyDescent="0.25">
      <c r="A82" s="163" t="s">
        <v>1093</v>
      </c>
      <c r="B82" s="79"/>
      <c r="C82" s="116">
        <f t="shared" ref="C82:M82" si="23">C70+C71</f>
        <v>382520393.60000002</v>
      </c>
      <c r="D82" s="117">
        <f t="shared" si="23"/>
        <v>0</v>
      </c>
      <c r="E82" s="117">
        <f t="shared" si="23"/>
        <v>0</v>
      </c>
      <c r="F82" s="117">
        <f t="shared" si="23"/>
        <v>0</v>
      </c>
      <c r="G82" s="117">
        <f t="shared" si="23"/>
        <v>0</v>
      </c>
      <c r="H82" s="117">
        <f t="shared" si="23"/>
        <v>0</v>
      </c>
      <c r="I82" s="117">
        <f t="shared" si="23"/>
        <v>23832733</v>
      </c>
      <c r="J82" s="117">
        <f t="shared" si="23"/>
        <v>23832733</v>
      </c>
      <c r="K82" s="117">
        <f t="shared" si="23"/>
        <v>406353126.60000002</v>
      </c>
      <c r="L82" s="157">
        <f t="shared" si="23"/>
        <v>406962432.43400031</v>
      </c>
      <c r="M82" s="240">
        <f t="shared" si="23"/>
        <v>432601014.7173422</v>
      </c>
      <c r="N82" s="128"/>
    </row>
    <row r="83" spans="1:14" ht="5.0999999999999996" customHeight="1" x14ac:dyDescent="0.25">
      <c r="A83" s="136"/>
      <c r="B83" s="73"/>
      <c r="C83" s="241"/>
      <c r="D83" s="75"/>
      <c r="E83" s="75"/>
      <c r="F83" s="75"/>
      <c r="G83" s="75"/>
      <c r="H83" s="75"/>
      <c r="I83" s="75"/>
      <c r="J83" s="75"/>
      <c r="K83" s="75"/>
      <c r="L83" s="75"/>
      <c r="M83" s="76"/>
      <c r="N83" s="128"/>
    </row>
    <row r="84" spans="1:14" ht="12.75" customHeight="1" x14ac:dyDescent="0.25">
      <c r="A84" s="242" t="s">
        <v>1609</v>
      </c>
      <c r="B84" s="73"/>
      <c r="C84" s="243">
        <f>IF(ISERROR(C22/C51),0,(C22/C51))</f>
        <v>0.26544979409468022</v>
      </c>
      <c r="D84" s="244">
        <f>IF(ISERROR(D22/D51),0,(D22/D51))</f>
        <v>0</v>
      </c>
      <c r="E84" s="245"/>
      <c r="F84" s="245"/>
      <c r="G84" s="245"/>
      <c r="H84" s="245"/>
      <c r="I84" s="245"/>
      <c r="J84" s="245"/>
      <c r="K84" s="244">
        <f>IF(ISERROR(K22/K51),0,(K22/K51))</f>
        <v>0.24588313170103807</v>
      </c>
      <c r="L84" s="244">
        <f>IF(ISERROR(L22/L51),0,(L22/L51))</f>
        <v>0.32002457002457002</v>
      </c>
      <c r="M84" s="246">
        <f>IF(ISERROR(M22/M51),0,(M22/M51))</f>
        <v>0.35378929409854337</v>
      </c>
      <c r="N84" s="128"/>
    </row>
    <row r="85" spans="1:14" ht="12.75" customHeight="1" x14ac:dyDescent="0.25">
      <c r="A85" s="242" t="s">
        <v>1610</v>
      </c>
      <c r="B85" s="73"/>
      <c r="C85" s="243">
        <f>IF(ISERROR(C22/C70),0,(C22/C70))</f>
        <v>0.75118536585365858</v>
      </c>
      <c r="D85" s="244">
        <f>IF(ISERROR(D22/D70),0,(D22/D70))</f>
        <v>0</v>
      </c>
      <c r="E85" s="245"/>
      <c r="F85" s="245"/>
      <c r="G85" s="245"/>
      <c r="H85" s="245"/>
      <c r="I85" s="245"/>
      <c r="J85" s="245"/>
      <c r="K85" s="244">
        <f>IF(ISERROR(K22/K70),0,(K22/K70))</f>
        <v>0.75118536585365858</v>
      </c>
      <c r="L85" s="244">
        <f>IF(ISERROR(L22/L70),0,(L22/L70))</f>
        <v>0.87340432840948123</v>
      </c>
      <c r="M85" s="246">
        <f>IF(ISERROR(M22/M70),0,(M22/M70))</f>
        <v>0.97212388126955218</v>
      </c>
      <c r="N85" s="128"/>
    </row>
    <row r="86" spans="1:14" ht="12.75" customHeight="1" x14ac:dyDescent="0.25">
      <c r="A86" s="242" t="s">
        <v>1094</v>
      </c>
      <c r="B86" s="73"/>
      <c r="C86" s="243">
        <f>IF(ISERROR(C71/C67),0,(C71/C67))</f>
        <v>2.3146156609466704E-2</v>
      </c>
      <c r="D86" s="244">
        <f>IF(ISERROR(D71/D67),0,(D71/D67))</f>
        <v>0</v>
      </c>
      <c r="E86" s="245"/>
      <c r="F86" s="245"/>
      <c r="G86" s="245"/>
      <c r="H86" s="245"/>
      <c r="I86" s="245"/>
      <c r="J86" s="245"/>
      <c r="K86" s="244">
        <f>IF(ISERROR(K71/K67),0,(K71/K67))</f>
        <v>2.6096529323961844E-2</v>
      </c>
      <c r="L86" s="244">
        <f>IF(ISERROR(L71/L67),0,(L71/L67))</f>
        <v>2.3443956572894078E-2</v>
      </c>
      <c r="M86" s="246">
        <f>IF(ISERROR(M71/M67),0,(M71/M67))</f>
        <v>2.3727045459187756E-2</v>
      </c>
      <c r="N86" s="128"/>
    </row>
    <row r="87" spans="1:14" ht="12.75" customHeight="1" x14ac:dyDescent="0.25">
      <c r="A87" s="242" t="s">
        <v>1095</v>
      </c>
      <c r="B87" s="73"/>
      <c r="C87" s="243">
        <f>IF(ISERROR((C22+C71)/C67),0,((C22+C71)/C67))</f>
        <v>4.3224672787123518E-2</v>
      </c>
      <c r="D87" s="244">
        <f>IF(ISERROR((D22+D71)/D67),0,((D22+D71)/D67))</f>
        <v>0</v>
      </c>
      <c r="E87" s="245"/>
      <c r="F87" s="245"/>
      <c r="G87" s="245"/>
      <c r="H87" s="245"/>
      <c r="I87" s="245"/>
      <c r="J87" s="245"/>
      <c r="K87" s="244">
        <f>IF(ISERROR((K22+K71)/K67),0,((K22+K71)/K67))</f>
        <v>4.6054912429520513E-2</v>
      </c>
      <c r="L87" s="244">
        <f>IF(ISERROR((L22+L71)/L67),0,((L22+L71)/L67))</f>
        <v>4.7142510170536889E-2</v>
      </c>
      <c r="M87" s="246">
        <f>IF(ISERROR((M22+M71)/M67),0,((M22+M71)/M67))</f>
        <v>5.0422724804125421E-2</v>
      </c>
      <c r="N87" s="128"/>
    </row>
    <row r="88" spans="1:14" ht="3.75" customHeight="1" x14ac:dyDescent="0.25">
      <c r="A88" s="247"/>
      <c r="B88" s="88"/>
      <c r="C88" s="248"/>
      <c r="D88" s="249"/>
      <c r="E88" s="250"/>
      <c r="F88" s="250"/>
      <c r="G88" s="250"/>
      <c r="H88" s="250"/>
      <c r="I88" s="250"/>
      <c r="J88" s="250"/>
      <c r="K88" s="249"/>
      <c r="L88" s="249"/>
      <c r="M88" s="251"/>
      <c r="N88" s="128"/>
    </row>
    <row r="89" spans="1:14" ht="12.75" customHeight="1" x14ac:dyDescent="0.25">
      <c r="A89" s="158" t="str">
        <f>head27a</f>
        <v>References</v>
      </c>
      <c r="B89" s="93"/>
      <c r="C89" s="96"/>
      <c r="D89" s="96"/>
      <c r="E89" s="96"/>
      <c r="F89" s="96"/>
      <c r="G89" s="96"/>
      <c r="H89" s="96"/>
      <c r="I89" s="96"/>
      <c r="J89" s="96"/>
      <c r="K89" s="96"/>
      <c r="L89" s="96"/>
      <c r="M89" s="96"/>
      <c r="N89" s="128"/>
    </row>
    <row r="90" spans="1:14" ht="12.75" customHeight="1" x14ac:dyDescent="0.25">
      <c r="A90" s="652" t="s">
        <v>1184</v>
      </c>
      <c r="B90" s="99"/>
      <c r="C90" s="99"/>
      <c r="D90" s="99"/>
      <c r="E90" s="99"/>
      <c r="F90" s="99"/>
      <c r="G90" s="99"/>
      <c r="H90" s="99"/>
      <c r="I90" s="99"/>
      <c r="J90" s="99"/>
      <c r="K90" s="99"/>
      <c r="L90" s="99"/>
      <c r="M90" s="99"/>
      <c r="N90" s="128"/>
    </row>
    <row r="91" spans="1:14" ht="12.75" customHeight="1" x14ac:dyDescent="0.25">
      <c r="A91" s="652" t="s">
        <v>1185</v>
      </c>
      <c r="B91" s="99"/>
      <c r="C91" s="159"/>
      <c r="D91" s="159"/>
      <c r="E91" s="159"/>
      <c r="F91" s="159"/>
      <c r="G91" s="159"/>
      <c r="H91" s="159"/>
      <c r="I91" s="159"/>
      <c r="J91" s="159"/>
      <c r="K91" s="159"/>
      <c r="L91" s="159"/>
      <c r="M91" s="99"/>
      <c r="N91" s="128"/>
    </row>
    <row r="92" spans="1:14" ht="12.75" customHeight="1" x14ac:dyDescent="0.25">
      <c r="A92" s="652" t="s">
        <v>1186</v>
      </c>
      <c r="B92" s="93"/>
      <c r="C92" s="96"/>
      <c r="D92" s="96"/>
      <c r="E92" s="96"/>
      <c r="F92" s="96"/>
      <c r="G92" s="96"/>
      <c r="H92" s="96"/>
      <c r="I92" s="96"/>
      <c r="J92" s="96"/>
      <c r="K92" s="96"/>
      <c r="L92" s="96"/>
      <c r="M92" s="96"/>
      <c r="N92" s="128"/>
    </row>
    <row r="93" spans="1:14" ht="12.75" customHeight="1" x14ac:dyDescent="0.25">
      <c r="A93" s="120" t="s">
        <v>1187</v>
      </c>
      <c r="B93" s="93"/>
      <c r="C93" s="96"/>
      <c r="D93" s="96"/>
      <c r="E93" s="96"/>
      <c r="F93" s="96"/>
      <c r="G93" s="96"/>
      <c r="H93" s="96"/>
      <c r="I93" s="96"/>
      <c r="J93" s="96"/>
      <c r="K93" s="96"/>
      <c r="L93" s="96"/>
      <c r="M93" s="96"/>
      <c r="N93" s="128"/>
    </row>
    <row r="94" spans="1:14" ht="12.75" customHeight="1" x14ac:dyDescent="0.25">
      <c r="A94" s="652" t="s">
        <v>579</v>
      </c>
      <c r="B94" s="93"/>
      <c r="C94" s="96"/>
      <c r="D94" s="96"/>
      <c r="E94" s="96"/>
      <c r="F94" s="96"/>
      <c r="G94" s="96"/>
      <c r="H94" s="96"/>
      <c r="I94" s="96"/>
      <c r="J94" s="96"/>
      <c r="K94" s="96"/>
      <c r="L94" s="96"/>
      <c r="M94" s="96"/>
      <c r="N94" s="128"/>
    </row>
    <row r="95" spans="1:14" ht="12.75" customHeight="1" x14ac:dyDescent="0.25">
      <c r="A95" s="120" t="s">
        <v>1188</v>
      </c>
      <c r="B95" s="93"/>
      <c r="C95" s="96"/>
      <c r="D95" s="96"/>
      <c r="E95" s="96"/>
      <c r="F95" s="96"/>
      <c r="G95" s="96"/>
      <c r="H95" s="96"/>
      <c r="I95" s="96"/>
      <c r="J95" s="96"/>
      <c r="K95" s="96"/>
      <c r="L95" s="96"/>
      <c r="M95" s="96"/>
    </row>
    <row r="96" spans="1:14" ht="12.75" customHeight="1" x14ac:dyDescent="0.25">
      <c r="A96" s="1320" t="s">
        <v>1097</v>
      </c>
      <c r="B96" s="1320"/>
      <c r="C96" s="1320"/>
      <c r="D96" s="1320"/>
      <c r="E96" s="1320"/>
      <c r="F96" s="1320"/>
      <c r="G96" s="1320"/>
      <c r="H96" s="1320"/>
      <c r="I96" s="1320"/>
      <c r="J96" s="1320"/>
      <c r="K96" s="1320"/>
      <c r="L96" s="1320"/>
      <c r="M96" s="1320"/>
    </row>
    <row r="97" spans="1:15" ht="24.95" customHeight="1" x14ac:dyDescent="0.25">
      <c r="A97" s="1320" t="s">
        <v>1189</v>
      </c>
      <c r="B97" s="1320"/>
      <c r="C97" s="1320"/>
      <c r="D97" s="1320"/>
      <c r="E97" s="1320"/>
      <c r="F97" s="1320"/>
      <c r="G97" s="1320"/>
      <c r="H97" s="1320"/>
      <c r="I97" s="1320"/>
      <c r="J97" s="1320"/>
      <c r="K97" s="1320"/>
      <c r="L97" s="1320"/>
      <c r="M97" s="1320"/>
    </row>
    <row r="98" spans="1:15" ht="12.75" customHeight="1" x14ac:dyDescent="0.25">
      <c r="A98" s="1314" t="s">
        <v>1190</v>
      </c>
      <c r="B98" s="1314"/>
      <c r="C98" s="1314"/>
      <c r="D98" s="1314"/>
      <c r="E98" s="1314"/>
      <c r="F98" s="1314"/>
      <c r="G98" s="1314"/>
      <c r="H98" s="1314"/>
      <c r="I98" s="1314"/>
      <c r="J98" s="1314"/>
      <c r="K98" s="1314"/>
      <c r="L98" s="1314"/>
      <c r="M98" s="1314"/>
    </row>
    <row r="99" spans="1:15" ht="12.75" customHeight="1" x14ac:dyDescent="0.25">
      <c r="A99" s="1314" t="s">
        <v>1191</v>
      </c>
      <c r="B99" s="1314"/>
      <c r="C99" s="1314"/>
      <c r="D99" s="1314"/>
      <c r="E99" s="1314"/>
      <c r="F99" s="1314"/>
      <c r="G99" s="1314"/>
      <c r="H99" s="1314"/>
      <c r="I99" s="1314"/>
      <c r="J99" s="1314"/>
      <c r="K99" s="1314"/>
      <c r="L99" s="1314"/>
      <c r="M99" s="1314"/>
    </row>
    <row r="100" spans="1:15" ht="12.75" customHeight="1" x14ac:dyDescent="0.25">
      <c r="A100" s="99" t="s">
        <v>1192</v>
      </c>
      <c r="B100" s="93"/>
      <c r="C100" s="96"/>
      <c r="D100" s="96"/>
      <c r="E100" s="96"/>
      <c r="F100" s="96"/>
      <c r="G100" s="96"/>
      <c r="H100" s="96"/>
      <c r="I100" s="96"/>
      <c r="J100" s="96"/>
      <c r="K100" s="96"/>
      <c r="L100" s="96"/>
      <c r="M100" s="96"/>
    </row>
    <row r="101" spans="1:15" ht="27" customHeight="1" x14ac:dyDescent="0.25">
      <c r="A101" s="1314" t="s">
        <v>1193</v>
      </c>
      <c r="B101" s="1314"/>
      <c r="C101" s="1314"/>
      <c r="D101" s="1314"/>
      <c r="E101" s="1314"/>
      <c r="F101" s="1314"/>
      <c r="G101" s="1314"/>
      <c r="H101" s="1314"/>
      <c r="I101" s="1314"/>
      <c r="J101" s="1314"/>
      <c r="K101" s="1314"/>
      <c r="L101" s="1314"/>
      <c r="M101" s="1314"/>
    </row>
    <row r="102" spans="1:15" ht="12.75" customHeight="1" x14ac:dyDescent="0.25">
      <c r="A102" s="99" t="s">
        <v>1155</v>
      </c>
      <c r="B102" s="93"/>
      <c r="C102" s="96"/>
      <c r="D102" s="96"/>
      <c r="E102" s="96"/>
      <c r="F102" s="96"/>
      <c r="G102" s="96"/>
      <c r="H102" s="96"/>
      <c r="I102" s="96"/>
      <c r="J102" s="96"/>
      <c r="K102" s="96"/>
      <c r="L102" s="96"/>
      <c r="M102" s="96"/>
    </row>
    <row r="103" spans="1:15" ht="12.75" customHeight="1" x14ac:dyDescent="0.25">
      <c r="A103" s="1314" t="s">
        <v>1156</v>
      </c>
      <c r="B103" s="1314"/>
      <c r="C103" s="1314"/>
      <c r="D103" s="1314"/>
      <c r="E103" s="1314"/>
      <c r="F103" s="1314"/>
      <c r="G103" s="1314"/>
      <c r="H103" s="1314"/>
      <c r="I103" s="1314"/>
      <c r="J103" s="1314"/>
      <c r="K103" s="1314"/>
      <c r="L103" s="1314"/>
      <c r="M103" s="1314"/>
    </row>
    <row r="104" spans="1:15" ht="12.75" customHeight="1" x14ac:dyDescent="0.25"/>
    <row r="105" spans="1:15" ht="12.75" customHeight="1" x14ac:dyDescent="0.25">
      <c r="A105" s="128"/>
      <c r="B105" s="1093"/>
      <c r="C105" s="1094"/>
      <c r="D105" s="1094"/>
      <c r="E105" s="1094"/>
      <c r="F105" s="1094"/>
      <c r="G105" s="1094"/>
      <c r="H105" s="1094"/>
      <c r="I105" s="1094"/>
      <c r="J105" s="1094"/>
      <c r="K105" s="1094"/>
      <c r="L105" s="1094"/>
      <c r="M105" s="1094"/>
      <c r="N105" s="128"/>
      <c r="O105" s="128"/>
    </row>
    <row r="106" spans="1:15" ht="12.75" customHeight="1" x14ac:dyDescent="0.25">
      <c r="B106" s="252" t="s">
        <v>1157</v>
      </c>
      <c r="C106" s="253">
        <f>SUM('B6-FinPos'!C21:C24)-'B9-Asset'!C67</f>
        <v>0</v>
      </c>
      <c r="D106" s="253">
        <f>SUM('B6-FinPos'!D21:D24)-'B9-Asset'!D67</f>
        <v>0</v>
      </c>
      <c r="E106" s="253">
        <f>SUM('B6-FinPos'!E21:E24)-'B9-Asset'!E67</f>
        <v>0</v>
      </c>
      <c r="F106" s="253">
        <f>SUM('B6-FinPos'!F21:F24)-'B9-Asset'!F67</f>
        <v>0</v>
      </c>
      <c r="G106" s="253">
        <f>SUM('B6-FinPos'!G21:G24)-'B9-Asset'!G67</f>
        <v>0</v>
      </c>
      <c r="H106" s="253">
        <f>SUM('B6-FinPos'!H21:H24)-'B9-Asset'!H67</f>
        <v>0</v>
      </c>
      <c r="I106" s="253">
        <f>SUM('B6-FinPos'!I21:I24)-'B9-Asset'!I67</f>
        <v>1</v>
      </c>
      <c r="J106" s="253">
        <f>SUM('B6-FinPos'!J21:J24)-'B9-Asset'!J67</f>
        <v>1</v>
      </c>
      <c r="K106" s="253">
        <f>SUM('B6-FinPos'!K21:K24)-'B9-Asset'!K67</f>
        <v>0.99999904632568359</v>
      </c>
      <c r="L106" s="253">
        <f>SUM('B6-FinPos'!L21:L24)-'B9-Asset'!L67</f>
        <v>0</v>
      </c>
      <c r="M106" s="253">
        <f>SUM('B6-FinPos'!M21:M24)-'B9-Asset'!M67</f>
        <v>0</v>
      </c>
    </row>
    <row r="107" spans="1:15" ht="12.75" customHeight="1" x14ac:dyDescent="0.25"/>
    <row r="108" spans="1:15" ht="12.75" customHeight="1" x14ac:dyDescent="0.25"/>
    <row r="109" spans="1:15" ht="12.75" customHeight="1" x14ac:dyDescent="0.25"/>
    <row r="110" spans="1:15" ht="12.75" customHeight="1" x14ac:dyDescent="0.25"/>
    <row r="111" spans="1:15" ht="12.75" customHeight="1" x14ac:dyDescent="0.25"/>
    <row r="112" spans="1:15"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sheetData>
  <sheetProtection sheet="1" objects="1" scenarios="1"/>
  <mergeCells count="9">
    <mergeCell ref="A103:M103"/>
    <mergeCell ref="A97:M97"/>
    <mergeCell ref="A101:M101"/>
    <mergeCell ref="C2:K2"/>
    <mergeCell ref="A2:A4"/>
    <mergeCell ref="B2:B4"/>
    <mergeCell ref="A96:M96"/>
    <mergeCell ref="A98:M98"/>
    <mergeCell ref="A99:M99"/>
  </mergeCells>
  <phoneticPr fontId="3" type="noConversion"/>
  <printOptions horizontalCentered="1"/>
  <pageMargins left="0.35" right="0.17" top="0.78" bottom="0.6" header="0.51181102362204722" footer="0.39"/>
  <pageSetup paperSize="9" scale="76" orientation="portrait" r:id="rId1"/>
  <headerFooter alignWithMargins="0"/>
  <ignoredErrors>
    <ignoredError sqref="D71:I71 L71:M71" formulaRange="1"/>
    <ignoredError sqref="J71:K71 J72:J81" formula="1" formulaRange="1"/>
    <ignoredError sqref="J59:K59 C43:M43 J13 J28 K13:K31 K7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4"/>
  <sheetViews>
    <sheetView showGridLines="0" zoomScaleNormal="100" workbookViewId="0">
      <pane xSplit="2" ySplit="5" topLeftCell="C78" activePane="bottomRight" state="frozen"/>
      <selection activeCell="C6" sqref="C6"/>
      <selection pane="topRight" activeCell="C6" sqref="C6"/>
      <selection pane="bottomLeft" activeCell="C6" sqref="C6"/>
      <selection pane="bottomRight" activeCell="F83" sqref="F83"/>
    </sheetView>
  </sheetViews>
  <sheetFormatPr defaultRowHeight="12.75" x14ac:dyDescent="0.25"/>
  <cols>
    <col min="1" max="1" width="30.7109375" style="185" customWidth="1"/>
    <col min="2" max="2" width="3" style="186" customWidth="1"/>
    <col min="3" max="13" width="9.140625" style="185"/>
    <col min="14" max="14" width="9.5703125" style="185" customWidth="1"/>
    <col min="15" max="15" width="9.85546875" style="185" customWidth="1"/>
    <col min="16" max="18" width="9.5703125" style="185" customWidth="1"/>
    <col min="19" max="20" width="9.85546875" style="185" customWidth="1"/>
    <col min="21" max="16384" width="9.140625" style="185"/>
  </cols>
  <sheetData>
    <row r="1" spans="1:14" s="255" customFormat="1" x14ac:dyDescent="0.2">
      <c r="A1" s="254" t="str">
        <f>muni&amp;" - "&amp;_ADJ10&amp;" - "&amp;Date</f>
        <v>LIM354 Polokwane - Table B10 Basic service delivery measurement - 25 February 2016</v>
      </c>
      <c r="B1" s="254"/>
      <c r="C1" s="254"/>
      <c r="D1" s="254"/>
      <c r="E1" s="254"/>
      <c r="F1" s="254"/>
      <c r="G1" s="254"/>
      <c r="H1" s="254"/>
    </row>
    <row r="2" spans="1:14" ht="28.5" customHeight="1" x14ac:dyDescent="0.25">
      <c r="A2" s="1343" t="str">
        <f>desc</f>
        <v>Description</v>
      </c>
      <c r="B2" s="1346" t="str">
        <f>head27</f>
        <v>Ref</v>
      </c>
      <c r="C2" s="1349" t="str">
        <f>Head2</f>
        <v>Budget Year 2015/16</v>
      </c>
      <c r="D2" s="1349"/>
      <c r="E2" s="1349"/>
      <c r="F2" s="1349"/>
      <c r="G2" s="1349"/>
      <c r="H2" s="1349"/>
      <c r="I2" s="1349"/>
      <c r="J2" s="1349"/>
      <c r="K2" s="1350"/>
      <c r="L2" s="103" t="str">
        <f>Head10</f>
        <v>Budget Year +1 2016/17</v>
      </c>
      <c r="M2" s="61" t="str">
        <f>Head11</f>
        <v>Budget Year +2 2017/18</v>
      </c>
    </row>
    <row r="3" spans="1:14" ht="28.5" customHeight="1" x14ac:dyDescent="0.25">
      <c r="A3" s="1344"/>
      <c r="B3" s="1347"/>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44"/>
      <c r="B4" s="1347"/>
      <c r="C4" s="15"/>
      <c r="D4" s="15">
        <v>7</v>
      </c>
      <c r="E4" s="15">
        <v>8</v>
      </c>
      <c r="F4" s="15">
        <v>9</v>
      </c>
      <c r="G4" s="15">
        <v>10</v>
      </c>
      <c r="H4" s="15">
        <v>11</v>
      </c>
      <c r="I4" s="15">
        <v>12</v>
      </c>
      <c r="J4" s="15">
        <v>13</v>
      </c>
      <c r="K4" s="15">
        <v>14</v>
      </c>
      <c r="L4" s="15"/>
      <c r="M4" s="17"/>
    </row>
    <row r="5" spans="1:14" x14ac:dyDescent="0.25">
      <c r="A5" s="1345"/>
      <c r="B5" s="1348"/>
      <c r="C5" s="69" t="s">
        <v>581</v>
      </c>
      <c r="D5" s="68" t="s">
        <v>582</v>
      </c>
      <c r="E5" s="68" t="s">
        <v>583</v>
      </c>
      <c r="F5" s="69" t="s">
        <v>584</v>
      </c>
      <c r="G5" s="69" t="s">
        <v>585</v>
      </c>
      <c r="H5" s="69" t="s">
        <v>586</v>
      </c>
      <c r="I5" s="70" t="s">
        <v>587</v>
      </c>
      <c r="J5" s="70" t="s">
        <v>588</v>
      </c>
      <c r="K5" s="70" t="s">
        <v>589</v>
      </c>
      <c r="L5" s="70"/>
      <c r="M5" s="71"/>
    </row>
    <row r="6" spans="1:14" ht="11.25" customHeight="1" x14ac:dyDescent="0.25">
      <c r="A6" s="256" t="s">
        <v>1603</v>
      </c>
      <c r="B6" s="257">
        <v>1</v>
      </c>
      <c r="C6" s="258"/>
      <c r="D6" s="258"/>
      <c r="E6" s="258"/>
      <c r="F6" s="258"/>
      <c r="G6" s="258"/>
      <c r="H6" s="258"/>
      <c r="I6" s="259"/>
      <c r="J6" s="259"/>
      <c r="K6" s="259"/>
      <c r="L6" s="259"/>
      <c r="M6" s="260"/>
    </row>
    <row r="7" spans="1:14" x14ac:dyDescent="0.25">
      <c r="A7" s="261" t="s">
        <v>636</v>
      </c>
      <c r="B7" s="257"/>
      <c r="C7" s="132"/>
      <c r="D7" s="132"/>
      <c r="E7" s="132"/>
      <c r="F7" s="132"/>
      <c r="G7" s="132"/>
      <c r="H7" s="132"/>
      <c r="I7" s="259"/>
      <c r="J7" s="259"/>
      <c r="K7" s="259"/>
      <c r="L7" s="259"/>
      <c r="M7" s="262"/>
      <c r="N7" s="860"/>
    </row>
    <row r="8" spans="1:14" ht="11.25" customHeight="1" x14ac:dyDescent="0.25">
      <c r="A8" s="263" t="s">
        <v>1194</v>
      </c>
      <c r="B8" s="257"/>
      <c r="C8" s="624">
        <v>43800</v>
      </c>
      <c r="D8" s="624"/>
      <c r="E8" s="624"/>
      <c r="F8" s="624"/>
      <c r="G8" s="624"/>
      <c r="H8" s="624"/>
      <c r="I8" s="624"/>
      <c r="J8" s="132">
        <f t="shared" ref="J8:J15" si="0">SUM(E8:I8)</f>
        <v>0</v>
      </c>
      <c r="K8" s="132">
        <f t="shared" ref="K8:K15" si="1">IF(D8=0,C8+J8,D8+J8)</f>
        <v>43800</v>
      </c>
      <c r="L8" s="1253">
        <v>43850</v>
      </c>
      <c r="M8" s="1254">
        <v>44000</v>
      </c>
      <c r="N8" s="860"/>
    </row>
    <row r="9" spans="1:14" ht="11.25" customHeight="1" x14ac:dyDescent="0.25">
      <c r="A9" s="263" t="s">
        <v>1195</v>
      </c>
      <c r="B9" s="257"/>
      <c r="C9" s="624">
        <v>43300</v>
      </c>
      <c r="D9" s="624"/>
      <c r="E9" s="624"/>
      <c r="F9" s="624"/>
      <c r="G9" s="624"/>
      <c r="H9" s="624"/>
      <c r="I9" s="624"/>
      <c r="J9" s="132">
        <f t="shared" si="0"/>
        <v>0</v>
      </c>
      <c r="K9" s="132">
        <f t="shared" si="1"/>
        <v>43300</v>
      </c>
      <c r="L9" s="1253">
        <v>43400</v>
      </c>
      <c r="M9" s="1254">
        <v>43500</v>
      </c>
      <c r="N9" s="860"/>
    </row>
    <row r="10" spans="1:14" ht="11.25" customHeight="1" x14ac:dyDescent="0.25">
      <c r="A10" s="263" t="s">
        <v>1196</v>
      </c>
      <c r="B10" s="257">
        <v>2</v>
      </c>
      <c r="C10" s="624">
        <v>51000</v>
      </c>
      <c r="D10" s="624"/>
      <c r="E10" s="624"/>
      <c r="F10" s="624"/>
      <c r="G10" s="624"/>
      <c r="H10" s="624"/>
      <c r="I10" s="624"/>
      <c r="J10" s="132">
        <f t="shared" si="0"/>
        <v>0</v>
      </c>
      <c r="K10" s="132">
        <f t="shared" si="1"/>
        <v>51000</v>
      </c>
      <c r="L10" s="1253">
        <v>49800</v>
      </c>
      <c r="M10" s="1254">
        <v>49700</v>
      </c>
      <c r="N10" s="860"/>
    </row>
    <row r="11" spans="1:14" ht="11.25" customHeight="1" x14ac:dyDescent="0.25">
      <c r="A11" s="263" t="s">
        <v>1197</v>
      </c>
      <c r="B11" s="257"/>
      <c r="C11" s="624">
        <v>33601</v>
      </c>
      <c r="D11" s="624"/>
      <c r="E11" s="624"/>
      <c r="F11" s="624"/>
      <c r="G11" s="624"/>
      <c r="H11" s="624"/>
      <c r="I11" s="624"/>
      <c r="J11" s="132">
        <f t="shared" si="0"/>
        <v>0</v>
      </c>
      <c r="K11" s="132">
        <f t="shared" si="1"/>
        <v>33601</v>
      </c>
      <c r="L11" s="1253">
        <v>34751</v>
      </c>
      <c r="M11" s="1254">
        <v>34701</v>
      </c>
      <c r="N11" s="860"/>
    </row>
    <row r="12" spans="1:14" ht="11.25" customHeight="1" x14ac:dyDescent="0.25">
      <c r="A12" s="850" t="s">
        <v>1264</v>
      </c>
      <c r="B12" s="257"/>
      <c r="C12" s="266">
        <f t="shared" ref="C12:M12" si="2">SUM(C8:C11)</f>
        <v>171701</v>
      </c>
      <c r="D12" s="266">
        <f t="shared" si="2"/>
        <v>0</v>
      </c>
      <c r="E12" s="266">
        <f t="shared" si="2"/>
        <v>0</v>
      </c>
      <c r="F12" s="266">
        <f t="shared" si="2"/>
        <v>0</v>
      </c>
      <c r="G12" s="266">
        <f t="shared" si="2"/>
        <v>0</v>
      </c>
      <c r="H12" s="266">
        <f t="shared" si="2"/>
        <v>0</v>
      </c>
      <c r="I12" s="266">
        <f t="shared" si="2"/>
        <v>0</v>
      </c>
      <c r="J12" s="266">
        <f t="shared" si="0"/>
        <v>0</v>
      </c>
      <c r="K12" s="266">
        <f t="shared" si="1"/>
        <v>171701</v>
      </c>
      <c r="L12" s="266">
        <f t="shared" si="2"/>
        <v>171801</v>
      </c>
      <c r="M12" s="267">
        <f t="shared" si="2"/>
        <v>171901</v>
      </c>
      <c r="N12" s="860"/>
    </row>
    <row r="13" spans="1:14" ht="11.25" customHeight="1" x14ac:dyDescent="0.25">
      <c r="A13" s="263" t="s">
        <v>1198</v>
      </c>
      <c r="B13" s="257">
        <v>3</v>
      </c>
      <c r="C13" s="624"/>
      <c r="D13" s="624"/>
      <c r="E13" s="624"/>
      <c r="F13" s="624"/>
      <c r="G13" s="624"/>
      <c r="H13" s="624"/>
      <c r="I13" s="624"/>
      <c r="J13" s="132">
        <f t="shared" si="0"/>
        <v>0</v>
      </c>
      <c r="K13" s="132">
        <f t="shared" si="1"/>
        <v>0</v>
      </c>
      <c r="L13" s="264"/>
      <c r="M13" s="265"/>
      <c r="N13" s="860"/>
    </row>
    <row r="14" spans="1:14" ht="11.25" customHeight="1" x14ac:dyDescent="0.25">
      <c r="A14" s="263" t="s">
        <v>1199</v>
      </c>
      <c r="B14" s="257" t="s">
        <v>1200</v>
      </c>
      <c r="C14" s="624">
        <v>6300</v>
      </c>
      <c r="D14" s="624"/>
      <c r="E14" s="624"/>
      <c r="F14" s="624"/>
      <c r="G14" s="624"/>
      <c r="H14" s="624"/>
      <c r="I14" s="624"/>
      <c r="J14" s="132">
        <f t="shared" si="0"/>
        <v>0</v>
      </c>
      <c r="K14" s="132">
        <f t="shared" si="1"/>
        <v>6300</v>
      </c>
      <c r="L14" s="1255">
        <v>6200</v>
      </c>
      <c r="M14" s="1256">
        <v>6100</v>
      </c>
      <c r="N14" s="860"/>
    </row>
    <row r="15" spans="1:14" ht="11.25" customHeight="1" x14ac:dyDescent="0.25">
      <c r="A15" s="263" t="s">
        <v>1201</v>
      </c>
      <c r="B15" s="257"/>
      <c r="C15" s="624"/>
      <c r="D15" s="624"/>
      <c r="E15" s="624"/>
      <c r="F15" s="624"/>
      <c r="G15" s="624"/>
      <c r="H15" s="624"/>
      <c r="I15" s="624"/>
      <c r="J15" s="132">
        <f t="shared" si="0"/>
        <v>0</v>
      </c>
      <c r="K15" s="132">
        <f t="shared" si="1"/>
        <v>0</v>
      </c>
      <c r="L15" s="264"/>
      <c r="M15" s="265"/>
      <c r="N15" s="860"/>
    </row>
    <row r="16" spans="1:14" ht="11.25" customHeight="1" x14ac:dyDescent="0.25">
      <c r="A16" s="850" t="s">
        <v>1265</v>
      </c>
      <c r="B16" s="257"/>
      <c r="C16" s="268">
        <f t="shared" ref="C16:M16" si="3">SUM(C13:C15)</f>
        <v>6300</v>
      </c>
      <c r="D16" s="268">
        <f t="shared" si="3"/>
        <v>0</v>
      </c>
      <c r="E16" s="268">
        <f t="shared" si="3"/>
        <v>0</v>
      </c>
      <c r="F16" s="268">
        <f t="shared" si="3"/>
        <v>0</v>
      </c>
      <c r="G16" s="268">
        <f t="shared" si="3"/>
        <v>0</v>
      </c>
      <c r="H16" s="268">
        <f t="shared" si="3"/>
        <v>0</v>
      </c>
      <c r="I16" s="268">
        <f t="shared" si="3"/>
        <v>0</v>
      </c>
      <c r="J16" s="268">
        <f t="shared" si="3"/>
        <v>0</v>
      </c>
      <c r="K16" s="268">
        <f t="shared" si="3"/>
        <v>6300</v>
      </c>
      <c r="L16" s="268">
        <f t="shared" si="3"/>
        <v>6200</v>
      </c>
      <c r="M16" s="269">
        <f t="shared" si="3"/>
        <v>6100</v>
      </c>
      <c r="N16" s="860"/>
    </row>
    <row r="17" spans="1:14" ht="11.25" customHeight="1" x14ac:dyDescent="0.25">
      <c r="A17" s="270" t="s">
        <v>1202</v>
      </c>
      <c r="B17" s="257">
        <v>5</v>
      </c>
      <c r="C17" s="271">
        <f t="shared" ref="C17:M17" si="4">C12+C16</f>
        <v>178001</v>
      </c>
      <c r="D17" s="271">
        <f t="shared" si="4"/>
        <v>0</v>
      </c>
      <c r="E17" s="271">
        <f t="shared" si="4"/>
        <v>0</v>
      </c>
      <c r="F17" s="271">
        <f t="shared" si="4"/>
        <v>0</v>
      </c>
      <c r="G17" s="271">
        <f t="shared" si="4"/>
        <v>0</v>
      </c>
      <c r="H17" s="271">
        <f t="shared" si="4"/>
        <v>0</v>
      </c>
      <c r="I17" s="271">
        <f t="shared" si="4"/>
        <v>0</v>
      </c>
      <c r="J17" s="271">
        <f t="shared" si="4"/>
        <v>0</v>
      </c>
      <c r="K17" s="271">
        <f t="shared" si="4"/>
        <v>178001</v>
      </c>
      <c r="L17" s="271">
        <f t="shared" si="4"/>
        <v>178001</v>
      </c>
      <c r="M17" s="272">
        <f t="shared" si="4"/>
        <v>178001</v>
      </c>
      <c r="N17" s="860"/>
    </row>
    <row r="18" spans="1:14" ht="15.75" customHeight="1" x14ac:dyDescent="0.25">
      <c r="A18" s="261" t="s">
        <v>637</v>
      </c>
      <c r="B18" s="257"/>
      <c r="C18" s="132"/>
      <c r="D18" s="132"/>
      <c r="E18" s="132"/>
      <c r="F18" s="132"/>
      <c r="G18" s="132"/>
      <c r="H18" s="132"/>
      <c r="I18" s="259"/>
      <c r="J18" s="259"/>
      <c r="K18" s="259"/>
      <c r="L18" s="259"/>
      <c r="M18" s="262"/>
      <c r="N18" s="860"/>
    </row>
    <row r="19" spans="1:14" ht="11.25" customHeight="1" x14ac:dyDescent="0.25">
      <c r="A19" s="263" t="s">
        <v>1203</v>
      </c>
      <c r="B19" s="257"/>
      <c r="C19" s="624">
        <v>40500</v>
      </c>
      <c r="D19" s="624"/>
      <c r="E19" s="624"/>
      <c r="F19" s="624"/>
      <c r="G19" s="624"/>
      <c r="H19" s="624"/>
      <c r="I19" s="624"/>
      <c r="J19" s="928">
        <f t="shared" ref="J19:J27" si="5">SUM(E19:I19)</f>
        <v>0</v>
      </c>
      <c r="K19" s="928">
        <f t="shared" ref="K19:K27" si="6">IF(D19=0,C19+J19,D19+J19)</f>
        <v>40500</v>
      </c>
      <c r="L19" s="1257">
        <v>40600</v>
      </c>
      <c r="M19" s="1258">
        <v>40700</v>
      </c>
      <c r="N19" s="860"/>
    </row>
    <row r="20" spans="1:14" ht="11.25" customHeight="1" x14ac:dyDescent="0.25">
      <c r="A20" s="263" t="s">
        <v>1204</v>
      </c>
      <c r="B20" s="257"/>
      <c r="C20" s="624">
        <v>4100</v>
      </c>
      <c r="D20" s="624"/>
      <c r="E20" s="624"/>
      <c r="F20" s="624"/>
      <c r="G20" s="624"/>
      <c r="H20" s="624"/>
      <c r="I20" s="624"/>
      <c r="J20" s="928">
        <f t="shared" si="5"/>
        <v>0</v>
      </c>
      <c r="K20" s="928">
        <f t="shared" si="6"/>
        <v>4100</v>
      </c>
      <c r="L20" s="1257">
        <v>4200</v>
      </c>
      <c r="M20" s="1258">
        <v>4300</v>
      </c>
      <c r="N20" s="860"/>
    </row>
    <row r="21" spans="1:14" ht="11.25" customHeight="1" x14ac:dyDescent="0.25">
      <c r="A21" s="263" t="s">
        <v>1205</v>
      </c>
      <c r="B21" s="257"/>
      <c r="C21" s="624">
        <v>1520</v>
      </c>
      <c r="D21" s="624"/>
      <c r="E21" s="624"/>
      <c r="F21" s="624"/>
      <c r="G21" s="624"/>
      <c r="H21" s="624"/>
      <c r="I21" s="624"/>
      <c r="J21" s="928">
        <f t="shared" si="5"/>
        <v>0</v>
      </c>
      <c r="K21" s="928">
        <f t="shared" si="6"/>
        <v>1520</v>
      </c>
      <c r="L21" s="1257">
        <v>1520</v>
      </c>
      <c r="M21" s="1258">
        <v>1520</v>
      </c>
      <c r="N21" s="860"/>
    </row>
    <row r="22" spans="1:14" ht="11.25" customHeight="1" x14ac:dyDescent="0.25">
      <c r="A22" s="263" t="s">
        <v>299</v>
      </c>
      <c r="B22" s="257"/>
      <c r="C22" s="624">
        <v>34000</v>
      </c>
      <c r="D22" s="624"/>
      <c r="E22" s="624"/>
      <c r="F22" s="624"/>
      <c r="G22" s="624"/>
      <c r="H22" s="624"/>
      <c r="I22" s="624"/>
      <c r="J22" s="928">
        <f t="shared" si="5"/>
        <v>0</v>
      </c>
      <c r="K22" s="928">
        <f t="shared" si="6"/>
        <v>34000</v>
      </c>
      <c r="L22" s="1257">
        <v>34100</v>
      </c>
      <c r="M22" s="1258">
        <v>34100</v>
      </c>
      <c r="N22" s="860"/>
    </row>
    <row r="23" spans="1:14" ht="11.25" customHeight="1" x14ac:dyDescent="0.25">
      <c r="A23" s="263" t="s">
        <v>301</v>
      </c>
      <c r="B23" s="257"/>
      <c r="C23" s="624"/>
      <c r="D23" s="624"/>
      <c r="E23" s="624"/>
      <c r="F23" s="624"/>
      <c r="G23" s="624"/>
      <c r="H23" s="624"/>
      <c r="I23" s="624"/>
      <c r="J23" s="929">
        <f t="shared" si="5"/>
        <v>0</v>
      </c>
      <c r="K23" s="929">
        <f t="shared" si="6"/>
        <v>0</v>
      </c>
      <c r="L23" s="1257"/>
      <c r="M23" s="1258"/>
      <c r="N23" s="860"/>
    </row>
    <row r="24" spans="1:14" ht="11.25" customHeight="1" x14ac:dyDescent="0.25">
      <c r="A24" s="850" t="str">
        <f>$A$12</f>
        <v>Minimum Service Level and Above sub-total</v>
      </c>
      <c r="B24" s="257"/>
      <c r="C24" s="715">
        <f t="shared" ref="C24:M24" si="7">SUM(C19:C23)</f>
        <v>80120</v>
      </c>
      <c r="D24" s="715">
        <f t="shared" si="7"/>
        <v>0</v>
      </c>
      <c r="E24" s="715">
        <f t="shared" si="7"/>
        <v>0</v>
      </c>
      <c r="F24" s="715">
        <f t="shared" si="7"/>
        <v>0</v>
      </c>
      <c r="G24" s="715">
        <f t="shared" si="7"/>
        <v>0</v>
      </c>
      <c r="H24" s="715">
        <f t="shared" si="7"/>
        <v>0</v>
      </c>
      <c r="I24" s="715">
        <f t="shared" si="7"/>
        <v>0</v>
      </c>
      <c r="J24" s="928">
        <f t="shared" si="5"/>
        <v>0</v>
      </c>
      <c r="K24" s="928">
        <f t="shared" si="6"/>
        <v>80120</v>
      </c>
      <c r="L24" s="715">
        <f t="shared" si="7"/>
        <v>80420</v>
      </c>
      <c r="M24" s="716">
        <f t="shared" si="7"/>
        <v>80620</v>
      </c>
      <c r="N24" s="860"/>
    </row>
    <row r="25" spans="1:14" ht="11.25" customHeight="1" x14ac:dyDescent="0.25">
      <c r="A25" s="263" t="s">
        <v>300</v>
      </c>
      <c r="B25" s="257"/>
      <c r="C25" s="624"/>
      <c r="D25" s="624"/>
      <c r="E25" s="624"/>
      <c r="F25" s="624"/>
      <c r="G25" s="624"/>
      <c r="H25" s="624"/>
      <c r="I25" s="624"/>
      <c r="J25" s="928">
        <f t="shared" si="5"/>
        <v>0</v>
      </c>
      <c r="K25" s="928">
        <f t="shared" si="6"/>
        <v>0</v>
      </c>
      <c r="L25" s="624"/>
      <c r="M25" s="1111"/>
      <c r="N25" s="860"/>
    </row>
    <row r="26" spans="1:14" ht="11.25" customHeight="1" x14ac:dyDescent="0.25">
      <c r="A26" s="263" t="s">
        <v>302</v>
      </c>
      <c r="B26" s="257"/>
      <c r="C26" s="624">
        <v>98000</v>
      </c>
      <c r="D26" s="624"/>
      <c r="E26" s="624"/>
      <c r="F26" s="624"/>
      <c r="G26" s="624"/>
      <c r="H26" s="624"/>
      <c r="I26" s="624"/>
      <c r="J26" s="928">
        <f t="shared" si="5"/>
        <v>0</v>
      </c>
      <c r="K26" s="928">
        <f t="shared" si="6"/>
        <v>98000</v>
      </c>
      <c r="L26" s="1259">
        <v>97581</v>
      </c>
      <c r="M26" s="1260">
        <v>97381</v>
      </c>
      <c r="N26" s="860"/>
    </row>
    <row r="27" spans="1:14" ht="11.25" customHeight="1" x14ac:dyDescent="0.25">
      <c r="A27" s="263" t="s">
        <v>1206</v>
      </c>
      <c r="B27" s="257"/>
      <c r="C27" s="624"/>
      <c r="D27" s="624"/>
      <c r="E27" s="624"/>
      <c r="F27" s="624"/>
      <c r="G27" s="624"/>
      <c r="H27" s="624"/>
      <c r="I27" s="624"/>
      <c r="J27" s="928">
        <f t="shared" si="5"/>
        <v>0</v>
      </c>
      <c r="K27" s="928">
        <f t="shared" si="6"/>
        <v>0</v>
      </c>
      <c r="L27" s="624"/>
      <c r="M27" s="1111"/>
      <c r="N27" s="860"/>
    </row>
    <row r="28" spans="1:14" ht="11.25" customHeight="1" x14ac:dyDescent="0.25">
      <c r="A28" s="850" t="str">
        <f>$A$16</f>
        <v>Below Minimum Servic Level sub-total</v>
      </c>
      <c r="B28" s="257"/>
      <c r="C28" s="930">
        <f t="shared" ref="C28:M28" si="8">SUM(C25:C27)</f>
        <v>98000</v>
      </c>
      <c r="D28" s="930">
        <f t="shared" si="8"/>
        <v>0</v>
      </c>
      <c r="E28" s="930">
        <f t="shared" si="8"/>
        <v>0</v>
      </c>
      <c r="F28" s="930">
        <f t="shared" si="8"/>
        <v>0</v>
      </c>
      <c r="G28" s="930">
        <f t="shared" si="8"/>
        <v>0</v>
      </c>
      <c r="H28" s="930">
        <f t="shared" si="8"/>
        <v>0</v>
      </c>
      <c r="I28" s="930">
        <f t="shared" si="8"/>
        <v>0</v>
      </c>
      <c r="J28" s="930">
        <f t="shared" si="8"/>
        <v>0</v>
      </c>
      <c r="K28" s="930">
        <f t="shared" si="8"/>
        <v>98000</v>
      </c>
      <c r="L28" s="930">
        <f t="shared" si="8"/>
        <v>97581</v>
      </c>
      <c r="M28" s="931">
        <f t="shared" si="8"/>
        <v>97381</v>
      </c>
      <c r="N28" s="860"/>
    </row>
    <row r="29" spans="1:14" ht="11.25" customHeight="1" x14ac:dyDescent="0.25">
      <c r="A29" s="270" t="str">
        <f>$A$17</f>
        <v>Total number of households</v>
      </c>
      <c r="B29" s="257">
        <f>$B$17</f>
        <v>5</v>
      </c>
      <c r="C29" s="932">
        <f t="shared" ref="C29:M29" si="9">C24+C28</f>
        <v>178120</v>
      </c>
      <c r="D29" s="932">
        <f t="shared" si="9"/>
        <v>0</v>
      </c>
      <c r="E29" s="932">
        <f t="shared" si="9"/>
        <v>0</v>
      </c>
      <c r="F29" s="932">
        <f t="shared" si="9"/>
        <v>0</v>
      </c>
      <c r="G29" s="932">
        <f t="shared" si="9"/>
        <v>0</v>
      </c>
      <c r="H29" s="932">
        <f t="shared" si="9"/>
        <v>0</v>
      </c>
      <c r="I29" s="932">
        <f t="shared" si="9"/>
        <v>0</v>
      </c>
      <c r="J29" s="932">
        <f t="shared" si="9"/>
        <v>0</v>
      </c>
      <c r="K29" s="932">
        <f t="shared" si="9"/>
        <v>178120</v>
      </c>
      <c r="L29" s="932">
        <f t="shared" si="9"/>
        <v>178001</v>
      </c>
      <c r="M29" s="933">
        <f t="shared" si="9"/>
        <v>178001</v>
      </c>
      <c r="N29" s="860"/>
    </row>
    <row r="30" spans="1:14" ht="15.75" customHeight="1" x14ac:dyDescent="0.25">
      <c r="A30" s="261" t="s">
        <v>638</v>
      </c>
      <c r="B30" s="257"/>
      <c r="C30" s="132"/>
      <c r="D30" s="132"/>
      <c r="E30" s="132"/>
      <c r="F30" s="132"/>
      <c r="G30" s="132"/>
      <c r="H30" s="132"/>
      <c r="I30" s="132"/>
      <c r="J30" s="132"/>
      <c r="K30" s="132"/>
      <c r="L30" s="132"/>
      <c r="M30" s="133"/>
      <c r="N30" s="860"/>
    </row>
    <row r="31" spans="1:14" ht="11.25" customHeight="1" x14ac:dyDescent="0.25">
      <c r="A31" s="263" t="s">
        <v>303</v>
      </c>
      <c r="B31" s="257"/>
      <c r="C31" s="624">
        <v>79802</v>
      </c>
      <c r="D31" s="624"/>
      <c r="E31" s="624"/>
      <c r="F31" s="624"/>
      <c r="G31" s="624"/>
      <c r="H31" s="624"/>
      <c r="I31" s="624"/>
      <c r="J31" s="928">
        <f t="shared" ref="J31:J36" si="10">SUM(E31:I31)</f>
        <v>0</v>
      </c>
      <c r="K31" s="928">
        <f t="shared" ref="K31:K36" si="11">IF(D31=0,C31+J31,D31+J31)</f>
        <v>79802</v>
      </c>
      <c r="L31" s="1261">
        <v>79802</v>
      </c>
      <c r="M31" s="1262">
        <v>79802</v>
      </c>
      <c r="N31" s="860"/>
    </row>
    <row r="32" spans="1:14" ht="11.25" customHeight="1" x14ac:dyDescent="0.25">
      <c r="A32" s="263" t="s">
        <v>304</v>
      </c>
      <c r="B32" s="257"/>
      <c r="C32" s="624">
        <v>69000</v>
      </c>
      <c r="D32" s="624"/>
      <c r="E32" s="624"/>
      <c r="F32" s="624"/>
      <c r="G32" s="624"/>
      <c r="H32" s="624"/>
      <c r="I32" s="624"/>
      <c r="J32" s="928">
        <f t="shared" si="10"/>
        <v>0</v>
      </c>
      <c r="K32" s="928">
        <f t="shared" si="11"/>
        <v>69000</v>
      </c>
      <c r="L32" s="1261">
        <v>69100</v>
      </c>
      <c r="M32" s="1262">
        <v>69200</v>
      </c>
      <c r="N32" s="860"/>
    </row>
    <row r="33" spans="1:14" ht="11.25" customHeight="1" x14ac:dyDescent="0.25">
      <c r="A33" s="850" t="str">
        <f>$A$12</f>
        <v>Minimum Service Level and Above sub-total</v>
      </c>
      <c r="B33" s="257"/>
      <c r="C33" s="715">
        <f t="shared" ref="C33:M33" si="12">SUM(C31:C32)</f>
        <v>148802</v>
      </c>
      <c r="D33" s="715">
        <f t="shared" si="12"/>
        <v>0</v>
      </c>
      <c r="E33" s="715">
        <f t="shared" si="12"/>
        <v>0</v>
      </c>
      <c r="F33" s="715">
        <f t="shared" si="12"/>
        <v>0</v>
      </c>
      <c r="G33" s="715">
        <f t="shared" si="12"/>
        <v>0</v>
      </c>
      <c r="H33" s="715">
        <f t="shared" si="12"/>
        <v>0</v>
      </c>
      <c r="I33" s="715">
        <f t="shared" si="12"/>
        <v>0</v>
      </c>
      <c r="J33" s="715">
        <f t="shared" si="10"/>
        <v>0</v>
      </c>
      <c r="K33" s="715">
        <f t="shared" si="11"/>
        <v>148802</v>
      </c>
      <c r="L33" s="715">
        <f t="shared" si="12"/>
        <v>148902</v>
      </c>
      <c r="M33" s="716">
        <f t="shared" si="12"/>
        <v>149002</v>
      </c>
      <c r="N33" s="860"/>
    </row>
    <row r="34" spans="1:14" ht="11.25" customHeight="1" x14ac:dyDescent="0.25">
      <c r="A34" s="263" t="s">
        <v>1207</v>
      </c>
      <c r="B34" s="257"/>
      <c r="C34" s="624">
        <v>13216</v>
      </c>
      <c r="D34" s="624"/>
      <c r="E34" s="624"/>
      <c r="F34" s="624"/>
      <c r="G34" s="624"/>
      <c r="H34" s="624"/>
      <c r="I34" s="624"/>
      <c r="J34" s="928">
        <f t="shared" si="10"/>
        <v>0</v>
      </c>
      <c r="K34" s="928">
        <f t="shared" si="11"/>
        <v>13216</v>
      </c>
      <c r="L34" s="1263">
        <v>13116</v>
      </c>
      <c r="M34" s="1264">
        <v>13016</v>
      </c>
      <c r="N34" s="860"/>
    </row>
    <row r="35" spans="1:14" ht="11.25" customHeight="1" x14ac:dyDescent="0.25">
      <c r="A35" s="263" t="s">
        <v>1208</v>
      </c>
      <c r="B35" s="257"/>
      <c r="C35" s="624">
        <v>14514</v>
      </c>
      <c r="D35" s="624"/>
      <c r="E35" s="624"/>
      <c r="F35" s="624"/>
      <c r="G35" s="624"/>
      <c r="H35" s="624"/>
      <c r="I35" s="624"/>
      <c r="J35" s="928">
        <f t="shared" si="10"/>
        <v>0</v>
      </c>
      <c r="K35" s="928">
        <f t="shared" si="11"/>
        <v>14514</v>
      </c>
      <c r="L35" s="1263">
        <v>14514</v>
      </c>
      <c r="M35" s="1264">
        <v>14514</v>
      </c>
      <c r="N35" s="860"/>
    </row>
    <row r="36" spans="1:14" ht="11.25" customHeight="1" x14ac:dyDescent="0.25">
      <c r="A36" s="263" t="s">
        <v>1209</v>
      </c>
      <c r="B36" s="257"/>
      <c r="C36" s="624">
        <v>1469</v>
      </c>
      <c r="D36" s="624"/>
      <c r="E36" s="624"/>
      <c r="F36" s="624"/>
      <c r="G36" s="624"/>
      <c r="H36" s="624"/>
      <c r="I36" s="624"/>
      <c r="J36" s="928">
        <f t="shared" si="10"/>
        <v>0</v>
      </c>
      <c r="K36" s="928">
        <f t="shared" si="11"/>
        <v>1469</v>
      </c>
      <c r="L36" s="1263">
        <v>1469</v>
      </c>
      <c r="M36" s="1264">
        <v>1469</v>
      </c>
      <c r="N36" s="860"/>
    </row>
    <row r="37" spans="1:14" ht="11.25" customHeight="1" x14ac:dyDescent="0.25">
      <c r="A37" s="850" t="str">
        <f>$A$16</f>
        <v>Below Minimum Servic Level sub-total</v>
      </c>
      <c r="B37" s="257"/>
      <c r="C37" s="930">
        <f t="shared" ref="C37:M37" si="13">SUM(C34:C36)</f>
        <v>29199</v>
      </c>
      <c r="D37" s="930">
        <f t="shared" si="13"/>
        <v>0</v>
      </c>
      <c r="E37" s="930">
        <f t="shared" si="13"/>
        <v>0</v>
      </c>
      <c r="F37" s="930">
        <f t="shared" si="13"/>
        <v>0</v>
      </c>
      <c r="G37" s="930">
        <f t="shared" si="13"/>
        <v>0</v>
      </c>
      <c r="H37" s="930">
        <f t="shared" si="13"/>
        <v>0</v>
      </c>
      <c r="I37" s="930">
        <f t="shared" si="13"/>
        <v>0</v>
      </c>
      <c r="J37" s="930">
        <f t="shared" si="13"/>
        <v>0</v>
      </c>
      <c r="K37" s="930">
        <f t="shared" si="13"/>
        <v>29199</v>
      </c>
      <c r="L37" s="930">
        <f t="shared" si="13"/>
        <v>29099</v>
      </c>
      <c r="M37" s="931">
        <f t="shared" si="13"/>
        <v>28999</v>
      </c>
      <c r="N37" s="860"/>
    </row>
    <row r="38" spans="1:14" ht="11.25" customHeight="1" x14ac:dyDescent="0.25">
      <c r="A38" s="270" t="str">
        <f>$A$17</f>
        <v>Total number of households</v>
      </c>
      <c r="B38" s="257">
        <f>$B$17</f>
        <v>5</v>
      </c>
      <c r="C38" s="715">
        <f t="shared" ref="C38:M38" si="14">C33+C37</f>
        <v>178001</v>
      </c>
      <c r="D38" s="715">
        <f t="shared" si="14"/>
        <v>0</v>
      </c>
      <c r="E38" s="715">
        <f t="shared" si="14"/>
        <v>0</v>
      </c>
      <c r="F38" s="715">
        <f t="shared" si="14"/>
        <v>0</v>
      </c>
      <c r="G38" s="715">
        <f t="shared" si="14"/>
        <v>0</v>
      </c>
      <c r="H38" s="715">
        <f t="shared" si="14"/>
        <v>0</v>
      </c>
      <c r="I38" s="715">
        <f t="shared" si="14"/>
        <v>0</v>
      </c>
      <c r="J38" s="715">
        <f t="shared" si="14"/>
        <v>0</v>
      </c>
      <c r="K38" s="715">
        <f t="shared" si="14"/>
        <v>178001</v>
      </c>
      <c r="L38" s="715">
        <f t="shared" si="14"/>
        <v>178001</v>
      </c>
      <c r="M38" s="716">
        <f t="shared" si="14"/>
        <v>178001</v>
      </c>
      <c r="N38" s="860"/>
    </row>
    <row r="39" spans="1:14" ht="15.75" customHeight="1" x14ac:dyDescent="0.25">
      <c r="A39" s="261" t="s">
        <v>639</v>
      </c>
      <c r="B39" s="257"/>
      <c r="C39" s="132"/>
      <c r="D39" s="132"/>
      <c r="E39" s="132"/>
      <c r="F39" s="132"/>
      <c r="G39" s="132"/>
      <c r="H39" s="132"/>
      <c r="I39" s="132"/>
      <c r="J39" s="132"/>
      <c r="K39" s="132"/>
      <c r="L39" s="132"/>
      <c r="M39" s="133"/>
      <c r="N39" s="860"/>
    </row>
    <row r="40" spans="1:14" ht="11.25" customHeight="1" x14ac:dyDescent="0.25">
      <c r="A40" s="263" t="s">
        <v>1210</v>
      </c>
      <c r="B40" s="257"/>
      <c r="C40" s="627">
        <v>92000</v>
      </c>
      <c r="D40" s="627"/>
      <c r="E40" s="627"/>
      <c r="F40" s="627"/>
      <c r="G40" s="627"/>
      <c r="H40" s="627"/>
      <c r="I40" s="627"/>
      <c r="J40" s="929">
        <f t="shared" ref="J40:J46" si="15">SUM(E40:I40)</f>
        <v>0</v>
      </c>
      <c r="K40" s="929">
        <f t="shared" ref="K40:K46" si="16">IF(D40=0,C40+J40,D40+J40)</f>
        <v>92000</v>
      </c>
      <c r="L40" s="1265">
        <v>92000</v>
      </c>
      <c r="M40" s="1266">
        <v>92000</v>
      </c>
      <c r="N40" s="860"/>
    </row>
    <row r="41" spans="1:14" ht="11.25" customHeight="1" x14ac:dyDescent="0.25">
      <c r="A41" s="263" t="str">
        <f>$A$12</f>
        <v>Minimum Service Level and Above sub-total</v>
      </c>
      <c r="B41" s="257"/>
      <c r="C41" s="928">
        <f t="shared" ref="C41:I41" si="17">SUM(C40)</f>
        <v>92000</v>
      </c>
      <c r="D41" s="928">
        <f t="shared" si="17"/>
        <v>0</v>
      </c>
      <c r="E41" s="928">
        <f t="shared" si="17"/>
        <v>0</v>
      </c>
      <c r="F41" s="928">
        <f t="shared" si="17"/>
        <v>0</v>
      </c>
      <c r="G41" s="928">
        <f t="shared" si="17"/>
        <v>0</v>
      </c>
      <c r="H41" s="928">
        <f t="shared" si="17"/>
        <v>0</v>
      </c>
      <c r="I41" s="928">
        <f t="shared" si="17"/>
        <v>0</v>
      </c>
      <c r="J41" s="928">
        <f>SUM(E41:I41)</f>
        <v>0</v>
      </c>
      <c r="K41" s="928">
        <f t="shared" si="16"/>
        <v>92000</v>
      </c>
      <c r="L41" s="928">
        <f>SUM(L40)</f>
        <v>92000</v>
      </c>
      <c r="M41" s="934">
        <f>SUM(M40)</f>
        <v>92000</v>
      </c>
      <c r="N41" s="860"/>
    </row>
    <row r="42" spans="1:14" ht="11.25" customHeight="1" x14ac:dyDescent="0.25">
      <c r="A42" s="263" t="s">
        <v>1211</v>
      </c>
      <c r="B42" s="257"/>
      <c r="C42" s="624">
        <v>97</v>
      </c>
      <c r="D42" s="624"/>
      <c r="E42" s="624"/>
      <c r="F42" s="624"/>
      <c r="G42" s="624"/>
      <c r="H42" s="624"/>
      <c r="I42" s="624"/>
      <c r="J42" s="928">
        <f t="shared" si="15"/>
        <v>0</v>
      </c>
      <c r="K42" s="928">
        <f t="shared" si="16"/>
        <v>97</v>
      </c>
      <c r="L42" s="1267">
        <v>97</v>
      </c>
      <c r="M42" s="1268">
        <v>97</v>
      </c>
      <c r="N42" s="860"/>
    </row>
    <row r="43" spans="1:14" ht="11.25" customHeight="1" x14ac:dyDescent="0.25">
      <c r="A43" s="263" t="s">
        <v>1212</v>
      </c>
      <c r="B43" s="257"/>
      <c r="C43" s="624">
        <v>4566</v>
      </c>
      <c r="D43" s="624"/>
      <c r="E43" s="624"/>
      <c r="F43" s="624"/>
      <c r="G43" s="624"/>
      <c r="H43" s="624"/>
      <c r="I43" s="624"/>
      <c r="J43" s="928">
        <f t="shared" si="15"/>
        <v>0</v>
      </c>
      <c r="K43" s="928">
        <f t="shared" si="16"/>
        <v>4566</v>
      </c>
      <c r="L43" s="1267">
        <v>4566</v>
      </c>
      <c r="M43" s="1268">
        <v>4566</v>
      </c>
      <c r="N43" s="860"/>
    </row>
    <row r="44" spans="1:14" ht="11.25" customHeight="1" x14ac:dyDescent="0.25">
      <c r="A44" s="263" t="s">
        <v>1213</v>
      </c>
      <c r="B44" s="257"/>
      <c r="C44" s="624">
        <v>81338</v>
      </c>
      <c r="D44" s="624"/>
      <c r="E44" s="624"/>
      <c r="F44" s="624"/>
      <c r="G44" s="624"/>
      <c r="H44" s="624"/>
      <c r="I44" s="624"/>
      <c r="J44" s="928">
        <f t="shared" si="15"/>
        <v>0</v>
      </c>
      <c r="K44" s="928">
        <f t="shared" si="16"/>
        <v>81338</v>
      </c>
      <c r="L44" s="1267">
        <v>81338</v>
      </c>
      <c r="M44" s="1268">
        <v>81338</v>
      </c>
      <c r="N44" s="860"/>
    </row>
    <row r="45" spans="1:14" ht="11.25" customHeight="1" x14ac:dyDescent="0.25">
      <c r="A45" s="263" t="s">
        <v>1214</v>
      </c>
      <c r="B45" s="257"/>
      <c r="C45" s="624"/>
      <c r="D45" s="624"/>
      <c r="E45" s="624"/>
      <c r="F45" s="624"/>
      <c r="G45" s="624"/>
      <c r="H45" s="624"/>
      <c r="I45" s="624"/>
      <c r="J45" s="928">
        <f t="shared" si="15"/>
        <v>0</v>
      </c>
      <c r="K45" s="928">
        <f t="shared" si="16"/>
        <v>0</v>
      </c>
      <c r="L45" s="1267"/>
      <c r="M45" s="1268"/>
      <c r="N45" s="860"/>
    </row>
    <row r="46" spans="1:14" ht="11.25" customHeight="1" x14ac:dyDescent="0.25">
      <c r="A46" s="263" t="s">
        <v>1215</v>
      </c>
      <c r="B46" s="257"/>
      <c r="C46" s="624"/>
      <c r="D46" s="624"/>
      <c r="E46" s="624"/>
      <c r="F46" s="624"/>
      <c r="G46" s="624"/>
      <c r="H46" s="624"/>
      <c r="I46" s="624"/>
      <c r="J46" s="928">
        <f t="shared" si="15"/>
        <v>0</v>
      </c>
      <c r="K46" s="928">
        <f t="shared" si="16"/>
        <v>0</v>
      </c>
      <c r="L46" s="1267"/>
      <c r="M46" s="1268"/>
      <c r="N46" s="860"/>
    </row>
    <row r="47" spans="1:14" ht="11.25" customHeight="1" x14ac:dyDescent="0.25">
      <c r="A47" s="850" t="str">
        <f>$A$16</f>
        <v>Below Minimum Servic Level sub-total</v>
      </c>
      <c r="B47" s="257"/>
      <c r="C47" s="930">
        <f t="shared" ref="C47:M47" si="18">SUM(C42:C46)</f>
        <v>86001</v>
      </c>
      <c r="D47" s="930">
        <f t="shared" si="18"/>
        <v>0</v>
      </c>
      <c r="E47" s="930">
        <f t="shared" si="18"/>
        <v>0</v>
      </c>
      <c r="F47" s="930">
        <f t="shared" si="18"/>
        <v>0</v>
      </c>
      <c r="G47" s="930">
        <f t="shared" si="18"/>
        <v>0</v>
      </c>
      <c r="H47" s="930">
        <f t="shared" si="18"/>
        <v>0</v>
      </c>
      <c r="I47" s="930">
        <f t="shared" si="18"/>
        <v>0</v>
      </c>
      <c r="J47" s="930">
        <f t="shared" si="18"/>
        <v>0</v>
      </c>
      <c r="K47" s="930">
        <f t="shared" si="18"/>
        <v>86001</v>
      </c>
      <c r="L47" s="930">
        <f t="shared" si="18"/>
        <v>86001</v>
      </c>
      <c r="M47" s="931">
        <f t="shared" si="18"/>
        <v>86001</v>
      </c>
      <c r="N47" s="860"/>
    </row>
    <row r="48" spans="1:14" ht="11.25" customHeight="1" x14ac:dyDescent="0.25">
      <c r="A48" s="270" t="str">
        <f>$A$17</f>
        <v>Total number of households</v>
      </c>
      <c r="B48" s="257">
        <f>$B$17</f>
        <v>5</v>
      </c>
      <c r="C48" s="932">
        <f t="shared" ref="C48:I48" si="19">C41+C47</f>
        <v>178001</v>
      </c>
      <c r="D48" s="932">
        <f t="shared" si="19"/>
        <v>0</v>
      </c>
      <c r="E48" s="932">
        <f t="shared" si="19"/>
        <v>0</v>
      </c>
      <c r="F48" s="932">
        <f t="shared" si="19"/>
        <v>0</v>
      </c>
      <c r="G48" s="932">
        <f t="shared" si="19"/>
        <v>0</v>
      </c>
      <c r="H48" s="932">
        <f t="shared" si="19"/>
        <v>0</v>
      </c>
      <c r="I48" s="932">
        <f t="shared" si="19"/>
        <v>0</v>
      </c>
      <c r="J48" s="932">
        <f>J40+J47</f>
        <v>0</v>
      </c>
      <c r="K48" s="932">
        <f>K40+K47</f>
        <v>178001</v>
      </c>
      <c r="L48" s="932">
        <f>L41+L47</f>
        <v>178001</v>
      </c>
      <c r="M48" s="933">
        <f>M41+M47</f>
        <v>178001</v>
      </c>
      <c r="N48" s="860"/>
    </row>
    <row r="49" spans="1:14" ht="5.0999999999999996" customHeight="1" x14ac:dyDescent="0.25">
      <c r="A49" s="274"/>
      <c r="B49" s="275"/>
      <c r="C49" s="273"/>
      <c r="D49" s="273"/>
      <c r="E49" s="273"/>
      <c r="F49" s="273"/>
      <c r="G49" s="273"/>
      <c r="H49" s="273"/>
      <c r="I49" s="273"/>
      <c r="J49" s="273"/>
      <c r="K49" s="273"/>
      <c r="L49" s="273"/>
      <c r="M49" s="276"/>
      <c r="N49" s="860"/>
    </row>
    <row r="50" spans="1:14" ht="15.75" customHeight="1" x14ac:dyDescent="0.25">
      <c r="A50" s="256" t="s">
        <v>1216</v>
      </c>
      <c r="B50" s="257">
        <v>15</v>
      </c>
      <c r="C50" s="266"/>
      <c r="D50" s="132"/>
      <c r="E50" s="132"/>
      <c r="F50" s="132"/>
      <c r="G50" s="132"/>
      <c r="H50" s="132"/>
      <c r="I50" s="132"/>
      <c r="J50" s="132"/>
      <c r="K50" s="132"/>
      <c r="L50" s="132"/>
      <c r="M50" s="133"/>
      <c r="N50" s="860"/>
    </row>
    <row r="51" spans="1:14" ht="11.25" customHeight="1" x14ac:dyDescent="0.25">
      <c r="A51" s="263" t="s">
        <v>1218</v>
      </c>
      <c r="B51" s="257"/>
      <c r="C51" s="624">
        <v>116921</v>
      </c>
      <c r="D51" s="624"/>
      <c r="E51" s="624"/>
      <c r="F51" s="624"/>
      <c r="G51" s="624"/>
      <c r="H51" s="624"/>
      <c r="I51" s="624"/>
      <c r="J51" s="928">
        <f>SUM(E51:I51)</f>
        <v>0</v>
      </c>
      <c r="K51" s="928">
        <f>IF(D51=0,C51+J51,D51+J51)</f>
        <v>116921</v>
      </c>
      <c r="L51" s="1269">
        <v>116921</v>
      </c>
      <c r="M51" s="1271">
        <v>116921</v>
      </c>
      <c r="N51" s="860"/>
    </row>
    <row r="52" spans="1:14" ht="11.25" customHeight="1" x14ac:dyDescent="0.25">
      <c r="A52" s="263" t="s">
        <v>1266</v>
      </c>
      <c r="B52" s="257"/>
      <c r="C52" s="624">
        <v>64073</v>
      </c>
      <c r="D52" s="624"/>
      <c r="E52" s="624"/>
      <c r="F52" s="624"/>
      <c r="G52" s="624"/>
      <c r="H52" s="624"/>
      <c r="I52" s="624"/>
      <c r="J52" s="928">
        <f>SUM(E52:I52)</f>
        <v>0</v>
      </c>
      <c r="K52" s="928">
        <f>IF(D52=0,C52+J52,D52+J52)</f>
        <v>64073</v>
      </c>
      <c r="L52" s="1269">
        <v>64073</v>
      </c>
      <c r="M52" s="1271">
        <v>64073</v>
      </c>
      <c r="N52" s="860"/>
    </row>
    <row r="53" spans="1:14" ht="11.25" customHeight="1" x14ac:dyDescent="0.25">
      <c r="A53" s="263" t="s">
        <v>1220</v>
      </c>
      <c r="B53" s="257"/>
      <c r="C53" s="624">
        <v>28000</v>
      </c>
      <c r="D53" s="624"/>
      <c r="E53" s="624"/>
      <c r="F53" s="624"/>
      <c r="G53" s="624"/>
      <c r="H53" s="624"/>
      <c r="I53" s="624"/>
      <c r="J53" s="928">
        <f>SUM(E53:I53)</f>
        <v>0</v>
      </c>
      <c r="K53" s="928">
        <f>IF(D53=0,C53+J53,D53+J53)</f>
        <v>28000</v>
      </c>
      <c r="L53" s="1269">
        <v>28000</v>
      </c>
      <c r="M53" s="1271">
        <v>28000</v>
      </c>
      <c r="N53" s="860"/>
    </row>
    <row r="54" spans="1:14" ht="11.25" customHeight="1" x14ac:dyDescent="0.25">
      <c r="A54" s="277" t="s">
        <v>1267</v>
      </c>
      <c r="B54" s="275"/>
      <c r="C54" s="627">
        <v>99433</v>
      </c>
      <c r="D54" s="627"/>
      <c r="E54" s="627"/>
      <c r="F54" s="627"/>
      <c r="G54" s="627"/>
      <c r="H54" s="627"/>
      <c r="I54" s="627"/>
      <c r="J54" s="929">
        <f>SUM(E54:I54)</f>
        <v>0</v>
      </c>
      <c r="K54" s="929">
        <f>IF(D54=0,C54+J54,D54+J54)</f>
        <v>99433</v>
      </c>
      <c r="L54" s="1270">
        <v>99433</v>
      </c>
      <c r="M54" s="1272">
        <v>99433</v>
      </c>
      <c r="N54" s="860"/>
    </row>
    <row r="55" spans="1:14" ht="5.0999999999999996" customHeight="1" x14ac:dyDescent="0.25">
      <c r="A55" s="278"/>
      <c r="B55" s="257"/>
      <c r="C55" s="132"/>
      <c r="D55" s="132"/>
      <c r="E55" s="132"/>
      <c r="F55" s="132"/>
      <c r="G55" s="132"/>
      <c r="H55" s="132"/>
      <c r="I55" s="132"/>
      <c r="J55" s="132"/>
      <c r="K55" s="132"/>
      <c r="L55" s="132"/>
      <c r="M55" s="133"/>
      <c r="N55" s="860"/>
    </row>
    <row r="56" spans="1:14" ht="11.25" customHeight="1" x14ac:dyDescent="0.25">
      <c r="A56" s="256" t="s">
        <v>1217</v>
      </c>
      <c r="B56" s="257">
        <v>16</v>
      </c>
      <c r="C56" s="687"/>
      <c r="D56" s="688"/>
      <c r="E56" s="688"/>
      <c r="F56" s="688"/>
      <c r="G56" s="688"/>
      <c r="H56" s="688"/>
      <c r="I56" s="688"/>
      <c r="J56" s="132"/>
      <c r="K56" s="132"/>
      <c r="L56" s="688"/>
      <c r="M56" s="689"/>
      <c r="N56" s="860"/>
    </row>
    <row r="57" spans="1:14" ht="11.25" customHeight="1" x14ac:dyDescent="0.25">
      <c r="A57" s="263" t="s">
        <v>1218</v>
      </c>
      <c r="B57" s="257"/>
      <c r="C57" s="111">
        <v>6501825</v>
      </c>
      <c r="D57" s="109"/>
      <c r="E57" s="109"/>
      <c r="F57" s="109"/>
      <c r="G57" s="109"/>
      <c r="H57" s="109"/>
      <c r="I57" s="109"/>
      <c r="J57" s="132">
        <f>SUM(E57:I57)</f>
        <v>0</v>
      </c>
      <c r="K57" s="132">
        <f>IF(D57=0,C57+J57,D57+J57)</f>
        <v>6501825</v>
      </c>
      <c r="L57" s="1273">
        <v>6891934.5</v>
      </c>
      <c r="M57" s="1274">
        <v>7305450.5700000003</v>
      </c>
      <c r="N57" s="860"/>
    </row>
    <row r="58" spans="1:14" ht="11.25" customHeight="1" x14ac:dyDescent="0.25">
      <c r="A58" s="263" t="s">
        <v>1219</v>
      </c>
      <c r="B58" s="257"/>
      <c r="C58" s="111">
        <v>8570055</v>
      </c>
      <c r="D58" s="109"/>
      <c r="E58" s="109"/>
      <c r="F58" s="109"/>
      <c r="G58" s="109"/>
      <c r="H58" s="109"/>
      <c r="I58" s="109"/>
      <c r="J58" s="132">
        <f>SUM(E58:I58)</f>
        <v>0</v>
      </c>
      <c r="K58" s="132">
        <f>IF(D58=0,C58+J58,D58+J58)</f>
        <v>8570055</v>
      </c>
      <c r="L58" s="1273">
        <v>9084258.3000000007</v>
      </c>
      <c r="M58" s="1274">
        <v>9629313.7980000004</v>
      </c>
      <c r="N58" s="860"/>
    </row>
    <row r="59" spans="1:14" ht="11.25" customHeight="1" x14ac:dyDescent="0.25">
      <c r="A59" s="263" t="s">
        <v>1220</v>
      </c>
      <c r="B59" s="257"/>
      <c r="C59" s="111">
        <v>15114852.5</v>
      </c>
      <c r="D59" s="109"/>
      <c r="E59" s="109"/>
      <c r="F59" s="109"/>
      <c r="G59" s="109"/>
      <c r="H59" s="109"/>
      <c r="I59" s="109"/>
      <c r="J59" s="132">
        <f>SUM(E59:I59)</f>
        <v>0</v>
      </c>
      <c r="K59" s="132">
        <f>IF(D59=0,C59+J59,D59+J59)</f>
        <v>15114852.5</v>
      </c>
      <c r="L59" s="1273">
        <v>16021743.65</v>
      </c>
      <c r="M59" s="1274">
        <v>16983048.269000001</v>
      </c>
      <c r="N59" s="860"/>
    </row>
    <row r="60" spans="1:14" ht="11.25" customHeight="1" x14ac:dyDescent="0.25">
      <c r="A60" s="263" t="s">
        <v>1221</v>
      </c>
      <c r="B60" s="257"/>
      <c r="C60" s="111">
        <v>8544660</v>
      </c>
      <c r="D60" s="109"/>
      <c r="E60" s="109"/>
      <c r="F60" s="109"/>
      <c r="G60" s="109"/>
      <c r="H60" s="109"/>
      <c r="I60" s="109"/>
      <c r="J60" s="132">
        <f>SUM(E60:I60)</f>
        <v>0</v>
      </c>
      <c r="K60" s="132">
        <f>IF(D60=0,C60+J60,D60+J60)</f>
        <v>8544660</v>
      </c>
      <c r="L60" s="1273">
        <v>9057339.5999999996</v>
      </c>
      <c r="M60" s="1274">
        <v>9600779.9759999998</v>
      </c>
      <c r="N60" s="860"/>
    </row>
    <row r="61" spans="1:14" ht="11.25" customHeight="1" x14ac:dyDescent="0.25">
      <c r="A61" s="279" t="s">
        <v>1222</v>
      </c>
      <c r="B61" s="257"/>
      <c r="C61" s="927">
        <f t="shared" ref="C61:M61" si="20">SUM(C56:C60)</f>
        <v>38731392.5</v>
      </c>
      <c r="D61" s="266">
        <f t="shared" si="20"/>
        <v>0</v>
      </c>
      <c r="E61" s="266">
        <f t="shared" si="20"/>
        <v>0</v>
      </c>
      <c r="F61" s="266">
        <f t="shared" si="20"/>
        <v>0</v>
      </c>
      <c r="G61" s="266">
        <f t="shared" si="20"/>
        <v>0</v>
      </c>
      <c r="H61" s="266">
        <f t="shared" si="20"/>
        <v>0</v>
      </c>
      <c r="I61" s="266">
        <f t="shared" si="20"/>
        <v>0</v>
      </c>
      <c r="J61" s="266">
        <f t="shared" si="20"/>
        <v>0</v>
      </c>
      <c r="K61" s="266">
        <f t="shared" si="20"/>
        <v>38731392.5</v>
      </c>
      <c r="L61" s="266">
        <f t="shared" si="20"/>
        <v>41055276.050000004</v>
      </c>
      <c r="M61" s="267">
        <f t="shared" si="20"/>
        <v>43518592.613000005</v>
      </c>
      <c r="N61" s="860"/>
    </row>
    <row r="62" spans="1:14" ht="5.0999999999999996" customHeight="1" x14ac:dyDescent="0.25">
      <c r="A62" s="280"/>
      <c r="B62" s="257"/>
      <c r="C62" s="132"/>
      <c r="D62" s="132"/>
      <c r="E62" s="132"/>
      <c r="F62" s="132"/>
      <c r="G62" s="132"/>
      <c r="H62" s="132"/>
      <c r="I62" s="132"/>
      <c r="J62" s="132"/>
      <c r="K62" s="132"/>
      <c r="L62" s="132"/>
      <c r="M62" s="133"/>
      <c r="N62" s="860"/>
    </row>
    <row r="63" spans="1:14" ht="11.25" customHeight="1" x14ac:dyDescent="0.25">
      <c r="A63" s="256" t="s">
        <v>1223</v>
      </c>
      <c r="B63" s="281"/>
      <c r="C63" s="266"/>
      <c r="D63" s="266"/>
      <c r="E63" s="266"/>
      <c r="F63" s="266"/>
      <c r="G63" s="266"/>
      <c r="H63" s="266"/>
      <c r="I63" s="266"/>
      <c r="J63" s="266"/>
      <c r="K63" s="266"/>
      <c r="L63" s="266"/>
      <c r="M63" s="267"/>
      <c r="N63" s="860"/>
    </row>
    <row r="64" spans="1:14" ht="11.25" customHeight="1" x14ac:dyDescent="0.25">
      <c r="A64" s="263" t="s">
        <v>1224</v>
      </c>
      <c r="B64" s="257"/>
      <c r="C64" s="1112">
        <v>100000</v>
      </c>
      <c r="D64" s="624"/>
      <c r="E64" s="624"/>
      <c r="F64" s="624"/>
      <c r="G64" s="624"/>
      <c r="H64" s="624"/>
      <c r="I64" s="624"/>
      <c r="J64" s="928">
        <f t="shared" ref="J64:J69" si="21">SUM(E64:I64)</f>
        <v>0</v>
      </c>
      <c r="K64" s="928">
        <f t="shared" ref="K64:K69" si="22">IF(D64=0,C64+J64,D64+J64)</f>
        <v>100000</v>
      </c>
      <c r="L64" s="1275">
        <v>100000</v>
      </c>
      <c r="M64" s="1276">
        <v>100000</v>
      </c>
      <c r="N64" s="860"/>
    </row>
    <row r="65" spans="1:14" ht="11.25" customHeight="1" x14ac:dyDescent="0.25">
      <c r="A65" s="263" t="s">
        <v>1225</v>
      </c>
      <c r="B65" s="257"/>
      <c r="C65" s="1112">
        <v>6</v>
      </c>
      <c r="D65" s="1112"/>
      <c r="E65" s="1112"/>
      <c r="F65" s="1112"/>
      <c r="G65" s="624"/>
      <c r="H65" s="624"/>
      <c r="I65" s="624"/>
      <c r="J65" s="928">
        <f t="shared" si="21"/>
        <v>0</v>
      </c>
      <c r="K65" s="928">
        <f t="shared" si="22"/>
        <v>6</v>
      </c>
      <c r="L65" s="1275">
        <v>6</v>
      </c>
      <c r="M65" s="1276">
        <v>6</v>
      </c>
      <c r="N65" s="860"/>
    </row>
    <row r="66" spans="1:14" ht="11.25" customHeight="1" x14ac:dyDescent="0.25">
      <c r="A66" s="263" t="s">
        <v>1226</v>
      </c>
      <c r="B66" s="257"/>
      <c r="C66" s="1112"/>
      <c r="D66" s="1112"/>
      <c r="E66" s="1112"/>
      <c r="F66" s="624"/>
      <c r="G66" s="624"/>
      <c r="H66" s="624"/>
      <c r="I66" s="624"/>
      <c r="J66" s="928">
        <f t="shared" si="21"/>
        <v>0</v>
      </c>
      <c r="K66" s="928">
        <f t="shared" si="22"/>
        <v>0</v>
      </c>
      <c r="L66" s="1275"/>
      <c r="M66" s="1276"/>
      <c r="N66" s="860"/>
    </row>
    <row r="67" spans="1:14" ht="11.25" customHeight="1" x14ac:dyDescent="0.25">
      <c r="A67" s="263" t="s">
        <v>1227</v>
      </c>
      <c r="B67" s="257"/>
      <c r="C67" s="1112">
        <v>48</v>
      </c>
      <c r="D67" s="1112"/>
      <c r="E67" s="1112"/>
      <c r="F67" s="624"/>
      <c r="G67" s="624"/>
      <c r="H67" s="624"/>
      <c r="I67" s="624"/>
      <c r="J67" s="928">
        <f t="shared" si="21"/>
        <v>0</v>
      </c>
      <c r="K67" s="928">
        <f t="shared" si="22"/>
        <v>48</v>
      </c>
      <c r="L67" s="1275">
        <v>51</v>
      </c>
      <c r="M67" s="1276">
        <v>54</v>
      </c>
      <c r="N67" s="860"/>
    </row>
    <row r="68" spans="1:14" ht="11.25" customHeight="1" x14ac:dyDescent="0.25">
      <c r="A68" s="263" t="s">
        <v>1228</v>
      </c>
      <c r="B68" s="257"/>
      <c r="C68" s="1112">
        <v>100</v>
      </c>
      <c r="D68" s="1112"/>
      <c r="E68" s="1112"/>
      <c r="F68" s="1112"/>
      <c r="G68" s="624"/>
      <c r="H68" s="624"/>
      <c r="I68" s="624"/>
      <c r="J68" s="928">
        <f t="shared" si="21"/>
        <v>0</v>
      </c>
      <c r="K68" s="928">
        <f t="shared" si="22"/>
        <v>100</v>
      </c>
      <c r="L68" s="1275">
        <v>100</v>
      </c>
      <c r="M68" s="1276">
        <v>100</v>
      </c>
      <c r="N68" s="860"/>
    </row>
    <row r="69" spans="1:14" ht="11.25" customHeight="1" x14ac:dyDescent="0.25">
      <c r="A69" s="282" t="s">
        <v>1229</v>
      </c>
      <c r="B69" s="275"/>
      <c r="C69" s="1113">
        <v>33.81</v>
      </c>
      <c r="D69" s="1113"/>
      <c r="E69" s="1113"/>
      <c r="F69" s="627"/>
      <c r="G69" s="627"/>
      <c r="H69" s="627"/>
      <c r="I69" s="627"/>
      <c r="J69" s="929">
        <f t="shared" si="21"/>
        <v>0</v>
      </c>
      <c r="K69" s="929">
        <f t="shared" si="22"/>
        <v>33.81</v>
      </c>
      <c r="L69" s="1277">
        <v>35.840000000000003</v>
      </c>
      <c r="M69" s="1278">
        <v>38</v>
      </c>
      <c r="N69" s="860"/>
    </row>
    <row r="70" spans="1:14" ht="15.75" customHeight="1" x14ac:dyDescent="0.25">
      <c r="A70" s="256" t="s">
        <v>1268</v>
      </c>
      <c r="B70" s="257">
        <v>17</v>
      </c>
      <c r="C70" s="132"/>
      <c r="D70" s="132"/>
      <c r="E70" s="132"/>
      <c r="F70" s="132"/>
      <c r="G70" s="132"/>
      <c r="H70" s="132"/>
      <c r="I70" s="132"/>
      <c r="J70" s="132"/>
      <c r="K70" s="132"/>
      <c r="L70" s="132"/>
      <c r="M70" s="133"/>
      <c r="N70" s="860"/>
    </row>
    <row r="71" spans="1:14" ht="11.25" customHeight="1" x14ac:dyDescent="0.25">
      <c r="A71" s="263" t="s">
        <v>1269</v>
      </c>
      <c r="B71" s="185"/>
      <c r="C71" s="109">
        <v>3802700.0000000005</v>
      </c>
      <c r="D71" s="109"/>
      <c r="E71" s="109"/>
      <c r="F71" s="109"/>
      <c r="G71" s="109"/>
      <c r="H71" s="109"/>
      <c r="I71" s="109"/>
      <c r="J71" s="132">
        <f t="shared" ref="J71:J79" si="23">SUM(E71:I71)</f>
        <v>0</v>
      </c>
      <c r="K71" s="132">
        <f t="shared" ref="K71:K79" si="24">IF(D71=0,C71+J71,D71+J71)</f>
        <v>3802700.0000000005</v>
      </c>
      <c r="L71" s="1279">
        <v>4011848.5000000005</v>
      </c>
      <c r="M71" s="110">
        <v>4224476.4704999998</v>
      </c>
      <c r="N71" s="860"/>
    </row>
    <row r="72" spans="1:14" ht="11.25" customHeight="1" x14ac:dyDescent="0.25">
      <c r="A72" s="263" t="s">
        <v>1230</v>
      </c>
      <c r="B72" s="257"/>
      <c r="C72" s="109">
        <v>17474600</v>
      </c>
      <c r="D72" s="109"/>
      <c r="E72" s="109"/>
      <c r="F72" s="109"/>
      <c r="G72" s="109"/>
      <c r="H72" s="109"/>
      <c r="I72" s="109"/>
      <c r="J72" s="132">
        <f t="shared" si="23"/>
        <v>0</v>
      </c>
      <c r="K72" s="132">
        <f t="shared" si="24"/>
        <v>17474600</v>
      </c>
      <c r="L72" s="1279">
        <v>18435703</v>
      </c>
      <c r="M72" s="110">
        <v>19412795.259</v>
      </c>
      <c r="N72" s="860"/>
    </row>
    <row r="73" spans="1:14" ht="11.25" customHeight="1" x14ac:dyDescent="0.25">
      <c r="A73" s="263" t="s">
        <v>668</v>
      </c>
      <c r="B73" s="257"/>
      <c r="C73" s="109">
        <v>7143400.0000000009</v>
      </c>
      <c r="D73" s="109"/>
      <c r="E73" s="109"/>
      <c r="F73" s="109"/>
      <c r="G73" s="109"/>
      <c r="H73" s="109"/>
      <c r="I73" s="109"/>
      <c r="J73" s="132">
        <f t="shared" si="23"/>
        <v>0</v>
      </c>
      <c r="K73" s="132">
        <f t="shared" si="24"/>
        <v>7143400.0000000009</v>
      </c>
      <c r="L73" s="1279">
        <v>7536287.0000000009</v>
      </c>
      <c r="M73" s="110">
        <v>7935710.2110000001</v>
      </c>
      <c r="N73" s="860"/>
    </row>
    <row r="74" spans="1:14" ht="11.25" customHeight="1" x14ac:dyDescent="0.25">
      <c r="A74" s="263" t="s">
        <v>1231</v>
      </c>
      <c r="B74" s="257"/>
      <c r="C74" s="109">
        <v>9417100</v>
      </c>
      <c r="D74" s="109"/>
      <c r="E74" s="109"/>
      <c r="F74" s="109"/>
      <c r="G74" s="109"/>
      <c r="H74" s="109"/>
      <c r="I74" s="109"/>
      <c r="J74" s="132">
        <f t="shared" si="23"/>
        <v>0</v>
      </c>
      <c r="K74" s="132">
        <f t="shared" si="24"/>
        <v>9417100</v>
      </c>
      <c r="L74" s="1279">
        <v>9935040.5</v>
      </c>
      <c r="M74" s="110">
        <v>10461597.646499999</v>
      </c>
      <c r="N74" s="860"/>
    </row>
    <row r="75" spans="1:14" ht="11.25" customHeight="1" x14ac:dyDescent="0.25">
      <c r="A75" s="263" t="s">
        <v>1232</v>
      </c>
      <c r="B75" s="257"/>
      <c r="C75" s="109">
        <v>15954840.000000002</v>
      </c>
      <c r="D75" s="109"/>
      <c r="E75" s="109"/>
      <c r="F75" s="109"/>
      <c r="G75" s="109"/>
      <c r="H75" s="109"/>
      <c r="I75" s="109"/>
      <c r="J75" s="132">
        <f t="shared" si="23"/>
        <v>0</v>
      </c>
      <c r="K75" s="132">
        <f t="shared" si="24"/>
        <v>15954840.000000002</v>
      </c>
      <c r="L75" s="1279">
        <v>16832356.199999999</v>
      </c>
      <c r="M75" s="110">
        <v>17724471.078599997</v>
      </c>
      <c r="N75" s="860"/>
    </row>
    <row r="76" spans="1:14" ht="11.25" customHeight="1" x14ac:dyDescent="0.25">
      <c r="A76" s="263" t="s">
        <v>1233</v>
      </c>
      <c r="B76" s="257"/>
      <c r="C76" s="109">
        <v>9432500</v>
      </c>
      <c r="D76" s="109"/>
      <c r="E76" s="109"/>
      <c r="F76" s="109"/>
      <c r="G76" s="109"/>
      <c r="H76" s="109"/>
      <c r="I76" s="109"/>
      <c r="J76" s="132">
        <f t="shared" si="23"/>
        <v>0</v>
      </c>
      <c r="K76" s="132">
        <f t="shared" si="24"/>
        <v>9432500</v>
      </c>
      <c r="L76" s="1279">
        <v>9951287.5</v>
      </c>
      <c r="M76" s="110">
        <v>10478705.737499999</v>
      </c>
      <c r="N76" s="860"/>
    </row>
    <row r="77" spans="1:14" ht="11.25" customHeight="1" x14ac:dyDescent="0.25">
      <c r="A77" s="263" t="s">
        <v>1270</v>
      </c>
      <c r="B77" s="257"/>
      <c r="C77" s="109"/>
      <c r="D77" s="109"/>
      <c r="E77" s="109"/>
      <c r="F77" s="109"/>
      <c r="G77" s="109"/>
      <c r="H77" s="109"/>
      <c r="I77" s="109"/>
      <c r="J77" s="132">
        <f t="shared" si="23"/>
        <v>0</v>
      </c>
      <c r="K77" s="132">
        <f t="shared" si="24"/>
        <v>0</v>
      </c>
      <c r="L77" s="1279"/>
      <c r="M77" s="110"/>
      <c r="N77" s="860"/>
    </row>
    <row r="78" spans="1:14" ht="11.25" customHeight="1" x14ac:dyDescent="0.25">
      <c r="A78" s="263" t="s">
        <v>1271</v>
      </c>
      <c r="B78" s="257">
        <v>6</v>
      </c>
      <c r="C78" s="109"/>
      <c r="D78" s="109"/>
      <c r="E78" s="109"/>
      <c r="F78" s="109"/>
      <c r="G78" s="109"/>
      <c r="H78" s="109"/>
      <c r="I78" s="109"/>
      <c r="J78" s="132">
        <f t="shared" si="23"/>
        <v>0</v>
      </c>
      <c r="K78" s="132">
        <f t="shared" si="24"/>
        <v>0</v>
      </c>
      <c r="L78" s="1279"/>
      <c r="M78" s="110"/>
      <c r="N78" s="860"/>
    </row>
    <row r="79" spans="1:14" ht="11.25" customHeight="1" x14ac:dyDescent="0.25">
      <c r="A79" s="263" t="s">
        <v>671</v>
      </c>
      <c r="B79" s="257"/>
      <c r="C79" s="109"/>
      <c r="D79" s="109"/>
      <c r="E79" s="109"/>
      <c r="F79" s="109"/>
      <c r="G79" s="109"/>
      <c r="H79" s="109"/>
      <c r="I79" s="109"/>
      <c r="J79" s="132">
        <f t="shared" si="23"/>
        <v>0</v>
      </c>
      <c r="K79" s="132">
        <f t="shared" si="24"/>
        <v>0</v>
      </c>
      <c r="L79" s="1279"/>
      <c r="M79" s="110"/>
      <c r="N79" s="860"/>
    </row>
    <row r="80" spans="1:14" x14ac:dyDescent="0.25">
      <c r="A80" s="283" t="s">
        <v>1272</v>
      </c>
      <c r="B80" s="284"/>
      <c r="C80" s="285">
        <f t="shared" ref="C80:M80" si="25">SUM(C71:C79)</f>
        <v>63225140</v>
      </c>
      <c r="D80" s="285">
        <f t="shared" si="25"/>
        <v>0</v>
      </c>
      <c r="E80" s="285">
        <f t="shared" si="25"/>
        <v>0</v>
      </c>
      <c r="F80" s="285">
        <f t="shared" si="25"/>
        <v>0</v>
      </c>
      <c r="G80" s="285">
        <f t="shared" si="25"/>
        <v>0</v>
      </c>
      <c r="H80" s="285">
        <f t="shared" si="25"/>
        <v>0</v>
      </c>
      <c r="I80" s="285">
        <f t="shared" si="25"/>
        <v>0</v>
      </c>
      <c r="J80" s="285">
        <f t="shared" si="25"/>
        <v>0</v>
      </c>
      <c r="K80" s="285">
        <f t="shared" si="25"/>
        <v>63225140</v>
      </c>
      <c r="L80" s="285">
        <f t="shared" si="25"/>
        <v>66702522.700000003</v>
      </c>
      <c r="M80" s="696">
        <f t="shared" si="25"/>
        <v>70237756.403099999</v>
      </c>
      <c r="N80" s="860"/>
    </row>
    <row r="81" spans="1:14" ht="11.25" customHeight="1" x14ac:dyDescent="0.25">
      <c r="A81" s="286" t="str">
        <f>head27a</f>
        <v>References</v>
      </c>
      <c r="B81" s="185"/>
      <c r="N81" s="860"/>
    </row>
    <row r="82" spans="1:14" ht="11.25" customHeight="1" x14ac:dyDescent="0.25">
      <c r="A82" s="287" t="s">
        <v>1234</v>
      </c>
      <c r="B82" s="185"/>
      <c r="N82" s="860"/>
    </row>
    <row r="83" spans="1:14" ht="11.25" customHeight="1" x14ac:dyDescent="0.25">
      <c r="A83" s="288" t="s">
        <v>1235</v>
      </c>
      <c r="B83" s="289"/>
      <c r="C83" s="289"/>
      <c r="D83" s="289"/>
      <c r="E83" s="289"/>
      <c r="F83" s="289"/>
      <c r="G83" s="289"/>
      <c r="H83" s="289"/>
      <c r="I83" s="289"/>
      <c r="J83" s="289"/>
      <c r="K83" s="289"/>
      <c r="L83" s="289"/>
      <c r="M83" s="289"/>
    </row>
    <row r="84" spans="1:14" ht="11.25" customHeight="1" x14ac:dyDescent="0.25">
      <c r="A84" s="159" t="s">
        <v>1236</v>
      </c>
      <c r="B84" s="289"/>
      <c r="C84" s="289"/>
      <c r="D84" s="289"/>
      <c r="E84" s="289"/>
      <c r="F84" s="289"/>
      <c r="G84" s="289"/>
      <c r="H84" s="289"/>
      <c r="I84" s="289"/>
      <c r="J84" s="289"/>
      <c r="K84" s="289"/>
      <c r="L84" s="289"/>
      <c r="M84" s="289"/>
    </row>
    <row r="85" spans="1:14" ht="11.25" customHeight="1" x14ac:dyDescent="0.25">
      <c r="A85" s="159" t="s">
        <v>1237</v>
      </c>
      <c r="B85" s="159"/>
      <c r="C85" s="159"/>
      <c r="D85" s="159"/>
      <c r="E85" s="159"/>
      <c r="F85" s="159"/>
      <c r="G85" s="159"/>
      <c r="H85" s="159"/>
      <c r="I85" s="159"/>
      <c r="J85" s="159"/>
      <c r="K85" s="159"/>
      <c r="L85" s="159"/>
      <c r="M85" s="159"/>
    </row>
    <row r="86" spans="1:14" ht="11.25" customHeight="1" x14ac:dyDescent="0.25">
      <c r="A86" s="159" t="s">
        <v>1238</v>
      </c>
      <c r="B86" s="159"/>
      <c r="C86" s="159"/>
      <c r="D86" s="159"/>
      <c r="E86" s="159"/>
      <c r="F86" s="159"/>
      <c r="G86" s="159"/>
      <c r="H86" s="159"/>
      <c r="I86" s="159"/>
      <c r="J86" s="159"/>
      <c r="K86" s="159"/>
      <c r="L86" s="159"/>
      <c r="M86" s="159"/>
    </row>
    <row r="87" spans="1:14" ht="11.25" customHeight="1" x14ac:dyDescent="0.25">
      <c r="A87" s="159" t="s">
        <v>1239</v>
      </c>
      <c r="B87" s="159"/>
      <c r="C87" s="159"/>
      <c r="D87" s="159"/>
      <c r="E87" s="159"/>
      <c r="F87" s="159"/>
      <c r="G87" s="159"/>
      <c r="H87" s="159"/>
      <c r="I87" s="159"/>
      <c r="J87" s="159"/>
      <c r="K87" s="159"/>
      <c r="L87" s="159"/>
      <c r="M87" s="159"/>
    </row>
    <row r="88" spans="1:14" s="5" customFormat="1" ht="12.75" customHeight="1" x14ac:dyDescent="0.25">
      <c r="A88" s="1320" t="s">
        <v>1097</v>
      </c>
      <c r="B88" s="1320"/>
      <c r="C88" s="1320"/>
      <c r="D88" s="1320"/>
      <c r="E88" s="1320"/>
      <c r="F88" s="1320"/>
      <c r="G88" s="1320"/>
      <c r="H88" s="1320"/>
      <c r="I88" s="1320"/>
      <c r="J88" s="1320"/>
      <c r="K88" s="1320"/>
      <c r="L88" s="1320"/>
      <c r="M88" s="1320"/>
    </row>
    <row r="89" spans="1:14" s="5" customFormat="1" ht="24.95" customHeight="1" x14ac:dyDescent="0.25">
      <c r="A89" s="1320" t="s">
        <v>1189</v>
      </c>
      <c r="B89" s="1320"/>
      <c r="C89" s="1320"/>
      <c r="D89" s="1320"/>
      <c r="E89" s="1320"/>
      <c r="F89" s="1320"/>
      <c r="G89" s="1320"/>
      <c r="H89" s="1320"/>
      <c r="I89" s="1320"/>
      <c r="J89" s="1320"/>
      <c r="K89" s="1320"/>
      <c r="L89" s="1320"/>
      <c r="M89" s="1320"/>
    </row>
    <row r="90" spans="1:14" s="5" customFormat="1" ht="12.75" customHeight="1" x14ac:dyDescent="0.25">
      <c r="A90" s="1314" t="s">
        <v>1190</v>
      </c>
      <c r="B90" s="1314"/>
      <c r="C90" s="1314"/>
      <c r="D90" s="1314"/>
      <c r="E90" s="1314"/>
      <c r="F90" s="1314"/>
      <c r="G90" s="1314"/>
      <c r="H90" s="1314"/>
      <c r="I90" s="1314"/>
      <c r="J90" s="1314"/>
      <c r="K90" s="1314"/>
      <c r="L90" s="1314"/>
      <c r="M90" s="1314"/>
    </row>
    <row r="91" spans="1:14" s="5" customFormat="1" ht="12.75" customHeight="1" x14ac:dyDescent="0.25">
      <c r="A91" s="1314" t="s">
        <v>1191</v>
      </c>
      <c r="B91" s="1314"/>
      <c r="C91" s="1314"/>
      <c r="D91" s="1314"/>
      <c r="E91" s="1314"/>
      <c r="F91" s="1314"/>
      <c r="G91" s="1314"/>
      <c r="H91" s="1314"/>
      <c r="I91" s="1314"/>
      <c r="J91" s="1314"/>
      <c r="K91" s="1314"/>
      <c r="L91" s="1314"/>
      <c r="M91" s="1314"/>
    </row>
    <row r="92" spans="1:14" s="5" customFormat="1" ht="12.75" customHeight="1" x14ac:dyDescent="0.25">
      <c r="A92" s="99" t="s">
        <v>1192</v>
      </c>
      <c r="B92" s="93"/>
      <c r="C92" s="96"/>
      <c r="D92" s="96"/>
      <c r="E92" s="96"/>
      <c r="F92" s="96"/>
      <c r="G92" s="96"/>
      <c r="H92" s="96"/>
      <c r="I92" s="96"/>
      <c r="J92" s="96"/>
      <c r="K92" s="96"/>
      <c r="L92" s="96"/>
      <c r="M92" s="96"/>
    </row>
    <row r="93" spans="1:14" s="5" customFormat="1" ht="27" customHeight="1" x14ac:dyDescent="0.25">
      <c r="A93" s="1314" t="s">
        <v>1193</v>
      </c>
      <c r="B93" s="1314"/>
      <c r="C93" s="1314"/>
      <c r="D93" s="1314"/>
      <c r="E93" s="1314"/>
      <c r="F93" s="1314"/>
      <c r="G93" s="1314"/>
      <c r="H93" s="1314"/>
      <c r="I93" s="1314"/>
      <c r="J93" s="1314"/>
      <c r="K93" s="1314"/>
      <c r="L93" s="1314"/>
      <c r="M93" s="1314"/>
    </row>
    <row r="94" spans="1:14" s="5" customFormat="1" ht="12.75" customHeight="1" x14ac:dyDescent="0.25">
      <c r="A94" s="99" t="s">
        <v>1155</v>
      </c>
      <c r="B94" s="93"/>
      <c r="C94" s="96"/>
      <c r="D94" s="96"/>
      <c r="E94" s="96"/>
      <c r="F94" s="96"/>
      <c r="G94" s="96"/>
      <c r="H94" s="96"/>
      <c r="I94" s="96"/>
      <c r="J94" s="96"/>
      <c r="K94" s="96"/>
      <c r="L94" s="96"/>
      <c r="M94" s="96"/>
    </row>
    <row r="95" spans="1:14" s="5" customFormat="1" ht="12.75" customHeight="1" x14ac:dyDescent="0.25">
      <c r="A95" s="1314" t="s">
        <v>1156</v>
      </c>
      <c r="B95" s="1314"/>
      <c r="C95" s="1314"/>
      <c r="D95" s="1314"/>
      <c r="E95" s="1314"/>
      <c r="F95" s="1314"/>
      <c r="G95" s="1314"/>
      <c r="H95" s="1314"/>
      <c r="I95" s="1314"/>
      <c r="J95" s="1314"/>
      <c r="K95" s="1314"/>
      <c r="L95" s="1314"/>
      <c r="M95" s="1314"/>
    </row>
    <row r="96" spans="1:14" ht="11.25" customHeight="1" x14ac:dyDescent="0.25">
      <c r="A96" s="851" t="s">
        <v>1240</v>
      </c>
      <c r="B96" s="226"/>
      <c r="C96" s="226"/>
      <c r="D96" s="226"/>
      <c r="E96" s="226"/>
      <c r="F96" s="226"/>
      <c r="G96" s="226"/>
      <c r="H96" s="226"/>
    </row>
    <row r="97" spans="1:8" ht="11.25" customHeight="1" x14ac:dyDescent="0.25">
      <c r="A97" s="851" t="s">
        <v>1290</v>
      </c>
      <c r="B97" s="226"/>
      <c r="C97" s="226"/>
      <c r="D97" s="226"/>
      <c r="E97" s="226"/>
      <c r="F97" s="226"/>
      <c r="G97" s="226"/>
      <c r="H97" s="226"/>
    </row>
    <row r="98" spans="1:8" ht="11.25" customHeight="1" x14ac:dyDescent="0.25">
      <c r="A98" s="851" t="s">
        <v>1291</v>
      </c>
      <c r="B98" s="226"/>
      <c r="C98" s="226"/>
      <c r="D98" s="226"/>
      <c r="E98" s="226"/>
      <c r="F98" s="226"/>
      <c r="G98" s="226"/>
      <c r="H98" s="226"/>
    </row>
    <row r="99" spans="1:8" ht="11.25" customHeight="1" x14ac:dyDescent="0.25">
      <c r="A99" s="226"/>
      <c r="B99" s="226"/>
      <c r="C99" s="226"/>
      <c r="D99" s="226"/>
      <c r="E99" s="226"/>
      <c r="F99" s="226"/>
      <c r="G99" s="226"/>
      <c r="H99" s="226"/>
    </row>
    <row r="100" spans="1:8" ht="11.25" customHeight="1" x14ac:dyDescent="0.25">
      <c r="B100" s="185"/>
    </row>
    <row r="101" spans="1:8" ht="11.25" customHeight="1" x14ac:dyDescent="0.25">
      <c r="B101" s="185"/>
    </row>
    <row r="102" spans="1:8" ht="11.25" customHeight="1" x14ac:dyDescent="0.25">
      <c r="B102" s="185"/>
    </row>
    <row r="103" spans="1:8" ht="11.25" customHeight="1" x14ac:dyDescent="0.25">
      <c r="B103" s="185"/>
    </row>
    <row r="104" spans="1:8" ht="11.25" customHeight="1" x14ac:dyDescent="0.25">
      <c r="B104" s="185"/>
    </row>
    <row r="105" spans="1:8" ht="11.25" customHeight="1" x14ac:dyDescent="0.25">
      <c r="B105" s="185"/>
    </row>
    <row r="106" spans="1:8" ht="11.25" customHeight="1" x14ac:dyDescent="0.25">
      <c r="B106" s="185"/>
    </row>
    <row r="107" spans="1:8" ht="11.25" customHeight="1" x14ac:dyDescent="0.25">
      <c r="B107" s="185"/>
    </row>
    <row r="108" spans="1:8" ht="11.25" customHeight="1" x14ac:dyDescent="0.25">
      <c r="B108" s="185"/>
    </row>
    <row r="109" spans="1:8" ht="11.25" customHeight="1" x14ac:dyDescent="0.25">
      <c r="B109" s="185"/>
    </row>
    <row r="110" spans="1:8" ht="11.25" customHeight="1" x14ac:dyDescent="0.25">
      <c r="B110" s="185"/>
    </row>
    <row r="111" spans="1:8" ht="11.25" customHeight="1" x14ac:dyDescent="0.25">
      <c r="B111" s="185"/>
    </row>
    <row r="112" spans="1:8" ht="11.25" customHeight="1" x14ac:dyDescent="0.25">
      <c r="B112" s="185"/>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sheet="1" objects="1" scenarios="1"/>
  <mergeCells count="9">
    <mergeCell ref="A95:M95"/>
    <mergeCell ref="A93:M93"/>
    <mergeCell ref="A2:A5"/>
    <mergeCell ref="B2:B5"/>
    <mergeCell ref="C2:K2"/>
    <mergeCell ref="A89:M89"/>
    <mergeCell ref="A88:M88"/>
    <mergeCell ref="A90:M90"/>
    <mergeCell ref="A91:M91"/>
  </mergeCells>
  <phoneticPr fontId="3"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opLeftCell="A34" zoomScaleNormal="100" workbookViewId="0">
      <selection activeCell="C6" sqref="C6"/>
    </sheetView>
  </sheetViews>
  <sheetFormatPr defaultRowHeight="12.75" x14ac:dyDescent="0.2"/>
  <cols>
    <col min="23" max="23" width="19.7109375" style="683" customWidth="1"/>
    <col min="24" max="25" width="9.140625" style="683"/>
  </cols>
  <sheetData>
    <row r="2" spans="4:24" x14ac:dyDescent="0.2">
      <c r="D2">
        <v>2020</v>
      </c>
    </row>
    <row r="4" spans="4:24" x14ac:dyDescent="0.2">
      <c r="X4" s="710" t="s">
        <v>260</v>
      </c>
    </row>
    <row r="5" spans="4:24" x14ac:dyDescent="0.2">
      <c r="X5" s="710" t="s">
        <v>580</v>
      </c>
    </row>
    <row r="7" spans="4:24" x14ac:dyDescent="0.2">
      <c r="W7" s="710" t="s">
        <v>77</v>
      </c>
      <c r="X7" s="710" t="s">
        <v>76</v>
      </c>
    </row>
    <row r="8" spans="4:24" x14ac:dyDescent="0.2">
      <c r="X8" s="710" t="s">
        <v>78</v>
      </c>
    </row>
    <row r="10" spans="4:24" x14ac:dyDescent="0.2">
      <c r="W10" s="710" t="s">
        <v>26</v>
      </c>
      <c r="X10" s="686" t="s">
        <v>1852</v>
      </c>
    </row>
    <row r="19" spans="14:24" ht="15.75" x14ac:dyDescent="0.25">
      <c r="W19" s="710" t="s">
        <v>79</v>
      </c>
      <c r="X19" s="835">
        <v>2008</v>
      </c>
    </row>
    <row r="20" spans="14:24" ht="15.75" x14ac:dyDescent="0.25">
      <c r="X20" s="835">
        <v>2009</v>
      </c>
    </row>
    <row r="21" spans="14:24" ht="15.75" x14ac:dyDescent="0.25">
      <c r="N21" s="683"/>
      <c r="X21" s="835">
        <v>2010</v>
      </c>
    </row>
    <row r="22" spans="14:24" ht="15.75" x14ac:dyDescent="0.25">
      <c r="X22" s="835">
        <v>2011</v>
      </c>
    </row>
    <row r="23" spans="14:24" ht="15.75" x14ac:dyDescent="0.25">
      <c r="X23" s="835">
        <v>2012</v>
      </c>
    </row>
    <row r="24" spans="14:24" ht="15.75" x14ac:dyDescent="0.25">
      <c r="X24" s="835">
        <v>2013</v>
      </c>
    </row>
    <row r="25" spans="14:24" ht="15.75" x14ac:dyDescent="0.25">
      <c r="X25" s="835">
        <v>2014</v>
      </c>
    </row>
    <row r="26" spans="14:24" ht="15.75" x14ac:dyDescent="0.25">
      <c r="X26" s="835">
        <v>2015</v>
      </c>
    </row>
    <row r="27" spans="14:24" ht="15.75" x14ac:dyDescent="0.25">
      <c r="X27" s="835">
        <v>2016</v>
      </c>
    </row>
    <row r="28" spans="14:24" ht="15.75" x14ac:dyDescent="0.25">
      <c r="X28" s="835">
        <v>2017</v>
      </c>
    </row>
    <row r="29" spans="14:24" ht="15.75" x14ac:dyDescent="0.25">
      <c r="X29" s="835">
        <v>2018</v>
      </c>
    </row>
    <row r="30" spans="14:24" ht="15.75" x14ac:dyDescent="0.25">
      <c r="X30" s="835">
        <v>2019</v>
      </c>
    </row>
    <row r="31" spans="14:24" ht="15.75" x14ac:dyDescent="0.25">
      <c r="X31" s="835">
        <v>2020</v>
      </c>
    </row>
    <row r="32" spans="14:24" ht="15.75" x14ac:dyDescent="0.25">
      <c r="X32" s="835">
        <v>2021</v>
      </c>
    </row>
    <row r="33" spans="23:24" ht="15.75" x14ac:dyDescent="0.25">
      <c r="W33" s="710" t="s">
        <v>80</v>
      </c>
      <c r="X33" s="835">
        <v>2022</v>
      </c>
    </row>
    <row r="34" spans="23:24" x14ac:dyDescent="0.2">
      <c r="W34" s="710" t="s">
        <v>81</v>
      </c>
      <c r="X34" s="833"/>
    </row>
    <row r="35" spans="23:24" x14ac:dyDescent="0.2">
      <c r="X35" s="833">
        <v>8</v>
      </c>
    </row>
    <row r="36" spans="23:24" x14ac:dyDescent="0.2">
      <c r="W36" s="710" t="s">
        <v>82</v>
      </c>
      <c r="X36" s="834">
        <f>INDEX(X19:X33,X35,1)</f>
        <v>2015</v>
      </c>
    </row>
    <row r="38" spans="23:24" x14ac:dyDescent="0.2">
      <c r="X38" s="711" t="str">
        <f>MTREF&amp;"/"&amp;RIGHT(MTREF,2)+1</f>
        <v>2015/16</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34" r:id="rId4" name="TextBox3">
          <controlPr defaultSize="0" autoLine="0" linkedCell="Contacts!B61" r:id="rId5">
            <anchor moveWithCells="1">
              <from>
                <xdr:col>5</xdr:col>
                <xdr:colOff>190500</xdr:colOff>
                <xdr:row>7</xdr:row>
                <xdr:rowOff>47625</xdr:rowOff>
              </from>
              <to>
                <xdr:col>11</xdr:col>
                <xdr:colOff>276225</xdr:colOff>
                <xdr:row>8</xdr:row>
                <xdr:rowOff>142875</xdr:rowOff>
              </to>
            </anchor>
          </controlPr>
        </control>
      </mc:Choice>
      <mc:Fallback>
        <control shapeId="13334" r:id="rId4" name="TextBox3"/>
      </mc:Fallback>
    </mc:AlternateContent>
    <mc:AlternateContent xmlns:mc="http://schemas.openxmlformats.org/markup-compatibility/2006">
      <mc:Choice Requires="x14">
        <control shapeId="13335" r:id="rId6" name="TextBox4">
          <controlPr defaultSize="0" autoLine="0" linkedCell="Contacts!B62" r:id="rId7">
            <anchor moveWithCells="1">
              <from>
                <xdr:col>5</xdr:col>
                <xdr:colOff>190500</xdr:colOff>
                <xdr:row>9</xdr:row>
                <xdr:rowOff>123825</xdr:rowOff>
              </from>
              <to>
                <xdr:col>7</xdr:col>
                <xdr:colOff>533400</xdr:colOff>
                <xdr:row>11</xdr:row>
                <xdr:rowOff>57150</xdr:rowOff>
              </to>
            </anchor>
          </controlPr>
        </control>
      </mc:Choice>
      <mc:Fallback>
        <control shapeId="13335" r:id="rId6" name="TextBox4"/>
      </mc:Fallback>
    </mc:AlternateContent>
    <mc:AlternateContent xmlns:mc="http://schemas.openxmlformats.org/markup-compatibility/2006">
      <mc:Choice Requires="x14">
        <control shapeId="13336" r:id="rId8" name="TextBox5">
          <controlPr defaultSize="0" autoLine="0" linkedCell="Contacts!B65" r:id="rId9">
            <anchor moveWithCells="1">
              <from>
                <xdr:col>5</xdr:col>
                <xdr:colOff>190500</xdr:colOff>
                <xdr:row>12</xdr:row>
                <xdr:rowOff>28575</xdr:rowOff>
              </from>
              <to>
                <xdr:col>11</xdr:col>
                <xdr:colOff>276225</xdr:colOff>
                <xdr:row>13</xdr:row>
                <xdr:rowOff>123825</xdr:rowOff>
              </to>
            </anchor>
          </controlPr>
        </control>
      </mc:Choice>
      <mc:Fallback>
        <control shapeId="13336" r:id="rId8" name="TextBox5"/>
      </mc:Fallback>
    </mc:AlternateContent>
    <mc:AlternateContent xmlns:mc="http://schemas.openxmlformats.org/markup-compatibility/2006">
      <mc:Choice Requires="x14">
        <control shapeId="13337" r:id="rId10" name="TextBox6">
          <controlPr defaultSize="0" autoLine="0" linkedCell="Contacts!B64" r:id="rId11">
            <anchor moveWithCells="1">
              <from>
                <xdr:col>9</xdr:col>
                <xdr:colOff>57150</xdr:colOff>
                <xdr:row>9</xdr:row>
                <xdr:rowOff>142875</xdr:rowOff>
              </from>
              <to>
                <xdr:col>11</xdr:col>
                <xdr:colOff>276225</xdr:colOff>
                <xdr:row>11</xdr:row>
                <xdr:rowOff>76200</xdr:rowOff>
              </to>
            </anchor>
          </controlPr>
        </control>
      </mc:Choice>
      <mc:Fallback>
        <control shapeId="13337" r:id="rId10" name="TextBox6"/>
      </mc:Fallback>
    </mc:AlternateContent>
    <mc:AlternateContent xmlns:mc="http://schemas.openxmlformats.org/markup-compatibility/2006">
      <mc:Choice Requires="x14">
        <control shapeId="13338" r:id="rId12" name="ToggleReferenceColumns">
          <controlPr defaultSize="0" autoLine="0" r:id="rId13">
            <anchor moveWithCells="1">
              <from>
                <xdr:col>1</xdr:col>
                <xdr:colOff>76200</xdr:colOff>
                <xdr:row>34</xdr:row>
                <xdr:rowOff>95250</xdr:rowOff>
              </from>
              <to>
                <xdr:col>5</xdr:col>
                <xdr:colOff>57150</xdr:colOff>
                <xdr:row>36</xdr:row>
                <xdr:rowOff>85725</xdr:rowOff>
              </to>
            </anchor>
          </controlPr>
        </control>
      </mc:Choice>
      <mc:Fallback>
        <control shapeId="13338" r:id="rId12" name="ToggleReferenceColumns"/>
      </mc:Fallback>
    </mc:AlternateContent>
    <mc:AlternateContent xmlns:mc="http://schemas.openxmlformats.org/markup-compatibility/2006">
      <mc:Choice Requires="x14">
        <control shapeId="13339" r:id="rId14" name="TogglePreAuditColums">
          <controlPr defaultSize="0" autoLine="0" r:id="rId15">
            <anchor moveWithCells="1">
              <from>
                <xdr:col>1</xdr:col>
                <xdr:colOff>76200</xdr:colOff>
                <xdr:row>37</xdr:row>
                <xdr:rowOff>28575</xdr:rowOff>
              </from>
              <to>
                <xdr:col>5</xdr:col>
                <xdr:colOff>57150</xdr:colOff>
                <xdr:row>39</xdr:row>
                <xdr:rowOff>28575</xdr:rowOff>
              </to>
            </anchor>
          </controlPr>
        </control>
      </mc:Choice>
      <mc:Fallback>
        <control shapeId="13339" r:id="rId14" name="TogglePreAuditColums"/>
      </mc:Fallback>
    </mc:AlternateContent>
    <mc:AlternateContent xmlns:mc="http://schemas.openxmlformats.org/markup-compatibility/2006">
      <mc:Choice Requires="x14">
        <control shapeId="13340" r:id="rId16" name="ToggleHiddenColumns">
          <controlPr defaultSize="0" autoLine="0" r:id="rId17">
            <anchor moveWithCells="1">
              <from>
                <xdr:col>1</xdr:col>
                <xdr:colOff>76200</xdr:colOff>
                <xdr:row>42</xdr:row>
                <xdr:rowOff>95250</xdr:rowOff>
              </from>
              <to>
                <xdr:col>5</xdr:col>
                <xdr:colOff>57150</xdr:colOff>
                <xdr:row>44</xdr:row>
                <xdr:rowOff>85725</xdr:rowOff>
              </to>
            </anchor>
          </controlPr>
        </control>
      </mc:Choice>
      <mc:Fallback>
        <control shapeId="13340" r:id="rId16" name="ToggleHiddenColumns"/>
      </mc:Fallback>
    </mc:AlternateContent>
    <mc:AlternateContent xmlns:mc="http://schemas.openxmlformats.org/markup-compatibility/2006">
      <mc:Choice Requires="x14">
        <control shapeId="13342" r:id="rId18" name="DateOfAdjustment">
          <controlPr defaultSize="0" autoLine="0" linkedCell="Date" r:id="rId19">
            <anchor moveWithCells="1">
              <from>
                <xdr:col>5</xdr:col>
                <xdr:colOff>190500</xdr:colOff>
                <xdr:row>14</xdr:row>
                <xdr:rowOff>133350</xdr:rowOff>
              </from>
              <to>
                <xdr:col>7</xdr:col>
                <xdr:colOff>381000</xdr:colOff>
                <xdr:row>16</xdr:row>
                <xdr:rowOff>66675</xdr:rowOff>
              </to>
            </anchor>
          </controlPr>
        </control>
      </mc:Choice>
      <mc:Fallback>
        <control shapeId="13342" r:id="rId18" name="DateOfAdjustment"/>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77"/>
  <sheetViews>
    <sheetView showGridLines="0" zoomScaleNormal="100" workbookViewId="0">
      <pane xSplit="2" ySplit="5" topLeftCell="C150" activePane="bottomRight" state="frozen"/>
      <selection activeCell="C6" sqref="C6"/>
      <selection pane="topRight" activeCell="C6" sqref="C6"/>
      <selection pane="bottomLeft" activeCell="C6" sqref="C6"/>
      <selection pane="bottomRight" activeCell="F156" sqref="F156"/>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"&amp;ADJB1&amp;" - "&amp;Date</f>
        <v>LIM354 Polokwane - Supporting Table SB1 Supporting detail to 'Budgeted Financial Performance' - 25 February 2016</v>
      </c>
      <c r="B1" s="5"/>
      <c r="C1" s="58"/>
    </row>
    <row r="2" spans="1:14" ht="31.5" customHeight="1" x14ac:dyDescent="0.25">
      <c r="A2" s="1321" t="str">
        <f>desc</f>
        <v>Description</v>
      </c>
      <c r="B2" s="1351" t="str">
        <f>head27</f>
        <v>Ref</v>
      </c>
      <c r="C2" s="1316" t="str">
        <f>Head2</f>
        <v>Budget Year 2015/16</v>
      </c>
      <c r="D2" s="1316"/>
      <c r="E2" s="1316"/>
      <c r="F2" s="1316"/>
      <c r="G2" s="1316"/>
      <c r="H2" s="1316"/>
      <c r="I2" s="1316"/>
      <c r="J2" s="1316"/>
      <c r="K2" s="1316"/>
      <c r="L2" s="103" t="str">
        <f>Head10</f>
        <v>Budget Year +1 2016/17</v>
      </c>
      <c r="M2" s="61" t="str">
        <f>Head11</f>
        <v>Budget Year +2 2017/18</v>
      </c>
    </row>
    <row r="3" spans="1:14" ht="25.5" x14ac:dyDescent="0.25">
      <c r="A3" s="1322"/>
      <c r="B3" s="135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22"/>
      <c r="B4" s="1352"/>
      <c r="C4" s="65"/>
      <c r="D4" s="15">
        <v>6</v>
      </c>
      <c r="E4" s="15">
        <v>7</v>
      </c>
      <c r="F4" s="15">
        <v>8</v>
      </c>
      <c r="G4" s="15">
        <v>9</v>
      </c>
      <c r="H4" s="15">
        <v>10</v>
      </c>
      <c r="I4" s="15">
        <v>11</v>
      </c>
      <c r="J4" s="15">
        <v>12</v>
      </c>
      <c r="K4" s="15">
        <v>13</v>
      </c>
      <c r="L4" s="15"/>
      <c r="M4" s="17"/>
    </row>
    <row r="5" spans="1:14" x14ac:dyDescent="0.25">
      <c r="A5" s="66" t="s">
        <v>641</v>
      </c>
      <c r="B5" s="69"/>
      <c r="C5" s="67" t="s">
        <v>581</v>
      </c>
      <c r="D5" s="68" t="s">
        <v>582</v>
      </c>
      <c r="E5" s="68" t="s">
        <v>583</v>
      </c>
      <c r="F5" s="69" t="s">
        <v>584</v>
      </c>
      <c r="G5" s="69" t="s">
        <v>585</v>
      </c>
      <c r="H5" s="69" t="s">
        <v>586</v>
      </c>
      <c r="I5" s="70" t="s">
        <v>587</v>
      </c>
      <c r="J5" s="70" t="s">
        <v>588</v>
      </c>
      <c r="K5" s="70" t="s">
        <v>589</v>
      </c>
      <c r="L5" s="70"/>
      <c r="M5" s="71"/>
    </row>
    <row r="6" spans="1:14" ht="12.75" customHeight="1" x14ac:dyDescent="0.25">
      <c r="A6" s="126" t="s">
        <v>1292</v>
      </c>
      <c r="B6" s="290"/>
      <c r="C6" s="74"/>
      <c r="D6" s="75"/>
      <c r="E6" s="75"/>
      <c r="F6" s="75"/>
      <c r="G6" s="75"/>
      <c r="H6" s="75"/>
      <c r="I6" s="75"/>
      <c r="J6" s="75"/>
      <c r="K6" s="75"/>
      <c r="L6" s="75"/>
      <c r="M6" s="76"/>
    </row>
    <row r="7" spans="1:14" ht="12.75" customHeight="1" x14ac:dyDescent="0.25">
      <c r="A7" s="52" t="s">
        <v>591</v>
      </c>
      <c r="B7" s="290"/>
      <c r="C7" s="74"/>
      <c r="D7" s="75"/>
      <c r="E7" s="75"/>
      <c r="F7" s="75"/>
      <c r="G7" s="75"/>
      <c r="H7" s="75"/>
      <c r="I7" s="75"/>
      <c r="J7" s="75"/>
      <c r="K7" s="75"/>
      <c r="L7" s="75"/>
      <c r="M7" s="76"/>
      <c r="N7" s="128"/>
    </row>
    <row r="8" spans="1:14" ht="12.75" customHeight="1" x14ac:dyDescent="0.25">
      <c r="A8" s="55" t="s">
        <v>1293</v>
      </c>
      <c r="B8" s="290"/>
      <c r="C8" s="130">
        <v>372585244</v>
      </c>
      <c r="D8" s="109"/>
      <c r="E8" s="109"/>
      <c r="F8" s="109"/>
      <c r="G8" s="109"/>
      <c r="H8" s="109"/>
      <c r="I8" s="109">
        <f>-372585000+342000000+20000000</f>
        <v>-10585000</v>
      </c>
      <c r="J8" s="75">
        <f>SUM(E8:I8)</f>
        <v>-10585000</v>
      </c>
      <c r="K8" s="75">
        <f>IF(D8=0,C8+J8,D8+J8)</f>
        <v>362000244</v>
      </c>
      <c r="L8" s="109">
        <v>404914195.96000004</v>
      </c>
      <c r="M8" s="110">
        <v>438269212.61660004</v>
      </c>
      <c r="N8" s="128"/>
    </row>
    <row r="9" spans="1:14" ht="12.75" customHeight="1" x14ac:dyDescent="0.25">
      <c r="A9" s="849" t="s">
        <v>1294</v>
      </c>
      <c r="B9" s="290"/>
      <c r="C9" s="130">
        <v>40108000</v>
      </c>
      <c r="D9" s="109"/>
      <c r="E9" s="109"/>
      <c r="F9" s="109"/>
      <c r="G9" s="109"/>
      <c r="H9" s="109"/>
      <c r="I9" s="109">
        <f>-40108000+48000000</f>
        <v>7892000</v>
      </c>
      <c r="J9" s="75">
        <f>SUM(E9:I9)</f>
        <v>7892000</v>
      </c>
      <c r="K9" s="75">
        <f>IF(D9=0,C9+J9,D9+J9)</f>
        <v>48000000</v>
      </c>
      <c r="L9" s="109">
        <v>42514000</v>
      </c>
      <c r="M9" s="110">
        <v>45065000</v>
      </c>
      <c r="N9" s="128"/>
    </row>
    <row r="10" spans="1:14" ht="12.75" customHeight="1" x14ac:dyDescent="0.25">
      <c r="A10" s="166" t="s">
        <v>1295</v>
      </c>
      <c r="B10" s="290"/>
      <c r="C10" s="80">
        <f>C8-C9</f>
        <v>332477244</v>
      </c>
      <c r="D10" s="81">
        <f t="shared" ref="D10:M10" si="0">D8-D9</f>
        <v>0</v>
      </c>
      <c r="E10" s="81">
        <f t="shared" si="0"/>
        <v>0</v>
      </c>
      <c r="F10" s="81">
        <f t="shared" si="0"/>
        <v>0</v>
      </c>
      <c r="G10" s="81">
        <f t="shared" si="0"/>
        <v>0</v>
      </c>
      <c r="H10" s="81">
        <f t="shared" si="0"/>
        <v>0</v>
      </c>
      <c r="I10" s="81">
        <f t="shared" si="0"/>
        <v>-18477000</v>
      </c>
      <c r="J10" s="81">
        <f t="shared" si="0"/>
        <v>-18477000</v>
      </c>
      <c r="K10" s="81">
        <f t="shared" si="0"/>
        <v>314000244</v>
      </c>
      <c r="L10" s="81">
        <f t="shared" si="0"/>
        <v>362400195.96000004</v>
      </c>
      <c r="M10" s="82">
        <f t="shared" si="0"/>
        <v>393204212.61660004</v>
      </c>
      <c r="N10" s="128"/>
    </row>
    <row r="11" spans="1:14" ht="4.5" customHeight="1" x14ac:dyDescent="0.25">
      <c r="A11" s="30"/>
      <c r="B11" s="290"/>
      <c r="C11" s="74"/>
      <c r="D11" s="75"/>
      <c r="E11" s="75"/>
      <c r="F11" s="75"/>
      <c r="G11" s="75"/>
      <c r="H11" s="75"/>
      <c r="I11" s="75"/>
      <c r="J11" s="75"/>
      <c r="K11" s="75"/>
      <c r="L11" s="75"/>
      <c r="M11" s="76"/>
      <c r="N11" s="128"/>
    </row>
    <row r="12" spans="1:14" ht="12.75" customHeight="1" x14ac:dyDescent="0.25">
      <c r="A12" s="52" t="s">
        <v>684</v>
      </c>
      <c r="B12" s="290"/>
      <c r="C12" s="74"/>
      <c r="D12" s="75"/>
      <c r="E12" s="75"/>
      <c r="F12" s="75"/>
      <c r="G12" s="75"/>
      <c r="H12" s="75"/>
      <c r="I12" s="75"/>
      <c r="J12" s="75"/>
      <c r="K12" s="75"/>
      <c r="L12" s="75"/>
      <c r="M12" s="76"/>
      <c r="N12" s="128"/>
    </row>
    <row r="13" spans="1:14" ht="12.75" customHeight="1" x14ac:dyDescent="0.25">
      <c r="A13" s="55" t="s">
        <v>1296</v>
      </c>
      <c r="B13" s="290"/>
      <c r="C13" s="130">
        <v>809165341.99599993</v>
      </c>
      <c r="D13" s="109"/>
      <c r="E13" s="109"/>
      <c r="F13" s="109"/>
      <c r="G13" s="109"/>
      <c r="H13" s="109"/>
      <c r="I13" s="109"/>
      <c r="J13" s="75">
        <f>SUM(E13:I13)</f>
        <v>0</v>
      </c>
      <c r="K13" s="75">
        <f>IF(D13=0,C13+J13,D13+J13)</f>
        <v>809165341.99599993</v>
      </c>
      <c r="L13" s="109">
        <v>913261372.02547979</v>
      </c>
      <c r="M13" s="110">
        <v>1035308356.1389196</v>
      </c>
      <c r="N13" s="128"/>
    </row>
    <row r="14" spans="1:14" ht="12.75" customHeight="1" x14ac:dyDescent="0.25">
      <c r="A14" s="849" t="s">
        <v>1294</v>
      </c>
      <c r="B14" s="290"/>
      <c r="C14" s="130">
        <v>15642000</v>
      </c>
      <c r="D14" s="109"/>
      <c r="E14" s="109"/>
      <c r="F14" s="109"/>
      <c r="G14" s="109"/>
      <c r="H14" s="109"/>
      <c r="I14" s="109"/>
      <c r="J14" s="75">
        <f>SUM(E14:I14)</f>
        <v>0</v>
      </c>
      <c r="K14" s="75">
        <f>IF(D14=0,C14+J14,D14+J14)</f>
        <v>15642000</v>
      </c>
      <c r="L14" s="109">
        <v>16580000</v>
      </c>
      <c r="M14" s="110">
        <v>17575000</v>
      </c>
      <c r="N14" s="128"/>
    </row>
    <row r="15" spans="1:14" ht="12.75" customHeight="1" x14ac:dyDescent="0.25">
      <c r="A15" s="166" t="s">
        <v>1297</v>
      </c>
      <c r="B15" s="290"/>
      <c r="C15" s="80">
        <f>C13-C14</f>
        <v>793523341.99599993</v>
      </c>
      <c r="D15" s="81">
        <f t="shared" ref="D15:M15" si="1">D13-D14</f>
        <v>0</v>
      </c>
      <c r="E15" s="81">
        <f t="shared" si="1"/>
        <v>0</v>
      </c>
      <c r="F15" s="81">
        <f t="shared" si="1"/>
        <v>0</v>
      </c>
      <c r="G15" s="81">
        <f t="shared" si="1"/>
        <v>0</v>
      </c>
      <c r="H15" s="81">
        <f t="shared" si="1"/>
        <v>0</v>
      </c>
      <c r="I15" s="81">
        <f t="shared" si="1"/>
        <v>0</v>
      </c>
      <c r="J15" s="81">
        <f t="shared" si="1"/>
        <v>0</v>
      </c>
      <c r="K15" s="81">
        <f t="shared" si="1"/>
        <v>793523341.99599993</v>
      </c>
      <c r="L15" s="81">
        <f t="shared" si="1"/>
        <v>896681372.02547979</v>
      </c>
      <c r="M15" s="82">
        <f t="shared" si="1"/>
        <v>1017733356.1389196</v>
      </c>
      <c r="N15" s="128"/>
    </row>
    <row r="16" spans="1:14" ht="5.25" customHeight="1" x14ac:dyDescent="0.25">
      <c r="B16" s="290"/>
      <c r="C16" s="74"/>
      <c r="D16" s="75"/>
      <c r="E16" s="75"/>
      <c r="F16" s="75"/>
      <c r="G16" s="75"/>
      <c r="H16" s="75"/>
      <c r="I16" s="75"/>
      <c r="J16" s="75"/>
      <c r="K16" s="75"/>
      <c r="L16" s="75"/>
      <c r="M16" s="76"/>
      <c r="N16" s="128"/>
    </row>
    <row r="17" spans="1:14" ht="12.75" customHeight="1" x14ac:dyDescent="0.25">
      <c r="A17" s="291" t="s">
        <v>685</v>
      </c>
      <c r="B17" s="290"/>
      <c r="C17" s="74"/>
      <c r="D17" s="75"/>
      <c r="E17" s="75"/>
      <c r="F17" s="75"/>
      <c r="G17" s="75"/>
      <c r="H17" s="75"/>
      <c r="I17" s="75"/>
      <c r="J17" s="75"/>
      <c r="K17" s="75"/>
      <c r="L17" s="75"/>
      <c r="M17" s="76"/>
      <c r="N17" s="128"/>
    </row>
    <row r="18" spans="1:14" ht="12.75" customHeight="1" x14ac:dyDescent="0.25">
      <c r="A18" s="55" t="s">
        <v>1298</v>
      </c>
      <c r="B18" s="290"/>
      <c r="C18" s="130">
        <v>266138033.01000002</v>
      </c>
      <c r="D18" s="109"/>
      <c r="E18" s="109"/>
      <c r="F18" s="109"/>
      <c r="G18" s="109"/>
      <c r="H18" s="109"/>
      <c r="I18" s="109"/>
      <c r="J18" s="75">
        <f>SUM(E18:I18)</f>
        <v>0</v>
      </c>
      <c r="K18" s="75">
        <f>IF(D18=0,C18+J18,D18+J18)</f>
        <v>266138033.01000002</v>
      </c>
      <c r="L18" s="109">
        <v>289875582.99090004</v>
      </c>
      <c r="M18" s="110">
        <v>314325471.72012651</v>
      </c>
      <c r="N18" s="128"/>
    </row>
    <row r="19" spans="1:14" ht="12.75" customHeight="1" x14ac:dyDescent="0.25">
      <c r="A19" s="849" t="s">
        <v>1294</v>
      </c>
      <c r="B19" s="290"/>
      <c r="C19" s="130">
        <v>7143000</v>
      </c>
      <c r="D19" s="109"/>
      <c r="E19" s="109"/>
      <c r="F19" s="109"/>
      <c r="G19" s="109"/>
      <c r="H19" s="109"/>
      <c r="I19" s="109"/>
      <c r="J19" s="75">
        <f>SUM(E19:I19)</f>
        <v>0</v>
      </c>
      <c r="K19" s="75">
        <f>IF(D19=0,C19+J19,D19+J19)</f>
        <v>7143000</v>
      </c>
      <c r="L19" s="109">
        <v>7571000</v>
      </c>
      <c r="M19" s="110">
        <v>8025000</v>
      </c>
      <c r="N19" s="128"/>
    </row>
    <row r="20" spans="1:14" ht="12.75" customHeight="1" x14ac:dyDescent="0.25">
      <c r="A20" s="166" t="s">
        <v>1299</v>
      </c>
      <c r="B20" s="290"/>
      <c r="C20" s="80">
        <f>C18-C19</f>
        <v>258995033.01000002</v>
      </c>
      <c r="D20" s="81">
        <f t="shared" ref="D20:M20" si="2">D18-D19</f>
        <v>0</v>
      </c>
      <c r="E20" s="81">
        <f t="shared" si="2"/>
        <v>0</v>
      </c>
      <c r="F20" s="81">
        <f t="shared" si="2"/>
        <v>0</v>
      </c>
      <c r="G20" s="81">
        <f t="shared" si="2"/>
        <v>0</v>
      </c>
      <c r="H20" s="81">
        <f t="shared" si="2"/>
        <v>0</v>
      </c>
      <c r="I20" s="81">
        <f t="shared" si="2"/>
        <v>0</v>
      </c>
      <c r="J20" s="81">
        <f t="shared" si="2"/>
        <v>0</v>
      </c>
      <c r="K20" s="81">
        <f t="shared" si="2"/>
        <v>258995033.01000002</v>
      </c>
      <c r="L20" s="81">
        <f t="shared" si="2"/>
        <v>282304582.99090004</v>
      </c>
      <c r="M20" s="82">
        <f t="shared" si="2"/>
        <v>306300471.72012651</v>
      </c>
      <c r="N20" s="128"/>
    </row>
    <row r="21" spans="1:14" ht="3.75" customHeight="1" x14ac:dyDescent="0.25">
      <c r="A21" s="166"/>
      <c r="B21" s="290"/>
      <c r="C21" s="74"/>
      <c r="D21" s="75"/>
      <c r="E21" s="75"/>
      <c r="F21" s="75"/>
      <c r="G21" s="75"/>
      <c r="H21" s="75"/>
      <c r="I21" s="75"/>
      <c r="J21" s="75"/>
      <c r="K21" s="75"/>
      <c r="L21" s="75"/>
      <c r="M21" s="76"/>
      <c r="N21" s="128"/>
    </row>
    <row r="22" spans="1:14" ht="12.75" customHeight="1" x14ac:dyDescent="0.25">
      <c r="A22" s="291" t="s">
        <v>686</v>
      </c>
      <c r="B22" s="290"/>
      <c r="C22" s="74"/>
      <c r="D22" s="75"/>
      <c r="E22" s="75"/>
      <c r="F22" s="75"/>
      <c r="G22" s="75"/>
      <c r="H22" s="75"/>
      <c r="I22" s="75"/>
      <c r="J22" s="75"/>
      <c r="K22" s="75"/>
      <c r="L22" s="75"/>
      <c r="M22" s="76"/>
      <c r="N22" s="128"/>
    </row>
    <row r="23" spans="1:14" ht="12.75" customHeight="1" x14ac:dyDescent="0.25">
      <c r="A23" s="55" t="s">
        <v>1300</v>
      </c>
      <c r="B23" s="290"/>
      <c r="C23" s="130">
        <v>64742708</v>
      </c>
      <c r="D23" s="109"/>
      <c r="E23" s="109"/>
      <c r="F23" s="109"/>
      <c r="G23" s="109"/>
      <c r="H23" s="109"/>
      <c r="I23" s="109"/>
      <c r="J23" s="75">
        <f>SUM(E23:I23)</f>
        <v>0</v>
      </c>
      <c r="K23" s="75">
        <f>IF(D23=0,C23+J23,D23+J23)</f>
        <v>64742708</v>
      </c>
      <c r="L23" s="109">
        <v>70287018.000000015</v>
      </c>
      <c r="M23" s="110">
        <v>76010944.530000016</v>
      </c>
      <c r="N23" s="128"/>
    </row>
    <row r="24" spans="1:14" ht="12.75" customHeight="1" x14ac:dyDescent="0.25">
      <c r="A24" s="849" t="s">
        <v>1294</v>
      </c>
      <c r="B24" s="290"/>
      <c r="C24" s="130">
        <v>9417000</v>
      </c>
      <c r="D24" s="109"/>
      <c r="E24" s="109"/>
      <c r="F24" s="109"/>
      <c r="G24" s="109"/>
      <c r="H24" s="109"/>
      <c r="I24" s="109"/>
      <c r="J24" s="75">
        <f>SUM(E24:I24)</f>
        <v>0</v>
      </c>
      <c r="K24" s="75">
        <f>IF(D24=0,C24+J24,D24+J24)</f>
        <v>9417000</v>
      </c>
      <c r="L24" s="109">
        <v>9982000</v>
      </c>
      <c r="M24" s="110">
        <v>10580000</v>
      </c>
      <c r="N24" s="128"/>
    </row>
    <row r="25" spans="1:14" ht="12.75" customHeight="1" x14ac:dyDescent="0.25">
      <c r="A25" s="166" t="s">
        <v>1301</v>
      </c>
      <c r="B25" s="290"/>
      <c r="C25" s="80">
        <f>C23-C24</f>
        <v>55325708</v>
      </c>
      <c r="D25" s="81">
        <f t="shared" ref="D25:M25" si="3">D23-D24</f>
        <v>0</v>
      </c>
      <c r="E25" s="81">
        <f t="shared" si="3"/>
        <v>0</v>
      </c>
      <c r="F25" s="81">
        <f t="shared" si="3"/>
        <v>0</v>
      </c>
      <c r="G25" s="81">
        <f t="shared" si="3"/>
        <v>0</v>
      </c>
      <c r="H25" s="81">
        <f t="shared" si="3"/>
        <v>0</v>
      </c>
      <c r="I25" s="81">
        <f t="shared" si="3"/>
        <v>0</v>
      </c>
      <c r="J25" s="81">
        <f t="shared" si="3"/>
        <v>0</v>
      </c>
      <c r="K25" s="81">
        <f t="shared" si="3"/>
        <v>55325708</v>
      </c>
      <c r="L25" s="81">
        <f t="shared" si="3"/>
        <v>60305018.000000015</v>
      </c>
      <c r="M25" s="82">
        <f t="shared" si="3"/>
        <v>65430944.530000016</v>
      </c>
      <c r="N25" s="128"/>
    </row>
    <row r="26" spans="1:14" ht="4.5" customHeight="1" x14ac:dyDescent="0.25">
      <c r="A26" s="166"/>
      <c r="B26" s="290"/>
      <c r="C26" s="74" t="s">
        <v>1440</v>
      </c>
      <c r="D26" s="75"/>
      <c r="E26" s="75"/>
      <c r="F26" s="75"/>
      <c r="G26" s="75"/>
      <c r="H26" s="75"/>
      <c r="I26" s="75"/>
      <c r="J26" s="75"/>
      <c r="K26" s="75"/>
      <c r="L26" s="75"/>
      <c r="M26" s="76"/>
      <c r="N26" s="128"/>
    </row>
    <row r="27" spans="1:14" ht="12.75" customHeight="1" x14ac:dyDescent="0.25">
      <c r="A27" s="52" t="s">
        <v>1302</v>
      </c>
      <c r="B27" s="290"/>
      <c r="C27" s="74"/>
      <c r="D27" s="75"/>
      <c r="E27" s="75"/>
      <c r="F27" s="75"/>
      <c r="G27" s="75"/>
      <c r="H27" s="75"/>
      <c r="I27" s="75"/>
      <c r="J27" s="75"/>
      <c r="K27" s="75"/>
      <c r="L27" s="75"/>
      <c r="M27" s="76"/>
      <c r="N27" s="128"/>
    </row>
    <row r="28" spans="1:14" ht="12.75" customHeight="1" x14ac:dyDescent="0.25">
      <c r="A28" s="55" t="s">
        <v>787</v>
      </c>
      <c r="B28" s="290"/>
      <c r="C28" s="130">
        <v>66552938.000000007</v>
      </c>
      <c r="D28" s="109"/>
      <c r="E28" s="109"/>
      <c r="F28" s="109"/>
      <c r="G28" s="109"/>
      <c r="H28" s="109"/>
      <c r="I28" s="109"/>
      <c r="J28" s="75">
        <f>SUM(E28:I28)</f>
        <v>0</v>
      </c>
      <c r="K28" s="75">
        <f>IF(D28=0,C28+J28,D28+J28)</f>
        <v>66552938.000000007</v>
      </c>
      <c r="L28" s="109">
        <v>72443512.000000015</v>
      </c>
      <c r="M28" s="110">
        <v>78513730.520000011</v>
      </c>
      <c r="N28" s="128"/>
    </row>
    <row r="29" spans="1:14" ht="12.75" customHeight="1" x14ac:dyDescent="0.25">
      <c r="A29" s="55" t="s">
        <v>788</v>
      </c>
      <c r="B29" s="290"/>
      <c r="C29" s="130"/>
      <c r="D29" s="109"/>
      <c r="E29" s="109"/>
      <c r="F29" s="109"/>
      <c r="G29" s="109"/>
      <c r="H29" s="109"/>
      <c r="I29" s="109"/>
      <c r="J29" s="75">
        <f>SUM(E29:I29)</f>
        <v>0</v>
      </c>
      <c r="K29" s="75">
        <f>IF(D29=0,C29+J29,D29+J29)</f>
        <v>0</v>
      </c>
      <c r="L29" s="109"/>
      <c r="M29" s="110"/>
      <c r="N29" s="128"/>
    </row>
    <row r="30" spans="1:14" ht="12.75" customHeight="1" x14ac:dyDescent="0.25">
      <c r="A30" s="849" t="s">
        <v>1294</v>
      </c>
      <c r="B30" s="290"/>
      <c r="C30" s="130">
        <v>3291000</v>
      </c>
      <c r="D30" s="109"/>
      <c r="E30" s="109"/>
      <c r="F30" s="109"/>
      <c r="G30" s="109"/>
      <c r="H30" s="109"/>
      <c r="I30" s="109"/>
      <c r="J30" s="75">
        <f>SUM(E30:I30)</f>
        <v>0</v>
      </c>
      <c r="K30" s="75">
        <f>IF(D30=0,C30+J30,D30+J30)</f>
        <v>3291000</v>
      </c>
      <c r="L30" s="109">
        <v>3488000</v>
      </c>
      <c r="M30" s="110">
        <v>3697000</v>
      </c>
      <c r="N30" s="128"/>
    </row>
    <row r="31" spans="1:14" ht="12.75" customHeight="1" x14ac:dyDescent="0.25">
      <c r="A31" s="166" t="s">
        <v>1303</v>
      </c>
      <c r="B31" s="290"/>
      <c r="C31" s="80">
        <f>SUM(C28:C29)-C30</f>
        <v>63261938.000000007</v>
      </c>
      <c r="D31" s="81">
        <f t="shared" ref="D31:M31" si="4">SUM(D28:D29)-D30</f>
        <v>0</v>
      </c>
      <c r="E31" s="81">
        <f t="shared" si="4"/>
        <v>0</v>
      </c>
      <c r="F31" s="81">
        <f t="shared" si="4"/>
        <v>0</v>
      </c>
      <c r="G31" s="81">
        <f t="shared" si="4"/>
        <v>0</v>
      </c>
      <c r="H31" s="81">
        <f t="shared" si="4"/>
        <v>0</v>
      </c>
      <c r="I31" s="81">
        <f t="shared" si="4"/>
        <v>0</v>
      </c>
      <c r="J31" s="81">
        <f t="shared" si="4"/>
        <v>0</v>
      </c>
      <c r="K31" s="81">
        <f t="shared" si="4"/>
        <v>63261938.000000007</v>
      </c>
      <c r="L31" s="81">
        <f t="shared" si="4"/>
        <v>68955512.000000015</v>
      </c>
      <c r="M31" s="82">
        <f t="shared" si="4"/>
        <v>74816730.520000011</v>
      </c>
      <c r="N31" s="128"/>
    </row>
    <row r="32" spans="1:14" ht="5.25" customHeight="1" x14ac:dyDescent="0.25">
      <c r="A32" s="126"/>
      <c r="B32" s="290"/>
      <c r="C32" s="74"/>
      <c r="D32" s="75"/>
      <c r="E32" s="75"/>
      <c r="F32" s="75"/>
      <c r="G32" s="75"/>
      <c r="H32" s="75"/>
      <c r="I32" s="75"/>
      <c r="J32" s="75"/>
      <c r="K32" s="75"/>
      <c r="L32" s="75"/>
      <c r="M32" s="76"/>
      <c r="N32" s="128"/>
    </row>
    <row r="33" spans="1:14" ht="12.75" customHeight="1" x14ac:dyDescent="0.25">
      <c r="A33" s="52" t="s">
        <v>1304</v>
      </c>
      <c r="B33" s="290"/>
      <c r="C33" s="74"/>
      <c r="D33" s="75"/>
      <c r="E33" s="75"/>
      <c r="F33" s="75"/>
      <c r="G33" s="75"/>
      <c r="H33" s="75"/>
      <c r="I33" s="75"/>
      <c r="J33" s="75"/>
      <c r="K33" s="75"/>
      <c r="L33" s="75"/>
      <c r="M33" s="76"/>
      <c r="N33" s="128"/>
    </row>
    <row r="34" spans="1:14" ht="12.75" customHeight="1" x14ac:dyDescent="0.25">
      <c r="A34" s="1130" t="s">
        <v>1613</v>
      </c>
      <c r="B34" s="290"/>
      <c r="C34" s="130"/>
      <c r="D34" s="1279"/>
      <c r="E34" s="1279"/>
      <c r="F34" s="1279"/>
      <c r="G34" s="1279"/>
      <c r="H34" s="1279"/>
      <c r="I34" s="1279"/>
      <c r="J34" s="75">
        <f t="shared" ref="J34:J45" si="5">SUM(E34:I34)</f>
        <v>0</v>
      </c>
      <c r="K34" s="517">
        <f t="shared" ref="K34:K45" si="6">IF(D34=0,C34+J34,D34+J34)</f>
        <v>0</v>
      </c>
      <c r="L34" s="1132"/>
      <c r="M34" s="1133"/>
      <c r="N34" s="128"/>
    </row>
    <row r="35" spans="1:14" ht="12.75" customHeight="1" x14ac:dyDescent="0.25">
      <c r="A35" s="1130" t="s">
        <v>1803</v>
      </c>
      <c r="B35" s="290"/>
      <c r="C35" s="130">
        <v>5695067</v>
      </c>
      <c r="D35" s="1279"/>
      <c r="E35" s="1279"/>
      <c r="F35" s="1279"/>
      <c r="G35" s="1279"/>
      <c r="H35" s="1279"/>
      <c r="I35" s="1279"/>
      <c r="J35" s="75">
        <f t="shared" si="5"/>
        <v>0</v>
      </c>
      <c r="K35" s="517">
        <f t="shared" si="6"/>
        <v>5695067</v>
      </c>
      <c r="L35" s="1279">
        <v>6036771</v>
      </c>
      <c r="M35" s="110">
        <v>6398977.2599999998</v>
      </c>
      <c r="N35" s="128"/>
    </row>
    <row r="36" spans="1:14" ht="12.75" customHeight="1" x14ac:dyDescent="0.25">
      <c r="A36" s="1130" t="s">
        <v>1804</v>
      </c>
      <c r="B36" s="290"/>
      <c r="C36" s="130">
        <v>4465186</v>
      </c>
      <c r="D36" s="1279"/>
      <c r="E36" s="1279"/>
      <c r="F36" s="1279"/>
      <c r="G36" s="1279"/>
      <c r="H36" s="1279"/>
      <c r="I36" s="1279"/>
      <c r="J36" s="75">
        <f t="shared" si="5"/>
        <v>0</v>
      </c>
      <c r="K36" s="517">
        <f t="shared" si="6"/>
        <v>4465186</v>
      </c>
      <c r="L36" s="1279">
        <v>4755423</v>
      </c>
      <c r="M36" s="110">
        <v>5055014.6490000002</v>
      </c>
      <c r="N36" s="128"/>
    </row>
    <row r="37" spans="1:14" ht="12.75" customHeight="1" x14ac:dyDescent="0.25">
      <c r="A37" s="1131" t="s">
        <v>1805</v>
      </c>
      <c r="B37" s="290"/>
      <c r="C37" s="130">
        <v>532586</v>
      </c>
      <c r="D37" s="1279"/>
      <c r="E37" s="1279"/>
      <c r="F37" s="1279"/>
      <c r="G37" s="1279"/>
      <c r="H37" s="1279"/>
      <c r="I37" s="1279"/>
      <c r="J37" s="75">
        <f t="shared" si="5"/>
        <v>0</v>
      </c>
      <c r="K37" s="517">
        <f t="shared" si="6"/>
        <v>532586</v>
      </c>
      <c r="L37" s="1279">
        <v>567208.6</v>
      </c>
      <c r="M37" s="110">
        <v>602947.19180000003</v>
      </c>
      <c r="N37" s="128"/>
    </row>
    <row r="38" spans="1:14" ht="12.75" customHeight="1" x14ac:dyDescent="0.25">
      <c r="A38" s="1131" t="s">
        <v>1806</v>
      </c>
      <c r="B38" s="290"/>
      <c r="C38" s="130">
        <v>2247200</v>
      </c>
      <c r="D38" s="1279"/>
      <c r="E38" s="1279"/>
      <c r="F38" s="1279"/>
      <c r="G38" s="1279"/>
      <c r="H38" s="1279"/>
      <c r="I38" s="1279"/>
      <c r="J38" s="75">
        <f t="shared" si="5"/>
        <v>0</v>
      </c>
      <c r="K38" s="517">
        <f t="shared" si="6"/>
        <v>2247200</v>
      </c>
      <c r="L38" s="1279">
        <v>2382032</v>
      </c>
      <c r="M38" s="110">
        <v>2524953.92</v>
      </c>
      <c r="N38" s="128"/>
    </row>
    <row r="39" spans="1:14" ht="12.75" customHeight="1" x14ac:dyDescent="0.25">
      <c r="A39" s="1131" t="s">
        <v>1807</v>
      </c>
      <c r="B39" s="290"/>
      <c r="C39" s="130">
        <v>3805400</v>
      </c>
      <c r="D39" s="1279"/>
      <c r="E39" s="1279"/>
      <c r="F39" s="1279"/>
      <c r="G39" s="1279"/>
      <c r="H39" s="1279"/>
      <c r="I39" s="1279"/>
      <c r="J39" s="75">
        <f t="shared" si="5"/>
        <v>0</v>
      </c>
      <c r="K39" s="517">
        <f t="shared" si="6"/>
        <v>3805400</v>
      </c>
      <c r="L39" s="1279">
        <v>4052753.6</v>
      </c>
      <c r="M39" s="110">
        <v>4308080.5568000004</v>
      </c>
      <c r="N39" s="128"/>
    </row>
    <row r="40" spans="1:14" ht="12.75" customHeight="1" x14ac:dyDescent="0.25">
      <c r="A40" s="1131" t="s">
        <v>1808</v>
      </c>
      <c r="B40" s="290"/>
      <c r="C40" s="130">
        <v>1819939</v>
      </c>
      <c r="D40" s="1279"/>
      <c r="E40" s="1279"/>
      <c r="F40" s="1279"/>
      <c r="G40" s="1279"/>
      <c r="H40" s="1279"/>
      <c r="I40" s="1279"/>
      <c r="J40" s="75">
        <f t="shared" si="5"/>
        <v>0</v>
      </c>
      <c r="K40" s="517">
        <f t="shared" si="6"/>
        <v>1819939</v>
      </c>
      <c r="L40" s="1279">
        <v>1938235</v>
      </c>
      <c r="M40" s="110">
        <v>2060343.8049999999</v>
      </c>
      <c r="N40" s="128"/>
    </row>
    <row r="41" spans="1:14" ht="12.75" customHeight="1" x14ac:dyDescent="0.25">
      <c r="A41" s="1131" t="s">
        <v>2078</v>
      </c>
      <c r="B41" s="290"/>
      <c r="C41" s="130">
        <v>0</v>
      </c>
      <c r="D41" s="1279"/>
      <c r="E41" s="1279"/>
      <c r="F41" s="1279"/>
      <c r="G41" s="1279"/>
      <c r="H41" s="1279"/>
      <c r="I41" s="1279">
        <v>6955962</v>
      </c>
      <c r="J41" s="75">
        <f t="shared" si="5"/>
        <v>6955962</v>
      </c>
      <c r="K41" s="517">
        <f t="shared" si="6"/>
        <v>6955962</v>
      </c>
      <c r="L41" s="1279">
        <v>0</v>
      </c>
      <c r="M41" s="110"/>
      <c r="N41" s="128"/>
    </row>
    <row r="42" spans="1:14" ht="12.75" customHeight="1" x14ac:dyDescent="0.25">
      <c r="A42" s="1131" t="s">
        <v>1809</v>
      </c>
      <c r="B42" s="290"/>
      <c r="C42" s="130">
        <v>1376522</v>
      </c>
      <c r="D42" s="1279"/>
      <c r="E42" s="1279"/>
      <c r="F42" s="1279"/>
      <c r="G42" s="1279"/>
      <c r="H42" s="1279"/>
      <c r="I42" s="1279"/>
      <c r="J42" s="75">
        <f t="shared" si="5"/>
        <v>0</v>
      </c>
      <c r="K42" s="517">
        <f t="shared" si="6"/>
        <v>1376522</v>
      </c>
      <c r="L42" s="1279">
        <v>1459113</v>
      </c>
      <c r="M42" s="110">
        <v>1546659.78</v>
      </c>
      <c r="N42" s="128"/>
    </row>
    <row r="43" spans="1:14" ht="12.75" customHeight="1" x14ac:dyDescent="0.25">
      <c r="A43" s="1131" t="s">
        <v>1810</v>
      </c>
      <c r="B43" s="290"/>
      <c r="C43" s="130">
        <v>821137</v>
      </c>
      <c r="D43" s="1279"/>
      <c r="E43" s="1279"/>
      <c r="F43" s="1279"/>
      <c r="G43" s="1279"/>
      <c r="H43" s="1279"/>
      <c r="I43" s="1279"/>
      <c r="J43" s="75">
        <f t="shared" si="5"/>
        <v>0</v>
      </c>
      <c r="K43" s="517">
        <f t="shared" si="6"/>
        <v>821137</v>
      </c>
      <c r="L43" s="1279">
        <v>874510.24</v>
      </c>
      <c r="M43" s="110">
        <v>929605.55512000003</v>
      </c>
      <c r="N43" s="128"/>
    </row>
    <row r="44" spans="1:14" ht="12.75" customHeight="1" x14ac:dyDescent="0.25">
      <c r="A44" s="1131" t="s">
        <v>1811</v>
      </c>
      <c r="B44" s="290"/>
      <c r="C44" s="130">
        <v>762226</v>
      </c>
      <c r="D44" s="1279"/>
      <c r="E44" s="1279"/>
      <c r="F44" s="1279"/>
      <c r="G44" s="1279"/>
      <c r="H44" s="1279"/>
      <c r="I44" s="1279"/>
      <c r="J44" s="75">
        <f t="shared" si="5"/>
        <v>0</v>
      </c>
      <c r="K44" s="517">
        <f t="shared" si="6"/>
        <v>762226</v>
      </c>
      <c r="L44" s="1279">
        <v>811770</v>
      </c>
      <c r="M44" s="110">
        <v>862911.51</v>
      </c>
      <c r="N44" s="128"/>
    </row>
    <row r="45" spans="1:14" ht="12.75" customHeight="1" x14ac:dyDescent="0.25">
      <c r="A45" s="1131" t="s">
        <v>1812</v>
      </c>
      <c r="B45" s="290"/>
      <c r="C45" s="130">
        <v>46383378</v>
      </c>
      <c r="D45" s="1279"/>
      <c r="E45" s="1279"/>
      <c r="F45" s="1279"/>
      <c r="G45" s="1279"/>
      <c r="H45" s="1279"/>
      <c r="I45" s="1279">
        <f>154173000-52000000-20000000+2000000+3500000</f>
        <v>87673000</v>
      </c>
      <c r="J45" s="75">
        <f t="shared" si="5"/>
        <v>87673000</v>
      </c>
      <c r="K45" s="517">
        <f t="shared" si="6"/>
        <v>134056378</v>
      </c>
      <c r="L45" s="1279">
        <v>8936866.8500000015</v>
      </c>
      <c r="M45" s="110">
        <v>9508647.2575499974</v>
      </c>
      <c r="N45" s="128"/>
    </row>
    <row r="46" spans="1:14" ht="12.75" customHeight="1" x14ac:dyDescent="0.25">
      <c r="A46" s="292" t="s">
        <v>1305</v>
      </c>
      <c r="B46" s="68">
        <v>1</v>
      </c>
      <c r="C46" s="238">
        <f>SUM(C34:C45)</f>
        <v>67908641</v>
      </c>
      <c r="D46" s="238">
        <f t="shared" ref="D46:M46" si="7">SUM(D34:D45)</f>
        <v>0</v>
      </c>
      <c r="E46" s="238">
        <f t="shared" si="7"/>
        <v>0</v>
      </c>
      <c r="F46" s="238">
        <f t="shared" si="7"/>
        <v>0</v>
      </c>
      <c r="G46" s="238">
        <f t="shared" si="7"/>
        <v>0</v>
      </c>
      <c r="H46" s="238">
        <f t="shared" si="7"/>
        <v>0</v>
      </c>
      <c r="I46" s="238">
        <f t="shared" si="7"/>
        <v>94628962</v>
      </c>
      <c r="J46" s="238">
        <f t="shared" si="7"/>
        <v>94628962</v>
      </c>
      <c r="K46" s="238">
        <f t="shared" si="7"/>
        <v>162537603</v>
      </c>
      <c r="L46" s="238">
        <f t="shared" si="7"/>
        <v>31814683.289999999</v>
      </c>
      <c r="M46" s="239">
        <f t="shared" si="7"/>
        <v>33798141.485270001</v>
      </c>
      <c r="N46" s="128"/>
    </row>
    <row r="47" spans="1:14" ht="5.0999999999999996" customHeight="1" x14ac:dyDescent="0.25">
      <c r="A47" s="136"/>
      <c r="B47" s="290"/>
      <c r="C47" s="74"/>
      <c r="D47" s="75"/>
      <c r="E47" s="75"/>
      <c r="F47" s="75"/>
      <c r="G47" s="75"/>
      <c r="H47" s="75"/>
      <c r="I47" s="75"/>
      <c r="J47" s="75"/>
      <c r="K47" s="75"/>
      <c r="L47" s="75"/>
      <c r="M47" s="76"/>
      <c r="N47" s="128"/>
    </row>
    <row r="48" spans="1:14" ht="12.75" customHeight="1" x14ac:dyDescent="0.25">
      <c r="A48" s="126" t="s">
        <v>1306</v>
      </c>
      <c r="B48" s="290"/>
      <c r="C48" s="74"/>
      <c r="D48" s="75"/>
      <c r="E48" s="75"/>
      <c r="F48" s="75"/>
      <c r="G48" s="75"/>
      <c r="H48" s="75"/>
      <c r="I48" s="75"/>
      <c r="J48" s="75"/>
      <c r="K48" s="75"/>
      <c r="L48" s="75"/>
      <c r="M48" s="76"/>
      <c r="N48" s="128"/>
    </row>
    <row r="49" spans="1:14" ht="12.75" customHeight="1" x14ac:dyDescent="0.25">
      <c r="A49" s="126" t="s">
        <v>698</v>
      </c>
      <c r="B49" s="290"/>
      <c r="C49" s="74"/>
      <c r="D49" s="75"/>
      <c r="E49" s="75"/>
      <c r="F49" s="75"/>
      <c r="G49" s="75"/>
      <c r="H49" s="75"/>
      <c r="I49" s="75"/>
      <c r="J49" s="75"/>
      <c r="K49" s="75"/>
      <c r="L49" s="75"/>
      <c r="M49" s="76"/>
      <c r="N49" s="128"/>
    </row>
    <row r="50" spans="1:14" ht="12.75" customHeight="1" x14ac:dyDescent="0.25">
      <c r="A50" s="129" t="s">
        <v>206</v>
      </c>
      <c r="B50" s="290"/>
      <c r="C50" s="130">
        <v>369657560</v>
      </c>
      <c r="D50" s="109"/>
      <c r="E50" s="109"/>
      <c r="F50" s="109"/>
      <c r="G50" s="109"/>
      <c r="H50" s="109"/>
      <c r="I50" s="109"/>
      <c r="J50" s="75">
        <f t="shared" ref="J50:J61" si="8">SUM(E50:I50)</f>
        <v>0</v>
      </c>
      <c r="K50" s="75">
        <f t="shared" ref="K50:K61" si="9">IF(D50=0,C50+J50,D50+J50)</f>
        <v>369657560</v>
      </c>
      <c r="L50" s="109">
        <v>393685295.54999912</v>
      </c>
      <c r="M50" s="110">
        <v>418487462.84965068</v>
      </c>
      <c r="N50" s="128"/>
    </row>
    <row r="51" spans="1:14" ht="12.75" customHeight="1" x14ac:dyDescent="0.25">
      <c r="A51" s="129" t="s">
        <v>1554</v>
      </c>
      <c r="B51" s="290"/>
      <c r="C51" s="130">
        <v>77796604</v>
      </c>
      <c r="D51" s="109"/>
      <c r="E51" s="109"/>
      <c r="F51" s="109"/>
      <c r="G51" s="109"/>
      <c r="H51" s="109"/>
      <c r="I51" s="109"/>
      <c r="J51" s="75">
        <f t="shared" si="8"/>
        <v>0</v>
      </c>
      <c r="K51" s="75">
        <f t="shared" si="9"/>
        <v>77796604</v>
      </c>
      <c r="L51" s="109">
        <v>82853378.220000014</v>
      </c>
      <c r="M51" s="110">
        <v>88073135.487860128</v>
      </c>
      <c r="N51" s="128"/>
    </row>
    <row r="52" spans="1:14" ht="12.75" customHeight="1" x14ac:dyDescent="0.25">
      <c r="A52" s="129" t="s">
        <v>199</v>
      </c>
      <c r="B52" s="290"/>
      <c r="C52" s="130">
        <v>16412360</v>
      </c>
      <c r="D52" s="109"/>
      <c r="E52" s="109"/>
      <c r="F52" s="109"/>
      <c r="G52" s="109"/>
      <c r="H52" s="109"/>
      <c r="I52" s="109"/>
      <c r="J52" s="75">
        <f t="shared" si="8"/>
        <v>0</v>
      </c>
      <c r="K52" s="75">
        <f t="shared" si="9"/>
        <v>16412360</v>
      </c>
      <c r="L52" s="109">
        <v>17479161.260000002</v>
      </c>
      <c r="M52" s="110">
        <v>18580346.039379995</v>
      </c>
      <c r="N52" s="128"/>
    </row>
    <row r="53" spans="1:14" ht="12.75" customHeight="1" x14ac:dyDescent="0.25">
      <c r="A53" s="129" t="s">
        <v>1307</v>
      </c>
      <c r="B53" s="290"/>
      <c r="C53" s="130">
        <v>34162000</v>
      </c>
      <c r="D53" s="109"/>
      <c r="E53" s="109"/>
      <c r="F53" s="109"/>
      <c r="G53" s="109"/>
      <c r="H53" s="109"/>
      <c r="I53" s="109"/>
      <c r="J53" s="75">
        <f t="shared" si="8"/>
        <v>0</v>
      </c>
      <c r="K53" s="75">
        <f t="shared" si="9"/>
        <v>34162000</v>
      </c>
      <c r="L53" s="109">
        <v>36372451.139999934</v>
      </c>
      <c r="M53" s="110">
        <v>38653285.771820039</v>
      </c>
      <c r="N53" s="128"/>
    </row>
    <row r="54" spans="1:14" ht="12.75" customHeight="1" x14ac:dyDescent="0.25">
      <c r="A54" s="129" t="s">
        <v>203</v>
      </c>
      <c r="B54" s="290"/>
      <c r="C54" s="130">
        <v>0</v>
      </c>
      <c r="D54" s="109"/>
      <c r="E54" s="109"/>
      <c r="F54" s="109"/>
      <c r="G54" s="109"/>
      <c r="H54" s="109"/>
      <c r="I54" s="109"/>
      <c r="J54" s="75">
        <f t="shared" si="8"/>
        <v>0</v>
      </c>
      <c r="K54" s="75">
        <f t="shared" si="9"/>
        <v>0</v>
      </c>
      <c r="L54" s="109">
        <v>0</v>
      </c>
      <c r="M54" s="110">
        <v>0</v>
      </c>
      <c r="N54" s="128"/>
    </row>
    <row r="55" spans="1:14" ht="12.75" customHeight="1" x14ac:dyDescent="0.25">
      <c r="A55" s="129" t="s">
        <v>1555</v>
      </c>
      <c r="B55" s="290"/>
      <c r="C55" s="130">
        <v>36955230</v>
      </c>
      <c r="D55" s="109"/>
      <c r="E55" s="109"/>
      <c r="F55" s="109"/>
      <c r="G55" s="109"/>
      <c r="H55" s="109"/>
      <c r="I55" s="109"/>
      <c r="J55" s="75">
        <f>SUM(E55:I55)</f>
        <v>0</v>
      </c>
      <c r="K55" s="75">
        <f>IF(D55=0,C55+J55,D55+J55)</f>
        <v>36955230</v>
      </c>
      <c r="L55" s="109">
        <v>39357315.749999985</v>
      </c>
      <c r="M55" s="110">
        <v>41836822.272250004</v>
      </c>
      <c r="N55" s="128"/>
    </row>
    <row r="56" spans="1:14" ht="12.75" customHeight="1" x14ac:dyDescent="0.25">
      <c r="A56" s="129" t="s">
        <v>1556</v>
      </c>
      <c r="B56" s="290"/>
      <c r="C56" s="130">
        <v>0</v>
      </c>
      <c r="D56" s="109"/>
      <c r="E56" s="109"/>
      <c r="F56" s="109"/>
      <c r="G56" s="109"/>
      <c r="H56" s="109"/>
      <c r="I56" s="109"/>
      <c r="J56" s="75">
        <f>SUM(E56:I56)</f>
        <v>0</v>
      </c>
      <c r="K56" s="75">
        <f>IF(D56=0,C56+J56,D56+J56)</f>
        <v>0</v>
      </c>
      <c r="L56" s="109">
        <v>0</v>
      </c>
      <c r="M56" s="110">
        <v>0</v>
      </c>
      <c r="N56" s="128"/>
    </row>
    <row r="57" spans="1:14" ht="12.75" customHeight="1" x14ac:dyDescent="0.25">
      <c r="A57" s="129" t="s">
        <v>1557</v>
      </c>
      <c r="B57" s="290"/>
      <c r="C57" s="130">
        <v>3818150</v>
      </c>
      <c r="D57" s="109"/>
      <c r="E57" s="109"/>
      <c r="F57" s="109"/>
      <c r="G57" s="109"/>
      <c r="H57" s="109"/>
      <c r="I57" s="109"/>
      <c r="J57" s="75">
        <f>SUM(E57:I57)</f>
        <v>0</v>
      </c>
      <c r="K57" s="75">
        <f>IF(D57=0,C57+J57,D57+J57)</f>
        <v>3818150</v>
      </c>
      <c r="L57" s="109">
        <v>4066319.4500000034</v>
      </c>
      <c r="M57" s="110">
        <v>4322487.3053500056</v>
      </c>
      <c r="N57" s="128"/>
    </row>
    <row r="58" spans="1:14" ht="12.75" customHeight="1" x14ac:dyDescent="0.25">
      <c r="A58" s="129" t="s">
        <v>1341</v>
      </c>
      <c r="B58" s="290"/>
      <c r="C58" s="130">
        <v>32649105</v>
      </c>
      <c r="D58" s="109"/>
      <c r="E58" s="109"/>
      <c r="F58" s="109"/>
      <c r="G58" s="109"/>
      <c r="H58" s="109"/>
      <c r="I58" s="109"/>
      <c r="J58" s="75">
        <f t="shared" si="8"/>
        <v>0</v>
      </c>
      <c r="K58" s="75">
        <f t="shared" si="9"/>
        <v>32649105</v>
      </c>
      <c r="L58" s="109">
        <v>34771271.645000577</v>
      </c>
      <c r="M58" s="110">
        <v>36961828.278637052</v>
      </c>
      <c r="N58" s="128"/>
    </row>
    <row r="59" spans="1:14" ht="12.75" customHeight="1" x14ac:dyDescent="0.25">
      <c r="A59" s="129" t="s">
        <v>1309</v>
      </c>
      <c r="B59" s="290"/>
      <c r="C59" s="130"/>
      <c r="D59" s="109"/>
      <c r="E59" s="109"/>
      <c r="F59" s="109"/>
      <c r="G59" s="109"/>
      <c r="H59" s="109"/>
      <c r="I59" s="109"/>
      <c r="J59" s="75">
        <f t="shared" si="8"/>
        <v>0</v>
      </c>
      <c r="K59" s="75">
        <f t="shared" si="9"/>
        <v>0</v>
      </c>
      <c r="L59" s="109"/>
      <c r="M59" s="110"/>
      <c r="N59" s="128"/>
    </row>
    <row r="60" spans="1:14" ht="12.75" customHeight="1" x14ac:dyDescent="0.25">
      <c r="A60" s="129" t="s">
        <v>1308</v>
      </c>
      <c r="B60" s="290"/>
      <c r="C60" s="130"/>
      <c r="D60" s="109"/>
      <c r="E60" s="109"/>
      <c r="F60" s="109"/>
      <c r="G60" s="109"/>
      <c r="H60" s="109"/>
      <c r="I60" s="109"/>
      <c r="J60" s="75">
        <f t="shared" si="8"/>
        <v>0</v>
      </c>
      <c r="K60" s="75">
        <f t="shared" si="9"/>
        <v>0</v>
      </c>
      <c r="L60" s="109"/>
      <c r="M60" s="110">
        <v>0</v>
      </c>
      <c r="N60" s="128"/>
    </row>
    <row r="61" spans="1:14" ht="12.75" customHeight="1" x14ac:dyDescent="0.25">
      <c r="A61" s="129" t="s">
        <v>1310</v>
      </c>
      <c r="B61" s="290">
        <v>4</v>
      </c>
      <c r="C61" s="143">
        <v>0</v>
      </c>
      <c r="D61" s="144"/>
      <c r="E61" s="144"/>
      <c r="F61" s="144"/>
      <c r="G61" s="144"/>
      <c r="H61" s="144"/>
      <c r="I61" s="144">
        <v>-20000</v>
      </c>
      <c r="J61" s="145">
        <f t="shared" si="8"/>
        <v>-20000</v>
      </c>
      <c r="K61" s="145">
        <f t="shared" si="9"/>
        <v>-20000</v>
      </c>
      <c r="L61" s="144">
        <v>0</v>
      </c>
      <c r="M61" s="113">
        <v>0</v>
      </c>
      <c r="N61" s="128"/>
    </row>
    <row r="62" spans="1:14" ht="12.75" customHeight="1" x14ac:dyDescent="0.25">
      <c r="A62" s="293" t="s">
        <v>1311</v>
      </c>
      <c r="B62" s="290"/>
      <c r="C62" s="81">
        <f>SUM(C50:C61)</f>
        <v>571451009</v>
      </c>
      <c r="D62" s="81">
        <f t="shared" ref="D62:M62" si="10">SUM(D50:D61)</f>
        <v>0</v>
      </c>
      <c r="E62" s="81">
        <f t="shared" si="10"/>
        <v>0</v>
      </c>
      <c r="F62" s="81">
        <f t="shared" si="10"/>
        <v>0</v>
      </c>
      <c r="G62" s="81">
        <f t="shared" si="10"/>
        <v>0</v>
      </c>
      <c r="H62" s="81">
        <f t="shared" si="10"/>
        <v>0</v>
      </c>
      <c r="I62" s="81">
        <f t="shared" si="10"/>
        <v>-20000</v>
      </c>
      <c r="J62" s="81">
        <f t="shared" si="10"/>
        <v>-20000</v>
      </c>
      <c r="K62" s="81">
        <f t="shared" si="10"/>
        <v>571431009</v>
      </c>
      <c r="L62" s="81">
        <f t="shared" si="10"/>
        <v>608585193.01499963</v>
      </c>
      <c r="M62" s="82">
        <f t="shared" si="10"/>
        <v>646915368.00494802</v>
      </c>
      <c r="N62" s="128"/>
    </row>
    <row r="63" spans="1:14" ht="12.75" customHeight="1" x14ac:dyDescent="0.25">
      <c r="A63" s="294" t="s">
        <v>1312</v>
      </c>
      <c r="B63" s="290"/>
      <c r="C63" s="130"/>
      <c r="D63" s="109"/>
      <c r="E63" s="109"/>
      <c r="F63" s="109"/>
      <c r="G63" s="109"/>
      <c r="H63" s="109"/>
      <c r="I63" s="109"/>
      <c r="J63" s="75">
        <f>SUM(E63:I63)</f>
        <v>0</v>
      </c>
      <c r="K63" s="75">
        <f>IF(D63=0,C63+J63,D63+J63)</f>
        <v>0</v>
      </c>
      <c r="L63" s="109"/>
      <c r="M63" s="110"/>
      <c r="N63" s="128"/>
    </row>
    <row r="64" spans="1:14" ht="12.75" customHeight="1" x14ac:dyDescent="0.25">
      <c r="A64" s="139" t="str">
        <f>"Total "&amp;A49</f>
        <v>Total Employee related costs</v>
      </c>
      <c r="B64" s="290">
        <v>1</v>
      </c>
      <c r="C64" s="150">
        <f>C62-C63</f>
        <v>571451009</v>
      </c>
      <c r="D64" s="151">
        <f t="shared" ref="D64:I64" si="11">D62-D63</f>
        <v>0</v>
      </c>
      <c r="E64" s="151">
        <f t="shared" si="11"/>
        <v>0</v>
      </c>
      <c r="F64" s="151">
        <f t="shared" si="11"/>
        <v>0</v>
      </c>
      <c r="G64" s="151">
        <f t="shared" si="11"/>
        <v>0</v>
      </c>
      <c r="H64" s="151">
        <f t="shared" si="11"/>
        <v>0</v>
      </c>
      <c r="I64" s="151">
        <f t="shared" si="11"/>
        <v>-20000</v>
      </c>
      <c r="J64" s="151">
        <f>SUM(J62:J63)</f>
        <v>-20000</v>
      </c>
      <c r="K64" s="151">
        <f>SUM(K62:K63)</f>
        <v>571431009</v>
      </c>
      <c r="L64" s="151">
        <f>L62-L63</f>
        <v>608585193.01499963</v>
      </c>
      <c r="M64" s="152">
        <f>M62-M63</f>
        <v>646915368.00494802</v>
      </c>
      <c r="N64" s="128"/>
    </row>
    <row r="65" spans="1:14" ht="5.0999999999999996" customHeight="1" x14ac:dyDescent="0.25">
      <c r="A65" s="136"/>
      <c r="B65" s="290"/>
      <c r="C65" s="74"/>
      <c r="D65" s="75"/>
      <c r="E65" s="75"/>
      <c r="F65" s="75"/>
      <c r="G65" s="75"/>
      <c r="H65" s="75"/>
      <c r="I65" s="75"/>
      <c r="J65" s="75"/>
      <c r="K65" s="75"/>
      <c r="L65" s="75"/>
      <c r="M65" s="76"/>
      <c r="N65" s="128"/>
    </row>
    <row r="66" spans="1:14" ht="14.25" customHeight="1" x14ac:dyDescent="0.25">
      <c r="A66" s="126" t="s">
        <v>1313</v>
      </c>
      <c r="B66" s="290"/>
      <c r="C66" s="74"/>
      <c r="D66" s="75"/>
      <c r="E66" s="75"/>
      <c r="F66" s="75"/>
      <c r="G66" s="75"/>
      <c r="H66" s="75"/>
      <c r="I66" s="75"/>
      <c r="J66" s="75"/>
      <c r="K66" s="75"/>
      <c r="L66" s="75"/>
      <c r="M66" s="76"/>
      <c r="N66" s="128"/>
    </row>
    <row r="67" spans="1:14" ht="14.25" customHeight="1" x14ac:dyDescent="0.25">
      <c r="A67" s="295" t="s">
        <v>1314</v>
      </c>
      <c r="B67" s="290"/>
      <c r="C67" s="109">
        <v>6480000</v>
      </c>
      <c r="D67" s="109"/>
      <c r="E67" s="109"/>
      <c r="F67" s="109"/>
      <c r="G67" s="109"/>
      <c r="H67" s="109"/>
      <c r="I67" s="109"/>
      <c r="J67" s="75">
        <f t="shared" ref="J67:J72" si="12">SUM(E67:I67)</f>
        <v>0</v>
      </c>
      <c r="K67" s="75">
        <f t="shared" ref="K67:K72" si="13">IF(D67=0,C67+J67,D67+J67)</f>
        <v>6480000</v>
      </c>
      <c r="L67" s="109"/>
      <c r="M67" s="110"/>
      <c r="N67" s="128"/>
    </row>
    <row r="68" spans="1:14" ht="14.25" customHeight="1" x14ac:dyDescent="0.25">
      <c r="A68" s="296"/>
      <c r="B68" s="290"/>
      <c r="C68" s="109"/>
      <c r="D68" s="109"/>
      <c r="E68" s="109"/>
      <c r="F68" s="109"/>
      <c r="G68" s="109"/>
      <c r="H68" s="109"/>
      <c r="I68" s="109"/>
      <c r="J68" s="75">
        <f t="shared" si="12"/>
        <v>0</v>
      </c>
      <c r="K68" s="75">
        <f t="shared" si="13"/>
        <v>0</v>
      </c>
      <c r="L68" s="109"/>
      <c r="M68" s="110"/>
      <c r="N68" s="128"/>
    </row>
    <row r="69" spans="1:14" ht="14.25" customHeight="1" x14ac:dyDescent="0.25">
      <c r="A69" s="296"/>
      <c r="B69" s="290"/>
      <c r="C69" s="109"/>
      <c r="D69" s="109"/>
      <c r="E69" s="109"/>
      <c r="F69" s="109"/>
      <c r="G69" s="109"/>
      <c r="H69" s="109"/>
      <c r="I69" s="109"/>
      <c r="J69" s="75">
        <f t="shared" si="12"/>
        <v>0</v>
      </c>
      <c r="K69" s="75">
        <f t="shared" si="13"/>
        <v>0</v>
      </c>
      <c r="L69" s="109"/>
      <c r="M69" s="110"/>
      <c r="N69" s="128"/>
    </row>
    <row r="70" spans="1:14" ht="14.25" customHeight="1" x14ac:dyDescent="0.25">
      <c r="A70" s="296"/>
      <c r="B70" s="290"/>
      <c r="C70" s="109"/>
      <c r="D70" s="109"/>
      <c r="E70" s="109"/>
      <c r="F70" s="109"/>
      <c r="G70" s="109"/>
      <c r="H70" s="109"/>
      <c r="I70" s="109"/>
      <c r="J70" s="75">
        <f t="shared" si="12"/>
        <v>0</v>
      </c>
      <c r="K70" s="75">
        <f t="shared" si="13"/>
        <v>0</v>
      </c>
      <c r="L70" s="109"/>
      <c r="M70" s="110"/>
      <c r="N70" s="128"/>
    </row>
    <row r="71" spans="1:14" ht="14.25" customHeight="1" x14ac:dyDescent="0.25">
      <c r="A71" s="295"/>
      <c r="B71" s="290"/>
      <c r="C71" s="109"/>
      <c r="D71" s="109"/>
      <c r="E71" s="109"/>
      <c r="F71" s="109"/>
      <c r="G71" s="109"/>
      <c r="H71" s="109"/>
      <c r="I71" s="109"/>
      <c r="J71" s="75">
        <f t="shared" si="12"/>
        <v>0</v>
      </c>
      <c r="K71" s="75">
        <f t="shared" si="13"/>
        <v>0</v>
      </c>
      <c r="L71" s="109"/>
      <c r="M71" s="110"/>
      <c r="N71" s="128"/>
    </row>
    <row r="72" spans="1:14" ht="14.25" customHeight="1" x14ac:dyDescent="0.25">
      <c r="A72" s="296"/>
      <c r="B72" s="290"/>
      <c r="C72" s="144"/>
      <c r="D72" s="144"/>
      <c r="E72" s="144"/>
      <c r="F72" s="144"/>
      <c r="G72" s="144"/>
      <c r="H72" s="144"/>
      <c r="I72" s="144"/>
      <c r="J72" s="145">
        <f t="shared" si="12"/>
        <v>0</v>
      </c>
      <c r="K72" s="145">
        <f t="shared" si="13"/>
        <v>0</v>
      </c>
      <c r="L72" s="144"/>
      <c r="M72" s="113"/>
      <c r="N72" s="128"/>
    </row>
    <row r="73" spans="1:14" ht="14.25" customHeight="1" x14ac:dyDescent="0.25">
      <c r="A73" s="139" t="str">
        <f>"Total "&amp;A66</f>
        <v>Total Contributions recognised - capital</v>
      </c>
      <c r="B73" s="861"/>
      <c r="C73" s="151">
        <f>SUM(C67:C72)</f>
        <v>6480000</v>
      </c>
      <c r="D73" s="151">
        <f>SUM(D67:D72)</f>
        <v>0</v>
      </c>
      <c r="E73" s="151">
        <f>SUM(E67:E72)</f>
        <v>0</v>
      </c>
      <c r="F73" s="151">
        <f t="shared" ref="F73:M73" si="14">SUM(F67:F72)</f>
        <v>0</v>
      </c>
      <c r="G73" s="151">
        <f t="shared" si="14"/>
        <v>0</v>
      </c>
      <c r="H73" s="151">
        <f t="shared" si="14"/>
        <v>0</v>
      </c>
      <c r="I73" s="151">
        <f t="shared" si="14"/>
        <v>0</v>
      </c>
      <c r="J73" s="151">
        <f t="shared" si="14"/>
        <v>0</v>
      </c>
      <c r="K73" s="151">
        <f t="shared" si="14"/>
        <v>6480000</v>
      </c>
      <c r="L73" s="151">
        <f t="shared" si="14"/>
        <v>0</v>
      </c>
      <c r="M73" s="152">
        <f t="shared" si="14"/>
        <v>0</v>
      </c>
      <c r="N73" s="128"/>
    </row>
    <row r="74" spans="1:14" ht="4.5" customHeight="1" x14ac:dyDescent="0.25">
      <c r="A74" s="139"/>
      <c r="B74" s="290"/>
      <c r="C74" s="74"/>
      <c r="D74" s="75"/>
      <c r="E74" s="75"/>
      <c r="F74" s="75"/>
      <c r="G74" s="75"/>
      <c r="H74" s="75"/>
      <c r="I74" s="75"/>
      <c r="J74" s="75"/>
      <c r="K74" s="75"/>
      <c r="L74" s="75"/>
      <c r="M74" s="76"/>
      <c r="N74" s="128"/>
    </row>
    <row r="75" spans="1:14" ht="12.75" customHeight="1" x14ac:dyDescent="0.25">
      <c r="A75" s="126" t="s">
        <v>598</v>
      </c>
      <c r="B75" s="290"/>
      <c r="C75" s="74"/>
      <c r="D75" s="75"/>
      <c r="E75" s="75"/>
      <c r="F75" s="75"/>
      <c r="G75" s="75"/>
      <c r="H75" s="75"/>
      <c r="I75" s="75"/>
      <c r="J75" s="75"/>
      <c r="K75" s="75"/>
      <c r="L75" s="75"/>
      <c r="M75" s="76"/>
      <c r="N75" s="128"/>
    </row>
    <row r="76" spans="1:14" ht="12.75" customHeight="1" x14ac:dyDescent="0.25">
      <c r="A76" s="30" t="s">
        <v>1315</v>
      </c>
      <c r="B76" s="290"/>
      <c r="C76" s="130">
        <v>450000000</v>
      </c>
      <c r="D76" s="109"/>
      <c r="E76" s="109"/>
      <c r="F76" s="109"/>
      <c r="G76" s="109"/>
      <c r="H76" s="109"/>
      <c r="I76" s="109"/>
      <c r="J76" s="75">
        <f>SUM(E76:I76)</f>
        <v>0</v>
      </c>
      <c r="K76" s="75">
        <f>IF(D76=0,C76+J76,D76+J76)</f>
        <v>450000000</v>
      </c>
      <c r="L76" s="109">
        <v>476000000</v>
      </c>
      <c r="M76" s="110">
        <v>505000000</v>
      </c>
      <c r="N76" s="128"/>
    </row>
    <row r="77" spans="1:14" ht="12.75" customHeight="1" x14ac:dyDescent="0.25">
      <c r="A77" s="30" t="s">
        <v>1316</v>
      </c>
      <c r="B77" s="290"/>
      <c r="C77" s="130"/>
      <c r="D77" s="109"/>
      <c r="E77" s="109"/>
      <c r="F77" s="109"/>
      <c r="G77" s="109"/>
      <c r="H77" s="109"/>
      <c r="I77" s="109"/>
      <c r="J77" s="75">
        <f>SUM(E77:I77)</f>
        <v>0</v>
      </c>
      <c r="K77" s="75">
        <f>IF(D77=0,C77+J77,D77+J77)</f>
        <v>0</v>
      </c>
      <c r="L77" s="109"/>
      <c r="M77" s="110"/>
      <c r="N77" s="128"/>
    </row>
    <row r="78" spans="1:14" ht="12.75" customHeight="1" x14ac:dyDescent="0.25">
      <c r="A78" s="30" t="s">
        <v>1317</v>
      </c>
      <c r="B78" s="290"/>
      <c r="C78" s="130"/>
      <c r="D78" s="109"/>
      <c r="E78" s="109"/>
      <c r="F78" s="109"/>
      <c r="G78" s="109"/>
      <c r="H78" s="109"/>
      <c r="I78" s="109"/>
      <c r="J78" s="75">
        <f>SUM(E78:I78)</f>
        <v>0</v>
      </c>
      <c r="K78" s="75">
        <f>IF(D78=0,C78+J78,D78+J78)</f>
        <v>0</v>
      </c>
      <c r="L78" s="109"/>
      <c r="M78" s="110"/>
      <c r="N78" s="128"/>
    </row>
    <row r="79" spans="1:14" ht="12.75" customHeight="1" x14ac:dyDescent="0.25">
      <c r="A79" s="30" t="s">
        <v>1502</v>
      </c>
      <c r="B79" s="290"/>
      <c r="C79" s="130">
        <v>245000000</v>
      </c>
      <c r="D79" s="109"/>
      <c r="E79" s="109"/>
      <c r="F79" s="109"/>
      <c r="G79" s="109"/>
      <c r="H79" s="109"/>
      <c r="I79" s="109"/>
      <c r="J79" s="75">
        <f>SUM(E79:I79)</f>
        <v>0</v>
      </c>
      <c r="K79" s="75">
        <f>IF(D79=0,C79+J79,D79+J79)</f>
        <v>245000000</v>
      </c>
      <c r="L79" s="109">
        <v>257675000</v>
      </c>
      <c r="M79" s="110">
        <v>272920525</v>
      </c>
      <c r="N79" s="128"/>
    </row>
    <row r="80" spans="1:14" ht="12.75" customHeight="1" x14ac:dyDescent="0.25">
      <c r="A80" s="139" t="str">
        <f>"Total "&amp;LEFT(A75,35)</f>
        <v>Total Depreciation &amp; asset impairment</v>
      </c>
      <c r="B80" s="290">
        <v>1</v>
      </c>
      <c r="C80" s="150">
        <f>SUM(C76:C78)-C79</f>
        <v>205000000</v>
      </c>
      <c r="D80" s="151">
        <f t="shared" ref="D80:M80" si="15">SUM(D76:D78)-D79</f>
        <v>0</v>
      </c>
      <c r="E80" s="151">
        <f t="shared" si="15"/>
        <v>0</v>
      </c>
      <c r="F80" s="151">
        <f t="shared" si="15"/>
        <v>0</v>
      </c>
      <c r="G80" s="151">
        <f t="shared" si="15"/>
        <v>0</v>
      </c>
      <c r="H80" s="151">
        <f t="shared" si="15"/>
        <v>0</v>
      </c>
      <c r="I80" s="151">
        <f t="shared" si="15"/>
        <v>0</v>
      </c>
      <c r="J80" s="151">
        <f t="shared" si="15"/>
        <v>0</v>
      </c>
      <c r="K80" s="151">
        <f t="shared" si="15"/>
        <v>205000000</v>
      </c>
      <c r="L80" s="151">
        <f t="shared" si="15"/>
        <v>218325000</v>
      </c>
      <c r="M80" s="152">
        <f t="shared" si="15"/>
        <v>232079475</v>
      </c>
      <c r="N80" s="128"/>
    </row>
    <row r="81" spans="1:14" ht="5.0999999999999996" customHeight="1" x14ac:dyDescent="0.25">
      <c r="A81" s="139"/>
      <c r="B81" s="290"/>
      <c r="C81" s="74"/>
      <c r="D81" s="75"/>
      <c r="E81" s="75"/>
      <c r="F81" s="75"/>
      <c r="G81" s="75"/>
      <c r="H81" s="75"/>
      <c r="I81" s="75"/>
      <c r="J81" s="75"/>
      <c r="K81" s="75"/>
      <c r="L81" s="75"/>
      <c r="M81" s="76"/>
      <c r="N81" s="128"/>
    </row>
    <row r="82" spans="1:14" ht="12.75" customHeight="1" x14ac:dyDescent="0.25">
      <c r="A82" s="126" t="s">
        <v>700</v>
      </c>
      <c r="B82" s="290"/>
      <c r="C82" s="74"/>
      <c r="D82" s="75"/>
      <c r="E82" s="75"/>
      <c r="F82" s="75"/>
      <c r="G82" s="75"/>
      <c r="H82" s="75"/>
      <c r="I82" s="75"/>
      <c r="J82" s="75"/>
      <c r="K82" s="75"/>
      <c r="L82" s="75"/>
      <c r="M82" s="76"/>
      <c r="N82" s="128"/>
    </row>
    <row r="83" spans="1:14" ht="12.75" customHeight="1" x14ac:dyDescent="0.25">
      <c r="A83" s="129" t="s">
        <v>1611</v>
      </c>
      <c r="B83" s="290"/>
      <c r="C83" s="130">
        <v>602000000</v>
      </c>
      <c r="D83" s="109"/>
      <c r="E83" s="109"/>
      <c r="F83" s="109"/>
      <c r="G83" s="109"/>
      <c r="H83" s="109"/>
      <c r="I83" s="109">
        <v>-5000000</v>
      </c>
      <c r="J83" s="75">
        <f>SUM(E83:I83)</f>
        <v>-5000000</v>
      </c>
      <c r="K83" s="75">
        <f>IF(D83=0,C83+J83,D83+J83)</f>
        <v>597000000</v>
      </c>
      <c r="L83" s="109">
        <v>641130000</v>
      </c>
      <c r="M83" s="110">
        <v>681521190</v>
      </c>
      <c r="N83" s="128"/>
    </row>
    <row r="84" spans="1:14" ht="12.75" customHeight="1" x14ac:dyDescent="0.25">
      <c r="A84" s="129" t="s">
        <v>1612</v>
      </c>
      <c r="B84" s="290"/>
      <c r="C84" s="130">
        <v>165000000</v>
      </c>
      <c r="D84" s="109"/>
      <c r="E84" s="109"/>
      <c r="F84" s="109"/>
      <c r="G84" s="109"/>
      <c r="H84" s="109"/>
      <c r="I84" s="109">
        <v>-6500000</v>
      </c>
      <c r="J84" s="75">
        <f>SUM(E84:I84)</f>
        <v>-6500000</v>
      </c>
      <c r="K84" s="75">
        <f>IF(D84=0,C84+J84,D84+J84)</f>
        <v>158500000</v>
      </c>
      <c r="L84" s="109">
        <v>175725000</v>
      </c>
      <c r="M84" s="110">
        <v>186795675</v>
      </c>
      <c r="N84" s="128"/>
    </row>
    <row r="85" spans="1:14" ht="12.75" customHeight="1" x14ac:dyDescent="0.25">
      <c r="A85" s="139" t="s">
        <v>1318</v>
      </c>
      <c r="B85" s="290">
        <v>1</v>
      </c>
      <c r="C85" s="150">
        <f t="shared" ref="C85:M85" si="16">SUM(C83:C84)</f>
        <v>767000000</v>
      </c>
      <c r="D85" s="151">
        <f t="shared" si="16"/>
        <v>0</v>
      </c>
      <c r="E85" s="151">
        <f t="shared" si="16"/>
        <v>0</v>
      </c>
      <c r="F85" s="151">
        <f t="shared" si="16"/>
        <v>0</v>
      </c>
      <c r="G85" s="151">
        <f t="shared" si="16"/>
        <v>0</v>
      </c>
      <c r="H85" s="151">
        <f t="shared" si="16"/>
        <v>0</v>
      </c>
      <c r="I85" s="151">
        <f t="shared" si="16"/>
        <v>-11500000</v>
      </c>
      <c r="J85" s="151">
        <f t="shared" si="16"/>
        <v>-11500000</v>
      </c>
      <c r="K85" s="151">
        <f t="shared" si="16"/>
        <v>755500000</v>
      </c>
      <c r="L85" s="151">
        <f t="shared" si="16"/>
        <v>816855000</v>
      </c>
      <c r="M85" s="152">
        <f t="shared" si="16"/>
        <v>868316865</v>
      </c>
      <c r="N85" s="128"/>
    </row>
    <row r="86" spans="1:14" ht="5.0999999999999996" customHeight="1" x14ac:dyDescent="0.25">
      <c r="A86" s="139"/>
      <c r="B86" s="290"/>
      <c r="C86" s="74"/>
      <c r="D86" s="75"/>
      <c r="E86" s="75"/>
      <c r="F86" s="75"/>
      <c r="G86" s="75"/>
      <c r="H86" s="75"/>
      <c r="I86" s="75"/>
      <c r="J86" s="75"/>
      <c r="K86" s="75"/>
      <c r="L86" s="75"/>
      <c r="M86" s="76"/>
      <c r="N86" s="128"/>
    </row>
    <row r="87" spans="1:14" x14ac:dyDescent="0.25">
      <c r="A87" s="126" t="s">
        <v>703</v>
      </c>
      <c r="B87" s="290"/>
      <c r="C87" s="74"/>
      <c r="D87" s="75"/>
      <c r="E87" s="75"/>
      <c r="F87" s="75"/>
      <c r="G87" s="75"/>
      <c r="H87" s="75"/>
      <c r="I87" s="75"/>
      <c r="J87" s="75"/>
      <c r="K87" s="75"/>
      <c r="L87" s="75"/>
      <c r="M87" s="76"/>
      <c r="N87" s="128"/>
    </row>
    <row r="88" spans="1:14" x14ac:dyDescent="0.25">
      <c r="A88" s="129" t="s">
        <v>1614</v>
      </c>
      <c r="B88" s="290"/>
      <c r="C88" s="109"/>
      <c r="D88" s="109"/>
      <c r="E88" s="109"/>
      <c r="F88" s="109"/>
      <c r="G88" s="109"/>
      <c r="H88" s="109"/>
      <c r="I88" s="109"/>
      <c r="J88" s="75">
        <f>SUM(E88:I88)</f>
        <v>0</v>
      </c>
      <c r="K88" s="75">
        <f>IF(D88=0,C88+J88,D88+J88)</f>
        <v>0</v>
      </c>
      <c r="L88" s="109"/>
      <c r="M88" s="110"/>
      <c r="N88" s="128"/>
    </row>
    <row r="89" spans="1:14" x14ac:dyDescent="0.25">
      <c r="A89" s="129" t="s">
        <v>1615</v>
      </c>
      <c r="B89" s="290"/>
      <c r="C89" s="144"/>
      <c r="D89" s="144"/>
      <c r="E89" s="144"/>
      <c r="F89" s="144"/>
      <c r="G89" s="144"/>
      <c r="H89" s="144"/>
      <c r="I89" s="144"/>
      <c r="J89" s="145">
        <f>SUM(E89:I89)</f>
        <v>0</v>
      </c>
      <c r="K89" s="145">
        <f>IF(D89=0,C89+J89,D89+J89)</f>
        <v>0</v>
      </c>
      <c r="L89" s="144"/>
      <c r="M89" s="113"/>
      <c r="N89" s="128"/>
    </row>
    <row r="90" spans="1:14" x14ac:dyDescent="0.25">
      <c r="A90" s="139" t="s">
        <v>1616</v>
      </c>
      <c r="B90" s="290"/>
      <c r="C90" s="141">
        <f t="shared" ref="C90:I90" si="17">SUM(C88:C89)</f>
        <v>0</v>
      </c>
      <c r="D90" s="141">
        <f t="shared" si="17"/>
        <v>0</v>
      </c>
      <c r="E90" s="141">
        <f t="shared" si="17"/>
        <v>0</v>
      </c>
      <c r="F90" s="141">
        <f t="shared" si="17"/>
        <v>0</v>
      </c>
      <c r="G90" s="141">
        <f t="shared" si="17"/>
        <v>0</v>
      </c>
      <c r="H90" s="141">
        <f t="shared" si="17"/>
        <v>0</v>
      </c>
      <c r="I90" s="141">
        <f t="shared" si="17"/>
        <v>0</v>
      </c>
      <c r="J90" s="141">
        <f>SUM(J88:J89)</f>
        <v>0</v>
      </c>
      <c r="K90" s="141">
        <f>SUM(K88:K89)</f>
        <v>0</v>
      </c>
      <c r="L90" s="141">
        <f>SUM(L88:L89)</f>
        <v>0</v>
      </c>
      <c r="M90" s="142">
        <f>SUM(M88:M89)</f>
        <v>0</v>
      </c>
      <c r="N90" s="128"/>
    </row>
    <row r="91" spans="1:14" ht="4.5" customHeight="1" x14ac:dyDescent="0.25">
      <c r="A91" s="139"/>
      <c r="B91" s="290"/>
      <c r="C91" s="74"/>
      <c r="D91" s="75"/>
      <c r="E91" s="75"/>
      <c r="F91" s="75"/>
      <c r="G91" s="75"/>
      <c r="H91" s="75"/>
      <c r="I91" s="75"/>
      <c r="J91" s="75"/>
      <c r="K91" s="75"/>
      <c r="L91" s="75"/>
      <c r="M91" s="76"/>
      <c r="N91" s="128"/>
    </row>
    <row r="92" spans="1:14" ht="12.75" customHeight="1" x14ac:dyDescent="0.25">
      <c r="A92" s="126" t="s">
        <v>702</v>
      </c>
      <c r="B92" s="290"/>
      <c r="C92" s="74"/>
      <c r="D92" s="75"/>
      <c r="E92" s="75"/>
      <c r="F92" s="75"/>
      <c r="G92" s="75"/>
      <c r="H92" s="75"/>
      <c r="I92" s="75"/>
      <c r="J92" s="75"/>
      <c r="K92" s="75"/>
      <c r="L92" s="75"/>
      <c r="M92" s="76"/>
      <c r="N92" s="128"/>
    </row>
    <row r="93" spans="1:14" ht="12.75" customHeight="1" x14ac:dyDescent="0.25">
      <c r="A93" s="295" t="s">
        <v>1813</v>
      </c>
      <c r="B93" s="290"/>
      <c r="C93" s="109">
        <v>5000000</v>
      </c>
      <c r="D93" s="109"/>
      <c r="E93" s="109"/>
      <c r="F93" s="109"/>
      <c r="G93" s="109"/>
      <c r="H93" s="109"/>
      <c r="I93" s="109"/>
      <c r="J93" s="75">
        <f t="shared" ref="J93:J115" si="18">SUM(E93:I93)</f>
        <v>0</v>
      </c>
      <c r="K93" s="75">
        <f t="shared" ref="K93:K115" si="19">IF(D93=0,C93+J93,D93+J93)</f>
        <v>5000000</v>
      </c>
      <c r="L93" s="109">
        <v>5325000</v>
      </c>
      <c r="M93" s="110">
        <v>5660475</v>
      </c>
      <c r="N93" s="128"/>
    </row>
    <row r="94" spans="1:14" ht="12.75" customHeight="1" x14ac:dyDescent="0.25">
      <c r="A94" s="295" t="s">
        <v>1814</v>
      </c>
      <c r="B94" s="290"/>
      <c r="C94" s="109">
        <v>3000000</v>
      </c>
      <c r="D94" s="109"/>
      <c r="E94" s="109"/>
      <c r="F94" s="109"/>
      <c r="G94" s="109"/>
      <c r="H94" s="109"/>
      <c r="I94" s="109"/>
      <c r="J94" s="75">
        <f t="shared" si="18"/>
        <v>0</v>
      </c>
      <c r="K94" s="75">
        <f t="shared" si="19"/>
        <v>3000000</v>
      </c>
      <c r="L94" s="109">
        <v>3195000</v>
      </c>
      <c r="M94" s="110">
        <v>3396285</v>
      </c>
      <c r="N94" s="128"/>
    </row>
    <row r="95" spans="1:14" ht="12.75" customHeight="1" x14ac:dyDescent="0.25">
      <c r="A95" s="295" t="s">
        <v>1815</v>
      </c>
      <c r="B95" s="290"/>
      <c r="C95" s="109">
        <v>9000000</v>
      </c>
      <c r="D95" s="109"/>
      <c r="E95" s="109"/>
      <c r="F95" s="109"/>
      <c r="G95" s="109"/>
      <c r="H95" s="109"/>
      <c r="I95" s="109"/>
      <c r="J95" s="75">
        <f t="shared" si="18"/>
        <v>0</v>
      </c>
      <c r="K95" s="75">
        <f t="shared" si="19"/>
        <v>9000000</v>
      </c>
      <c r="L95" s="109">
        <v>9585000</v>
      </c>
      <c r="M95" s="110">
        <v>10188855</v>
      </c>
      <c r="N95" s="128"/>
    </row>
    <row r="96" spans="1:14" ht="12.75" customHeight="1" x14ac:dyDescent="0.25">
      <c r="A96" s="295" t="s">
        <v>1816</v>
      </c>
      <c r="B96" s="290"/>
      <c r="C96" s="109">
        <v>15920000</v>
      </c>
      <c r="D96" s="109"/>
      <c r="E96" s="109"/>
      <c r="F96" s="109"/>
      <c r="G96" s="109"/>
      <c r="H96" s="109"/>
      <c r="I96" s="109"/>
      <c r="J96" s="75">
        <f t="shared" si="18"/>
        <v>0</v>
      </c>
      <c r="K96" s="75">
        <f t="shared" si="19"/>
        <v>15920000</v>
      </c>
      <c r="L96" s="109">
        <v>12354000</v>
      </c>
      <c r="M96" s="110">
        <v>13132302</v>
      </c>
      <c r="N96" s="128"/>
    </row>
    <row r="97" spans="1:14" ht="12.75" customHeight="1" x14ac:dyDescent="0.25">
      <c r="A97" s="295" t="s">
        <v>1817</v>
      </c>
      <c r="B97" s="290"/>
      <c r="C97" s="109">
        <v>0</v>
      </c>
      <c r="D97" s="109"/>
      <c r="E97" s="109"/>
      <c r="F97" s="109"/>
      <c r="G97" s="109"/>
      <c r="H97" s="109"/>
      <c r="I97" s="109"/>
      <c r="J97" s="75">
        <f t="shared" si="18"/>
        <v>0</v>
      </c>
      <c r="K97" s="75">
        <f t="shared" si="19"/>
        <v>0</v>
      </c>
      <c r="L97" s="109">
        <v>0</v>
      </c>
      <c r="M97" s="110">
        <v>0</v>
      </c>
      <c r="N97" s="128"/>
    </row>
    <row r="98" spans="1:14" ht="12.75" customHeight="1" x14ac:dyDescent="0.25">
      <c r="A98" s="295" t="s">
        <v>1818</v>
      </c>
      <c r="B98" s="290"/>
      <c r="C98" s="109">
        <v>1481000</v>
      </c>
      <c r="D98" s="109"/>
      <c r="E98" s="109"/>
      <c r="F98" s="109"/>
      <c r="G98" s="109"/>
      <c r="H98" s="109"/>
      <c r="I98" s="109"/>
      <c r="J98" s="75">
        <f t="shared" si="18"/>
        <v>0</v>
      </c>
      <c r="K98" s="75">
        <f t="shared" si="19"/>
        <v>1481000</v>
      </c>
      <c r="L98" s="109">
        <v>1577265</v>
      </c>
      <c r="M98" s="110">
        <v>1676632.6949999998</v>
      </c>
      <c r="N98" s="128"/>
    </row>
    <row r="99" spans="1:14" ht="12.75" customHeight="1" x14ac:dyDescent="0.25">
      <c r="A99" s="295" t="s">
        <v>1819</v>
      </c>
      <c r="B99" s="290"/>
      <c r="C99" s="109">
        <v>32000000</v>
      </c>
      <c r="D99" s="109"/>
      <c r="E99" s="109"/>
      <c r="F99" s="109"/>
      <c r="G99" s="109"/>
      <c r="H99" s="109"/>
      <c r="I99" s="109"/>
      <c r="J99" s="75">
        <f t="shared" si="18"/>
        <v>0</v>
      </c>
      <c r="K99" s="75">
        <f t="shared" si="19"/>
        <v>32000000</v>
      </c>
      <c r="L99" s="109">
        <v>34080000</v>
      </c>
      <c r="M99" s="110">
        <v>36227040</v>
      </c>
      <c r="N99" s="128"/>
    </row>
    <row r="100" spans="1:14" ht="12.75" customHeight="1" x14ac:dyDescent="0.25">
      <c r="A100" s="295" t="s">
        <v>1820</v>
      </c>
      <c r="B100" s="290"/>
      <c r="C100" s="109">
        <v>4883000</v>
      </c>
      <c r="D100" s="109"/>
      <c r="E100" s="109"/>
      <c r="F100" s="109"/>
      <c r="G100" s="109"/>
      <c r="H100" s="109"/>
      <c r="I100" s="109"/>
      <c r="J100" s="75">
        <f t="shared" si="18"/>
        <v>0</v>
      </c>
      <c r="K100" s="75">
        <f t="shared" si="19"/>
        <v>4883000</v>
      </c>
      <c r="L100" s="109">
        <v>5200395</v>
      </c>
      <c r="M100" s="110">
        <v>5528019.8849999998</v>
      </c>
      <c r="N100" s="128"/>
    </row>
    <row r="101" spans="1:14" ht="12.75" customHeight="1" x14ac:dyDescent="0.25">
      <c r="A101" s="295" t="s">
        <v>1821</v>
      </c>
      <c r="B101" s="290"/>
      <c r="C101" s="109">
        <v>12450000</v>
      </c>
      <c r="D101" s="109"/>
      <c r="E101" s="109"/>
      <c r="F101" s="109"/>
      <c r="G101" s="109"/>
      <c r="H101" s="109"/>
      <c r="I101" s="109"/>
      <c r="J101" s="75">
        <f t="shared" si="18"/>
        <v>0</v>
      </c>
      <c r="K101" s="75">
        <f t="shared" si="19"/>
        <v>12450000</v>
      </c>
      <c r="L101" s="109">
        <v>9105750</v>
      </c>
      <c r="M101" s="110">
        <v>9679412.25</v>
      </c>
      <c r="N101" s="128"/>
    </row>
    <row r="102" spans="1:14" ht="12.75" customHeight="1" x14ac:dyDescent="0.25">
      <c r="A102" s="295" t="s">
        <v>1822</v>
      </c>
      <c r="B102" s="290"/>
      <c r="C102" s="109">
        <v>561000</v>
      </c>
      <c r="D102" s="109"/>
      <c r="E102" s="109"/>
      <c r="F102" s="109"/>
      <c r="G102" s="109"/>
      <c r="H102" s="109"/>
      <c r="I102" s="109"/>
      <c r="J102" s="75">
        <f t="shared" si="18"/>
        <v>0</v>
      </c>
      <c r="K102" s="75">
        <f t="shared" si="19"/>
        <v>561000</v>
      </c>
      <c r="L102" s="109">
        <v>597465</v>
      </c>
      <c r="M102" s="110">
        <v>635105.29499999993</v>
      </c>
      <c r="N102" s="128"/>
    </row>
    <row r="103" spans="1:14" ht="12.75" customHeight="1" x14ac:dyDescent="0.25">
      <c r="A103" s="295" t="s">
        <v>1823</v>
      </c>
      <c r="B103" s="290"/>
      <c r="C103" s="109">
        <v>1350000</v>
      </c>
      <c r="D103" s="109"/>
      <c r="E103" s="109"/>
      <c r="F103" s="109"/>
      <c r="G103" s="109"/>
      <c r="H103" s="109"/>
      <c r="I103" s="109"/>
      <c r="J103" s="75">
        <f t="shared" si="18"/>
        <v>0</v>
      </c>
      <c r="K103" s="75">
        <f t="shared" si="19"/>
        <v>1350000</v>
      </c>
      <c r="L103" s="109">
        <v>1437750</v>
      </c>
      <c r="M103" s="110">
        <v>1528328.25</v>
      </c>
      <c r="N103" s="128"/>
    </row>
    <row r="104" spans="1:14" ht="12.75" customHeight="1" x14ac:dyDescent="0.25">
      <c r="A104" s="295" t="s">
        <v>1824</v>
      </c>
      <c r="B104" s="290"/>
      <c r="C104" s="109">
        <v>1600000</v>
      </c>
      <c r="D104" s="109"/>
      <c r="E104" s="109"/>
      <c r="F104" s="109"/>
      <c r="G104" s="109"/>
      <c r="H104" s="109"/>
      <c r="I104" s="109"/>
      <c r="J104" s="75">
        <f t="shared" si="18"/>
        <v>0</v>
      </c>
      <c r="K104" s="75">
        <f t="shared" si="19"/>
        <v>1600000</v>
      </c>
      <c r="L104" s="109">
        <v>1704000</v>
      </c>
      <c r="M104" s="110">
        <v>1811352</v>
      </c>
      <c r="N104" s="128"/>
    </row>
    <row r="105" spans="1:14" ht="12.75" customHeight="1" x14ac:dyDescent="0.25">
      <c r="A105" s="295"/>
      <c r="B105" s="290"/>
      <c r="C105" s="109"/>
      <c r="D105" s="109"/>
      <c r="E105" s="109"/>
      <c r="F105" s="109"/>
      <c r="G105" s="109"/>
      <c r="H105" s="109"/>
      <c r="I105" s="109"/>
      <c r="J105" s="75">
        <f t="shared" si="18"/>
        <v>0</v>
      </c>
      <c r="K105" s="75">
        <f t="shared" si="19"/>
        <v>0</v>
      </c>
      <c r="L105" s="109">
        <v>0</v>
      </c>
      <c r="M105" s="110">
        <v>0</v>
      </c>
      <c r="N105" s="128"/>
    </row>
    <row r="106" spans="1:14" ht="12.75" customHeight="1" x14ac:dyDescent="0.25">
      <c r="A106" s="295"/>
      <c r="B106" s="290"/>
      <c r="C106" s="109"/>
      <c r="D106" s="109"/>
      <c r="E106" s="109"/>
      <c r="F106" s="109"/>
      <c r="G106" s="109"/>
      <c r="H106" s="109"/>
      <c r="I106" s="109"/>
      <c r="J106" s="75">
        <f t="shared" si="18"/>
        <v>0</v>
      </c>
      <c r="K106" s="75">
        <f t="shared" si="19"/>
        <v>0</v>
      </c>
      <c r="L106" s="109">
        <v>0</v>
      </c>
      <c r="M106" s="110">
        <v>0</v>
      </c>
      <c r="N106" s="128"/>
    </row>
    <row r="107" spans="1:14" ht="12.75" customHeight="1" x14ac:dyDescent="0.25">
      <c r="A107" s="295"/>
      <c r="B107" s="290"/>
      <c r="C107" s="109"/>
      <c r="D107" s="109"/>
      <c r="E107" s="109"/>
      <c r="F107" s="109"/>
      <c r="G107" s="109"/>
      <c r="H107" s="109"/>
      <c r="I107" s="109"/>
      <c r="J107" s="75">
        <f t="shared" si="18"/>
        <v>0</v>
      </c>
      <c r="K107" s="75">
        <f t="shared" si="19"/>
        <v>0</v>
      </c>
      <c r="L107" s="109">
        <v>0</v>
      </c>
      <c r="M107" s="110">
        <v>0</v>
      </c>
      <c r="N107" s="128"/>
    </row>
    <row r="108" spans="1:14" ht="12.75" customHeight="1" x14ac:dyDescent="0.25">
      <c r="A108" s="295"/>
      <c r="B108" s="290"/>
      <c r="C108" s="109"/>
      <c r="D108" s="109"/>
      <c r="E108" s="109"/>
      <c r="F108" s="109"/>
      <c r="G108" s="109"/>
      <c r="H108" s="109"/>
      <c r="I108" s="109"/>
      <c r="J108" s="75">
        <f t="shared" si="18"/>
        <v>0</v>
      </c>
      <c r="K108" s="75">
        <f t="shared" si="19"/>
        <v>0</v>
      </c>
      <c r="L108" s="109">
        <v>0</v>
      </c>
      <c r="M108" s="110">
        <v>0</v>
      </c>
      <c r="N108" s="128"/>
    </row>
    <row r="109" spans="1:14" ht="12.75" customHeight="1" x14ac:dyDescent="0.25">
      <c r="A109" s="295"/>
      <c r="B109" s="290"/>
      <c r="C109" s="109"/>
      <c r="D109" s="109"/>
      <c r="E109" s="109"/>
      <c r="F109" s="109"/>
      <c r="G109" s="109"/>
      <c r="H109" s="109"/>
      <c r="I109" s="109"/>
      <c r="J109" s="75">
        <f t="shared" si="18"/>
        <v>0</v>
      </c>
      <c r="K109" s="75">
        <f t="shared" si="19"/>
        <v>0</v>
      </c>
      <c r="L109" s="109">
        <v>0</v>
      </c>
      <c r="M109" s="110">
        <v>0</v>
      </c>
      <c r="N109" s="128"/>
    </row>
    <row r="110" spans="1:14" ht="12.75" customHeight="1" x14ac:dyDescent="0.25">
      <c r="A110" s="295"/>
      <c r="B110" s="290"/>
      <c r="C110" s="109"/>
      <c r="D110" s="109"/>
      <c r="E110" s="109"/>
      <c r="F110" s="109"/>
      <c r="G110" s="109"/>
      <c r="H110" s="109"/>
      <c r="I110" s="109"/>
      <c r="J110" s="75">
        <f t="shared" si="18"/>
        <v>0</v>
      </c>
      <c r="K110" s="75">
        <f t="shared" si="19"/>
        <v>0</v>
      </c>
      <c r="L110" s="109">
        <v>0</v>
      </c>
      <c r="M110" s="110">
        <v>0</v>
      </c>
      <c r="N110" s="128"/>
    </row>
    <row r="111" spans="1:14" ht="12.75" customHeight="1" x14ac:dyDescent="0.25">
      <c r="A111" s="295"/>
      <c r="B111" s="290"/>
      <c r="C111" s="109"/>
      <c r="D111" s="109"/>
      <c r="E111" s="109"/>
      <c r="F111" s="109"/>
      <c r="G111" s="109"/>
      <c r="H111" s="109"/>
      <c r="I111" s="109"/>
      <c r="J111" s="75">
        <f t="shared" si="18"/>
        <v>0</v>
      </c>
      <c r="K111" s="75">
        <f t="shared" si="19"/>
        <v>0</v>
      </c>
      <c r="L111" s="109">
        <v>0</v>
      </c>
      <c r="M111" s="110">
        <v>0</v>
      </c>
      <c r="N111" s="128"/>
    </row>
    <row r="112" spans="1:14" ht="12.75" customHeight="1" x14ac:dyDescent="0.25">
      <c r="A112" s="295"/>
      <c r="B112" s="290"/>
      <c r="C112" s="109"/>
      <c r="D112" s="109"/>
      <c r="E112" s="109"/>
      <c r="F112" s="109"/>
      <c r="G112" s="109"/>
      <c r="H112" s="109"/>
      <c r="I112" s="109"/>
      <c r="J112" s="75">
        <f t="shared" si="18"/>
        <v>0</v>
      </c>
      <c r="K112" s="75">
        <f t="shared" si="19"/>
        <v>0</v>
      </c>
      <c r="L112" s="109"/>
      <c r="M112" s="110"/>
      <c r="N112" s="128"/>
    </row>
    <row r="113" spans="1:14" ht="12.75" customHeight="1" x14ac:dyDescent="0.25">
      <c r="A113" s="295"/>
      <c r="B113" s="290"/>
      <c r="C113" s="109"/>
      <c r="D113" s="109"/>
      <c r="E113" s="109"/>
      <c r="F113" s="109"/>
      <c r="G113" s="109"/>
      <c r="H113" s="109"/>
      <c r="I113" s="109"/>
      <c r="J113" s="75">
        <f t="shared" si="18"/>
        <v>0</v>
      </c>
      <c r="K113" s="75">
        <f t="shared" si="19"/>
        <v>0</v>
      </c>
      <c r="L113" s="109"/>
      <c r="M113" s="110"/>
      <c r="N113" s="128"/>
    </row>
    <row r="114" spans="1:14" ht="12.75" customHeight="1" x14ac:dyDescent="0.25">
      <c r="A114" s="295"/>
      <c r="B114" s="290"/>
      <c r="C114" s="109"/>
      <c r="D114" s="109"/>
      <c r="E114" s="109"/>
      <c r="F114" s="109"/>
      <c r="G114" s="109"/>
      <c r="H114" s="109"/>
      <c r="I114" s="109"/>
      <c r="J114" s="75">
        <f t="shared" si="18"/>
        <v>0</v>
      </c>
      <c r="K114" s="75">
        <f t="shared" si="19"/>
        <v>0</v>
      </c>
      <c r="L114" s="109"/>
      <c r="M114" s="110"/>
      <c r="N114" s="128"/>
    </row>
    <row r="115" spans="1:14" ht="12.75" customHeight="1" x14ac:dyDescent="0.25">
      <c r="A115" s="295"/>
      <c r="B115" s="290"/>
      <c r="C115" s="109"/>
      <c r="D115" s="109"/>
      <c r="E115" s="109"/>
      <c r="F115" s="109"/>
      <c r="G115" s="109"/>
      <c r="H115" s="109"/>
      <c r="I115" s="109">
        <v>0</v>
      </c>
      <c r="J115" s="75">
        <f t="shared" si="18"/>
        <v>0</v>
      </c>
      <c r="K115" s="75">
        <f t="shared" si="19"/>
        <v>0</v>
      </c>
      <c r="L115" s="109"/>
      <c r="M115" s="110"/>
      <c r="N115" s="128"/>
    </row>
    <row r="116" spans="1:14" ht="12.75" customHeight="1" x14ac:dyDescent="0.25">
      <c r="A116" s="295"/>
      <c r="B116" s="290"/>
      <c r="C116" s="109"/>
      <c r="D116" s="109"/>
      <c r="E116" s="109"/>
      <c r="F116" s="109"/>
      <c r="G116" s="109"/>
      <c r="H116" s="109"/>
      <c r="I116" s="109">
        <v>-1115000</v>
      </c>
      <c r="J116" s="75">
        <f>SUM(E116:I116)</f>
        <v>-1115000</v>
      </c>
      <c r="K116" s="75">
        <f>IF(D116=0,C116+J116,D116+J116)</f>
        <v>-1115000</v>
      </c>
      <c r="L116" s="109">
        <v>0</v>
      </c>
      <c r="M116" s="110"/>
      <c r="N116" s="128"/>
    </row>
    <row r="117" spans="1:14" ht="12.75" customHeight="1" x14ac:dyDescent="0.25">
      <c r="A117" s="295"/>
      <c r="B117" s="290"/>
      <c r="C117" s="144"/>
      <c r="D117" s="144"/>
      <c r="E117" s="144"/>
      <c r="F117" s="144"/>
      <c r="G117" s="144"/>
      <c r="H117" s="144"/>
      <c r="I117" s="144"/>
      <c r="J117" s="145">
        <f>SUM(E117:I117)</f>
        <v>0</v>
      </c>
      <c r="K117" s="145">
        <f>IF(D117=0,C117+J117,D117+J117)</f>
        <v>0</v>
      </c>
      <c r="L117" s="144">
        <v>0</v>
      </c>
      <c r="M117" s="113"/>
      <c r="N117" s="128"/>
    </row>
    <row r="118" spans="1:14" ht="12.75" customHeight="1" x14ac:dyDescent="0.25">
      <c r="A118" s="293" t="s">
        <v>1311</v>
      </c>
      <c r="B118" s="290">
        <v>1</v>
      </c>
      <c r="C118" s="140">
        <f>SUM(C93:C117)</f>
        <v>87245000</v>
      </c>
      <c r="D118" s="140">
        <f>SUM(D93:D117)</f>
        <v>0</v>
      </c>
      <c r="E118" s="141">
        <f>SUM(E93:E117)</f>
        <v>0</v>
      </c>
      <c r="F118" s="141">
        <f t="shared" ref="F118:M118" si="20">SUM(F93:F117)</f>
        <v>0</v>
      </c>
      <c r="G118" s="141">
        <f t="shared" si="20"/>
        <v>0</v>
      </c>
      <c r="H118" s="141">
        <f t="shared" si="20"/>
        <v>0</v>
      </c>
      <c r="I118" s="141">
        <f t="shared" si="20"/>
        <v>-1115000</v>
      </c>
      <c r="J118" s="141">
        <f t="shared" si="20"/>
        <v>-1115000</v>
      </c>
      <c r="K118" s="141">
        <f t="shared" si="20"/>
        <v>86130000</v>
      </c>
      <c r="L118" s="141">
        <f t="shared" si="20"/>
        <v>84161625</v>
      </c>
      <c r="M118" s="142">
        <f t="shared" si="20"/>
        <v>89463807.375</v>
      </c>
      <c r="N118" s="128"/>
    </row>
    <row r="119" spans="1:14" ht="12.75" customHeight="1" x14ac:dyDescent="0.25">
      <c r="A119" s="166" t="s">
        <v>1319</v>
      </c>
      <c r="B119" s="290"/>
      <c r="C119" s="74"/>
      <c r="D119" s="75"/>
      <c r="E119" s="75"/>
      <c r="F119" s="75"/>
      <c r="G119" s="75"/>
      <c r="H119" s="75"/>
      <c r="I119" s="75"/>
      <c r="J119" s="75"/>
      <c r="K119" s="75"/>
      <c r="L119" s="75"/>
      <c r="M119" s="76"/>
      <c r="N119" s="128"/>
    </row>
    <row r="120" spans="1:14" ht="12.75" customHeight="1" x14ac:dyDescent="0.25">
      <c r="A120" s="164" t="s">
        <v>667</v>
      </c>
      <c r="B120" s="290"/>
      <c r="C120" s="130"/>
      <c r="D120" s="109"/>
      <c r="E120" s="109"/>
      <c r="F120" s="109"/>
      <c r="G120" s="109"/>
      <c r="H120" s="109"/>
      <c r="I120" s="109"/>
      <c r="J120" s="75">
        <f>SUM(E120:I120)</f>
        <v>0</v>
      </c>
      <c r="K120" s="75">
        <f>IF(D120=0,C120+J120,D120+J120)</f>
        <v>0</v>
      </c>
      <c r="L120" s="109"/>
      <c r="M120" s="110"/>
      <c r="N120" s="128"/>
    </row>
    <row r="121" spans="1:14" ht="12.75" customHeight="1" x14ac:dyDescent="0.25">
      <c r="A121" s="164" t="s">
        <v>668</v>
      </c>
      <c r="B121" s="290"/>
      <c r="C121" s="130"/>
      <c r="D121" s="109"/>
      <c r="E121" s="109"/>
      <c r="F121" s="109"/>
      <c r="G121" s="109"/>
      <c r="H121" s="109"/>
      <c r="I121" s="109"/>
      <c r="J121" s="75">
        <f>SUM(E121:I121)</f>
        <v>0</v>
      </c>
      <c r="K121" s="75">
        <f>IF(D121=0,C121+J121,D121+J121)</f>
        <v>0</v>
      </c>
      <c r="L121" s="109"/>
      <c r="M121" s="110"/>
      <c r="N121" s="128"/>
    </row>
    <row r="122" spans="1:14" ht="12.75" customHeight="1" x14ac:dyDescent="0.25">
      <c r="A122" s="164" t="s">
        <v>1231</v>
      </c>
      <c r="B122" s="290"/>
      <c r="C122" s="130"/>
      <c r="D122" s="109"/>
      <c r="E122" s="109"/>
      <c r="F122" s="109"/>
      <c r="G122" s="109"/>
      <c r="H122" s="109"/>
      <c r="I122" s="109"/>
      <c r="J122" s="75">
        <f>SUM(E122:I122)</f>
        <v>0</v>
      </c>
      <c r="K122" s="75">
        <f>IF(D122=0,C122+J122,D122+J122)</f>
        <v>0</v>
      </c>
      <c r="L122" s="109"/>
      <c r="M122" s="110"/>
      <c r="N122" s="128"/>
    </row>
    <row r="123" spans="1:14" ht="12.75" customHeight="1" x14ac:dyDescent="0.25">
      <c r="A123" s="164" t="s">
        <v>671</v>
      </c>
      <c r="B123" s="290"/>
      <c r="C123" s="130"/>
      <c r="D123" s="109"/>
      <c r="E123" s="109"/>
      <c r="F123" s="109"/>
      <c r="G123" s="109"/>
      <c r="H123" s="109"/>
      <c r="I123" s="109"/>
      <c r="J123" s="75">
        <f>SUM(E123:I123)</f>
        <v>0</v>
      </c>
      <c r="K123" s="75">
        <f>IF(D123=0,C123+J123,D123+J123)</f>
        <v>0</v>
      </c>
      <c r="L123" s="109"/>
      <c r="M123" s="110"/>
      <c r="N123" s="128"/>
    </row>
    <row r="124" spans="1:14" ht="12.75" customHeight="1" x14ac:dyDescent="0.25">
      <c r="A124" s="139" t="s">
        <v>1617</v>
      </c>
      <c r="B124" s="290"/>
      <c r="C124" s="150">
        <f>SUM(C118:C123)</f>
        <v>87245000</v>
      </c>
      <c r="D124" s="151">
        <f t="shared" ref="D124:M124" si="21">SUM(D118:D123)</f>
        <v>0</v>
      </c>
      <c r="E124" s="1134">
        <f t="shared" si="21"/>
        <v>0</v>
      </c>
      <c r="F124" s="1134">
        <f t="shared" si="21"/>
        <v>0</v>
      </c>
      <c r="G124" s="1134">
        <f t="shared" si="21"/>
        <v>0</v>
      </c>
      <c r="H124" s="1134">
        <f t="shared" si="21"/>
        <v>0</v>
      </c>
      <c r="I124" s="1134">
        <f t="shared" si="21"/>
        <v>-1115000</v>
      </c>
      <c r="J124" s="1134">
        <f t="shared" si="21"/>
        <v>-1115000</v>
      </c>
      <c r="K124" s="1134">
        <f t="shared" si="21"/>
        <v>86130000</v>
      </c>
      <c r="L124" s="1134">
        <f t="shared" si="21"/>
        <v>84161625</v>
      </c>
      <c r="M124" s="1135">
        <f t="shared" si="21"/>
        <v>89463807.375</v>
      </c>
      <c r="N124" s="128"/>
    </row>
    <row r="125" spans="1:14" ht="5.0999999999999996" customHeight="1" x14ac:dyDescent="0.25">
      <c r="A125" s="136"/>
      <c r="B125" s="290"/>
      <c r="C125" s="74"/>
      <c r="D125" s="75"/>
      <c r="E125" s="75"/>
      <c r="F125" s="75"/>
      <c r="G125" s="75"/>
      <c r="H125" s="75"/>
      <c r="I125" s="75"/>
      <c r="J125" s="75"/>
      <c r="K125" s="75"/>
      <c r="L125" s="75"/>
      <c r="M125" s="76"/>
      <c r="N125" s="128"/>
    </row>
    <row r="126" spans="1:14" ht="12.75" customHeight="1" x14ac:dyDescent="0.25">
      <c r="A126" s="126" t="s">
        <v>1320</v>
      </c>
      <c r="B126" s="297"/>
      <c r="C126" s="74"/>
      <c r="D126" s="75"/>
      <c r="E126" s="75"/>
      <c r="F126" s="75"/>
      <c r="G126" s="75"/>
      <c r="H126" s="75"/>
      <c r="I126" s="75"/>
      <c r="J126" s="75"/>
      <c r="K126" s="75"/>
      <c r="L126" s="75"/>
      <c r="M126" s="76"/>
      <c r="N126" s="128"/>
    </row>
    <row r="127" spans="1:14" ht="12.75" customHeight="1" x14ac:dyDescent="0.25">
      <c r="A127" s="30" t="s">
        <v>1321</v>
      </c>
      <c r="B127" s="290"/>
      <c r="C127" s="130">
        <v>0</v>
      </c>
      <c r="D127" s="109"/>
      <c r="E127" s="109"/>
      <c r="F127" s="109"/>
      <c r="G127" s="109"/>
      <c r="H127" s="109"/>
      <c r="I127" s="109"/>
      <c r="J127" s="75">
        <f>SUM(E127:I127)</f>
        <v>0</v>
      </c>
      <c r="K127" s="75">
        <f>IF(D127=0,C127+J127,D127+J127)</f>
        <v>0</v>
      </c>
      <c r="L127" s="109">
        <v>0</v>
      </c>
      <c r="M127" s="110"/>
      <c r="N127" s="128"/>
    </row>
    <row r="128" spans="1:14" ht="12.75" customHeight="1" x14ac:dyDescent="0.25">
      <c r="A128" s="30" t="s">
        <v>1322</v>
      </c>
      <c r="B128" s="290"/>
      <c r="C128" s="130">
        <v>0</v>
      </c>
      <c r="D128" s="109"/>
      <c r="E128" s="109"/>
      <c r="F128" s="109"/>
      <c r="G128" s="109"/>
      <c r="H128" s="109"/>
      <c r="I128" s="109"/>
      <c r="J128" s="75">
        <f>SUM(E128:I128)</f>
        <v>0</v>
      </c>
      <c r="K128" s="75">
        <f>IF(D128=0,C128+J128,D128+J128)</f>
        <v>0</v>
      </c>
      <c r="L128" s="109">
        <v>0</v>
      </c>
      <c r="M128" s="110"/>
      <c r="N128" s="128"/>
    </row>
    <row r="129" spans="1:14" ht="12.75" customHeight="1" x14ac:dyDescent="0.25">
      <c r="A129" s="30" t="s">
        <v>1323</v>
      </c>
      <c r="B129" s="290"/>
      <c r="C129" s="130">
        <v>0</v>
      </c>
      <c r="D129" s="109"/>
      <c r="E129" s="109"/>
      <c r="F129" s="109"/>
      <c r="G129" s="109"/>
      <c r="H129" s="109"/>
      <c r="I129" s="109"/>
      <c r="J129" s="75">
        <f>SUM(E129:I129)</f>
        <v>0</v>
      </c>
      <c r="K129" s="75">
        <f>IF(D129=0,C129+J129,D129+J129)</f>
        <v>0</v>
      </c>
      <c r="L129" s="109">
        <v>0</v>
      </c>
      <c r="M129" s="110"/>
      <c r="N129" s="128"/>
    </row>
    <row r="130" spans="1:14" ht="12.75" customHeight="1" x14ac:dyDescent="0.25">
      <c r="A130" s="30" t="s">
        <v>1324</v>
      </c>
      <c r="B130" s="290"/>
      <c r="C130" s="130">
        <v>3700000</v>
      </c>
      <c r="D130" s="109"/>
      <c r="E130" s="109"/>
      <c r="F130" s="109"/>
      <c r="G130" s="109"/>
      <c r="H130" s="109"/>
      <c r="I130" s="109"/>
      <c r="J130" s="75">
        <f>SUM(E130:I130)</f>
        <v>0</v>
      </c>
      <c r="K130" s="75">
        <f>IF(D130=0,C130+J130,D130+J130)</f>
        <v>3700000</v>
      </c>
      <c r="L130" s="109">
        <v>3940500</v>
      </c>
      <c r="M130" s="110">
        <v>4188751.5</v>
      </c>
      <c r="N130" s="128"/>
    </row>
    <row r="131" spans="1:14" ht="12.75" customHeight="1" x14ac:dyDescent="0.25">
      <c r="A131" s="129" t="s">
        <v>1325</v>
      </c>
      <c r="B131" s="290" t="s">
        <v>1326</v>
      </c>
      <c r="C131" s="130">
        <v>0</v>
      </c>
      <c r="D131" s="109"/>
      <c r="E131" s="109"/>
      <c r="F131" s="109"/>
      <c r="G131" s="109"/>
      <c r="H131" s="109"/>
      <c r="I131" s="109"/>
      <c r="J131" s="75">
        <f>SUM(E131:I131)</f>
        <v>0</v>
      </c>
      <c r="K131" s="75">
        <f>IF(D131=0,C131+J131,D131+J131)</f>
        <v>0</v>
      </c>
      <c r="L131" s="109">
        <v>0</v>
      </c>
      <c r="M131" s="110"/>
      <c r="N131" s="128"/>
    </row>
    <row r="132" spans="1:14" ht="12.75" customHeight="1" x14ac:dyDescent="0.25">
      <c r="A132" s="1130" t="s">
        <v>1825</v>
      </c>
      <c r="B132" s="290"/>
      <c r="C132" s="130">
        <v>25598998</v>
      </c>
      <c r="D132" s="109"/>
      <c r="E132" s="109"/>
      <c r="F132" s="109"/>
      <c r="G132" s="109"/>
      <c r="H132" s="109"/>
      <c r="I132" s="1279"/>
      <c r="J132" s="75">
        <f t="shared" ref="J132:J153" si="22">SUM(E132:I132)</f>
        <v>0</v>
      </c>
      <c r="K132" s="75">
        <f t="shared" ref="K132:K153" si="23">IF(D132=0,C132+J132,D132+J132)</f>
        <v>25598998</v>
      </c>
      <c r="L132" s="109">
        <v>27262932.869999997</v>
      </c>
      <c r="M132" s="110">
        <v>28980497.640809994</v>
      </c>
      <c r="N132" s="128"/>
    </row>
    <row r="133" spans="1:14" ht="12.75" customHeight="1" x14ac:dyDescent="0.25">
      <c r="A133" s="1130" t="s">
        <v>1826</v>
      </c>
      <c r="B133" s="290"/>
      <c r="C133" s="130">
        <v>7911440</v>
      </c>
      <c r="D133" s="109"/>
      <c r="E133" s="109"/>
      <c r="F133" s="109"/>
      <c r="G133" s="109"/>
      <c r="H133" s="109"/>
      <c r="I133" s="1279"/>
      <c r="J133" s="75">
        <f t="shared" si="22"/>
        <v>0</v>
      </c>
      <c r="K133" s="75">
        <f t="shared" si="23"/>
        <v>7911440</v>
      </c>
      <c r="L133" s="109">
        <v>8425683.5999999996</v>
      </c>
      <c r="M133" s="110">
        <v>8956501.6667999998</v>
      </c>
      <c r="N133" s="128"/>
    </row>
    <row r="134" spans="1:14" ht="12.75" customHeight="1" x14ac:dyDescent="0.25">
      <c r="A134" s="1130" t="s">
        <v>1827</v>
      </c>
      <c r="B134" s="290"/>
      <c r="C134" s="130">
        <v>92000000</v>
      </c>
      <c r="D134" s="109"/>
      <c r="E134" s="109"/>
      <c r="F134" s="109"/>
      <c r="G134" s="109"/>
      <c r="H134" s="109"/>
      <c r="I134" s="1279"/>
      <c r="J134" s="75">
        <f t="shared" si="22"/>
        <v>0</v>
      </c>
      <c r="K134" s="75">
        <f t="shared" si="23"/>
        <v>92000000</v>
      </c>
      <c r="L134" s="109">
        <v>28000000</v>
      </c>
      <c r="M134" s="110">
        <v>0</v>
      </c>
      <c r="N134" s="128"/>
    </row>
    <row r="135" spans="1:14" ht="12.75" customHeight="1" x14ac:dyDescent="0.25">
      <c r="A135" s="1130" t="s">
        <v>1828</v>
      </c>
      <c r="B135" s="290"/>
      <c r="C135" s="130">
        <v>8528538</v>
      </c>
      <c r="D135" s="109"/>
      <c r="E135" s="109"/>
      <c r="F135" s="109"/>
      <c r="G135" s="109"/>
      <c r="H135" s="109"/>
      <c r="I135" s="1279"/>
      <c r="J135" s="75">
        <f t="shared" si="22"/>
        <v>0</v>
      </c>
      <c r="K135" s="75">
        <f t="shared" si="23"/>
        <v>8528538</v>
      </c>
      <c r="L135" s="109">
        <v>9082892.9699999988</v>
      </c>
      <c r="M135" s="110">
        <v>9655115.2271099985</v>
      </c>
      <c r="N135" s="128"/>
    </row>
    <row r="136" spans="1:14" ht="12.75" customHeight="1" x14ac:dyDescent="0.25">
      <c r="A136" s="1130" t="s">
        <v>1829</v>
      </c>
      <c r="B136" s="290"/>
      <c r="C136" s="130">
        <v>4726476</v>
      </c>
      <c r="D136" s="109"/>
      <c r="E136" s="109"/>
      <c r="F136" s="109"/>
      <c r="G136" s="109"/>
      <c r="H136" s="109"/>
      <c r="I136" s="1279"/>
      <c r="J136" s="75">
        <f t="shared" si="22"/>
        <v>0</v>
      </c>
      <c r="K136" s="75">
        <f t="shared" si="23"/>
        <v>4726476</v>
      </c>
      <c r="L136" s="109">
        <v>5033696.9399999995</v>
      </c>
      <c r="M136" s="110">
        <v>5350819.8472199989</v>
      </c>
      <c r="N136" s="128"/>
    </row>
    <row r="137" spans="1:14" ht="12.75" customHeight="1" x14ac:dyDescent="0.25">
      <c r="A137" s="1130" t="s">
        <v>1830</v>
      </c>
      <c r="B137" s="290"/>
      <c r="C137" s="130">
        <v>26843308</v>
      </c>
      <c r="D137" s="109"/>
      <c r="E137" s="109"/>
      <c r="F137" s="109"/>
      <c r="G137" s="109"/>
      <c r="H137" s="109"/>
      <c r="I137" s="1279"/>
      <c r="J137" s="75">
        <f t="shared" si="22"/>
        <v>0</v>
      </c>
      <c r="K137" s="75">
        <f t="shared" si="23"/>
        <v>26843308</v>
      </c>
      <c r="L137" s="109">
        <v>28588123.02</v>
      </c>
      <c r="M137" s="110">
        <v>30389174.770259999</v>
      </c>
      <c r="N137" s="128"/>
    </row>
    <row r="138" spans="1:14" ht="12.75" customHeight="1" x14ac:dyDescent="0.25">
      <c r="A138" s="1130" t="s">
        <v>1831</v>
      </c>
      <c r="B138" s="290"/>
      <c r="C138" s="130">
        <v>12816709</v>
      </c>
      <c r="D138" s="109"/>
      <c r="E138" s="109"/>
      <c r="F138" s="109"/>
      <c r="G138" s="109"/>
      <c r="H138" s="109"/>
      <c r="I138" s="1279"/>
      <c r="J138" s="75">
        <f t="shared" si="22"/>
        <v>0</v>
      </c>
      <c r="K138" s="75">
        <f t="shared" si="23"/>
        <v>12816709</v>
      </c>
      <c r="L138" s="109">
        <v>13649795.085000001</v>
      </c>
      <c r="M138" s="110">
        <v>14509732.175354999</v>
      </c>
      <c r="N138" s="128"/>
    </row>
    <row r="139" spans="1:14" ht="12.75" customHeight="1" x14ac:dyDescent="0.25">
      <c r="A139" s="1130" t="s">
        <v>1832</v>
      </c>
      <c r="B139" s="290"/>
      <c r="C139" s="130">
        <v>13718615</v>
      </c>
      <c r="D139" s="109"/>
      <c r="E139" s="109"/>
      <c r="F139" s="109"/>
      <c r="G139" s="109"/>
      <c r="H139" s="109"/>
      <c r="I139" s="1279"/>
      <c r="J139" s="75">
        <f t="shared" si="22"/>
        <v>0</v>
      </c>
      <c r="K139" s="75">
        <f t="shared" si="23"/>
        <v>13718615</v>
      </c>
      <c r="L139" s="109">
        <v>14610324.975</v>
      </c>
      <c r="M139" s="110">
        <v>15530775.448424999</v>
      </c>
      <c r="N139" s="128"/>
    </row>
    <row r="140" spans="1:14" ht="12.75" customHeight="1" x14ac:dyDescent="0.25">
      <c r="A140" s="1130" t="s">
        <v>1833</v>
      </c>
      <c r="B140" s="290"/>
      <c r="C140" s="130">
        <v>5078970</v>
      </c>
      <c r="D140" s="109"/>
      <c r="E140" s="109"/>
      <c r="F140" s="109"/>
      <c r="G140" s="109"/>
      <c r="H140" s="109"/>
      <c r="I140" s="1279"/>
      <c r="J140" s="75">
        <f t="shared" si="22"/>
        <v>0</v>
      </c>
      <c r="K140" s="75">
        <f t="shared" si="23"/>
        <v>5078970</v>
      </c>
      <c r="L140" s="109">
        <v>4575208.05</v>
      </c>
      <c r="M140" s="110">
        <v>4863446.1571499994</v>
      </c>
      <c r="N140" s="128"/>
    </row>
    <row r="141" spans="1:14" ht="12.75" customHeight="1" x14ac:dyDescent="0.25">
      <c r="A141" s="1130"/>
      <c r="B141" s="290"/>
      <c r="C141" s="130">
        <v>0</v>
      </c>
      <c r="D141" s="109"/>
      <c r="E141" s="109"/>
      <c r="F141" s="109"/>
      <c r="G141" s="109"/>
      <c r="H141" s="109"/>
      <c r="I141" s="1279"/>
      <c r="J141" s="75">
        <f t="shared" si="22"/>
        <v>0</v>
      </c>
      <c r="K141" s="75">
        <f t="shared" si="23"/>
        <v>0</v>
      </c>
      <c r="L141" s="109">
        <v>0</v>
      </c>
      <c r="M141" s="110"/>
      <c r="N141" s="128"/>
    </row>
    <row r="142" spans="1:14" ht="12.75" customHeight="1" x14ac:dyDescent="0.25">
      <c r="A142" s="1130" t="s">
        <v>1834</v>
      </c>
      <c r="B142" s="290"/>
      <c r="C142" s="130">
        <v>1624745</v>
      </c>
      <c r="D142" s="109"/>
      <c r="E142" s="109"/>
      <c r="F142" s="109"/>
      <c r="G142" s="109"/>
      <c r="H142" s="109"/>
      <c r="I142" s="109"/>
      <c r="J142" s="75">
        <f t="shared" si="22"/>
        <v>0</v>
      </c>
      <c r="K142" s="75">
        <f t="shared" si="23"/>
        <v>1624745</v>
      </c>
      <c r="L142" s="109">
        <v>1730353.4249999998</v>
      </c>
      <c r="M142" s="110">
        <v>1839365.6907749998</v>
      </c>
      <c r="N142" s="128"/>
    </row>
    <row r="143" spans="1:14" ht="12.75" customHeight="1" x14ac:dyDescent="0.25">
      <c r="A143" s="1130" t="s">
        <v>1835</v>
      </c>
      <c r="B143" s="290"/>
      <c r="C143" s="130">
        <v>12212800</v>
      </c>
      <c r="D143" s="109"/>
      <c r="E143" s="109"/>
      <c r="F143" s="109"/>
      <c r="G143" s="109"/>
      <c r="H143" s="109"/>
      <c r="I143" s="109"/>
      <c r="J143" s="75">
        <f t="shared" si="22"/>
        <v>0</v>
      </c>
      <c r="K143" s="75">
        <f t="shared" si="23"/>
        <v>12212800</v>
      </c>
      <c r="L143" s="109">
        <v>13006632</v>
      </c>
      <c r="M143" s="110">
        <v>13826049.816</v>
      </c>
      <c r="N143" s="128"/>
    </row>
    <row r="144" spans="1:14" ht="12.75" customHeight="1" x14ac:dyDescent="0.25">
      <c r="A144" s="1130" t="s">
        <v>1836</v>
      </c>
      <c r="B144" s="290"/>
      <c r="C144" s="130">
        <v>8000000</v>
      </c>
      <c r="D144" s="109"/>
      <c r="E144" s="109"/>
      <c r="F144" s="109"/>
      <c r="G144" s="109"/>
      <c r="H144" s="109"/>
      <c r="I144" s="109"/>
      <c r="J144" s="75">
        <f t="shared" si="22"/>
        <v>0</v>
      </c>
      <c r="K144" s="75">
        <f t="shared" si="23"/>
        <v>8000000</v>
      </c>
      <c r="L144" s="109">
        <v>8520000</v>
      </c>
      <c r="M144" s="110">
        <v>9056760</v>
      </c>
      <c r="N144" s="128"/>
    </row>
    <row r="145" spans="1:14" ht="12.75" customHeight="1" x14ac:dyDescent="0.25">
      <c r="A145" s="1130" t="s">
        <v>1837</v>
      </c>
      <c r="B145" s="290"/>
      <c r="C145" s="130">
        <v>6628431.5000000009</v>
      </c>
      <c r="D145" s="109"/>
      <c r="E145" s="109"/>
      <c r="F145" s="109"/>
      <c r="G145" s="109"/>
      <c r="H145" s="109"/>
      <c r="I145" s="109"/>
      <c r="J145" s="75">
        <f t="shared" si="22"/>
        <v>0</v>
      </c>
      <c r="K145" s="75">
        <f t="shared" si="23"/>
        <v>6628431.5000000009</v>
      </c>
      <c r="L145" s="109">
        <v>6992995.2324999999</v>
      </c>
      <c r="M145" s="110">
        <v>7363623.9798225006</v>
      </c>
      <c r="N145" s="128"/>
    </row>
    <row r="146" spans="1:14" ht="12.75" customHeight="1" x14ac:dyDescent="0.25">
      <c r="A146" s="1130" t="s">
        <v>1838</v>
      </c>
      <c r="B146" s="290"/>
      <c r="C146" s="130">
        <v>10535315</v>
      </c>
      <c r="D146" s="109"/>
      <c r="E146" s="109"/>
      <c r="F146" s="109"/>
      <c r="G146" s="109"/>
      <c r="H146" s="109"/>
      <c r="I146" s="109"/>
      <c r="J146" s="75">
        <f t="shared" si="22"/>
        <v>0</v>
      </c>
      <c r="K146" s="75">
        <f t="shared" si="23"/>
        <v>10535315</v>
      </c>
      <c r="L146" s="109">
        <v>11220110.475</v>
      </c>
      <c r="M146" s="110">
        <v>11926977.434924997</v>
      </c>
      <c r="N146" s="128"/>
    </row>
    <row r="147" spans="1:14" ht="12.75" customHeight="1" x14ac:dyDescent="0.25">
      <c r="A147" s="1130" t="s">
        <v>1832</v>
      </c>
      <c r="B147" s="290"/>
      <c r="C147" s="130">
        <v>0</v>
      </c>
      <c r="D147" s="109"/>
      <c r="E147" s="109"/>
      <c r="F147" s="109"/>
      <c r="G147" s="109"/>
      <c r="H147" s="109"/>
      <c r="I147" s="109"/>
      <c r="J147" s="75">
        <f t="shared" si="22"/>
        <v>0</v>
      </c>
      <c r="K147" s="75">
        <f t="shared" si="23"/>
        <v>0</v>
      </c>
      <c r="L147" s="109">
        <v>0</v>
      </c>
      <c r="M147" s="110"/>
      <c r="N147" s="128"/>
    </row>
    <row r="148" spans="1:14" ht="12.75" customHeight="1" x14ac:dyDescent="0.25">
      <c r="A148" s="1131" t="s">
        <v>1839</v>
      </c>
      <c r="B148" s="290"/>
      <c r="C148" s="130">
        <v>5747136.4000000013</v>
      </c>
      <c r="D148" s="109"/>
      <c r="E148" s="109"/>
      <c r="F148" s="109"/>
      <c r="G148" s="109"/>
      <c r="H148" s="109"/>
      <c r="I148" s="109"/>
      <c r="J148" s="75">
        <f t="shared" si="22"/>
        <v>0</v>
      </c>
      <c r="K148" s="75">
        <f t="shared" si="23"/>
        <v>5747136.4000000013</v>
      </c>
      <c r="L148" s="109">
        <v>6063228.9020000016</v>
      </c>
      <c r="M148" s="110">
        <v>6384580.033805999</v>
      </c>
      <c r="N148" s="128"/>
    </row>
    <row r="149" spans="1:14" ht="12.75" customHeight="1" x14ac:dyDescent="0.25">
      <c r="A149" s="1131" t="s">
        <v>1840</v>
      </c>
      <c r="B149" s="290"/>
      <c r="C149" s="130">
        <v>6014621.1999999993</v>
      </c>
      <c r="D149" s="109"/>
      <c r="E149" s="109"/>
      <c r="F149" s="109"/>
      <c r="G149" s="109"/>
      <c r="H149" s="109"/>
      <c r="I149" s="109"/>
      <c r="J149" s="75">
        <f t="shared" si="22"/>
        <v>0</v>
      </c>
      <c r="K149" s="75">
        <f t="shared" si="23"/>
        <v>6014621.1999999993</v>
      </c>
      <c r="L149" s="109">
        <v>6345425.366000006</v>
      </c>
      <c r="M149" s="110">
        <v>6681732.9103980055</v>
      </c>
      <c r="N149" s="128"/>
    </row>
    <row r="150" spans="1:14" ht="12.75" customHeight="1" x14ac:dyDescent="0.25">
      <c r="A150" s="1131" t="s">
        <v>1841</v>
      </c>
      <c r="B150" s="290"/>
      <c r="C150" s="130">
        <v>10291376.367999999</v>
      </c>
      <c r="D150" s="109"/>
      <c r="E150" s="109"/>
      <c r="F150" s="109"/>
      <c r="G150" s="109"/>
      <c r="H150" s="109"/>
      <c r="I150" s="109"/>
      <c r="J150" s="75">
        <f t="shared" si="22"/>
        <v>0</v>
      </c>
      <c r="K150" s="75">
        <f t="shared" si="23"/>
        <v>10291376.367999999</v>
      </c>
      <c r="L150" s="109">
        <v>10857402.068240009</v>
      </c>
      <c r="M150" s="110">
        <v>11432844.377856733</v>
      </c>
      <c r="N150" s="128"/>
    </row>
    <row r="151" spans="1:14" ht="12.75" customHeight="1" x14ac:dyDescent="0.25">
      <c r="A151" s="1131" t="s">
        <v>1842</v>
      </c>
      <c r="B151" s="290"/>
      <c r="C151" s="130">
        <v>5693886.1220000032</v>
      </c>
      <c r="D151" s="109"/>
      <c r="E151" s="109"/>
      <c r="F151" s="109"/>
      <c r="G151" s="109"/>
      <c r="H151" s="109"/>
      <c r="I151" s="109"/>
      <c r="J151" s="75">
        <f t="shared" si="22"/>
        <v>0</v>
      </c>
      <c r="K151" s="75">
        <f t="shared" si="23"/>
        <v>5693886.1220000032</v>
      </c>
      <c r="L151" s="109">
        <v>6007049.8587100022</v>
      </c>
      <c r="M151" s="110">
        <v>6325423.5012216326</v>
      </c>
      <c r="N151" s="128"/>
    </row>
    <row r="152" spans="1:14" ht="12.75" customHeight="1" x14ac:dyDescent="0.25">
      <c r="A152" s="1131" t="s">
        <v>1843</v>
      </c>
      <c r="B152" s="290"/>
      <c r="C152" s="130">
        <v>11436000</v>
      </c>
      <c r="D152" s="109"/>
      <c r="E152" s="109"/>
      <c r="F152" s="109"/>
      <c r="G152" s="109"/>
      <c r="H152" s="109"/>
      <c r="I152" s="109">
        <v>1428000</v>
      </c>
      <c r="J152" s="75">
        <f t="shared" si="22"/>
        <v>1428000</v>
      </c>
      <c r="K152" s="75">
        <f t="shared" si="23"/>
        <v>12864000</v>
      </c>
      <c r="L152" s="109">
        <v>12064980</v>
      </c>
      <c r="M152" s="110">
        <v>12704423.940000001</v>
      </c>
      <c r="N152" s="128"/>
    </row>
    <row r="153" spans="1:14" ht="12.75" customHeight="1" x14ac:dyDescent="0.25">
      <c r="A153" s="1131" t="s">
        <v>1844</v>
      </c>
      <c r="B153" s="290"/>
      <c r="C153" s="130">
        <v>81976682.251999795</v>
      </c>
      <c r="D153" s="109"/>
      <c r="E153" s="109"/>
      <c r="F153" s="109"/>
      <c r="G153" s="109"/>
      <c r="H153" s="109">
        <v>0</v>
      </c>
      <c r="I153" s="109">
        <v>10084838</v>
      </c>
      <c r="J153" s="75">
        <f t="shared" si="22"/>
        <v>10084838</v>
      </c>
      <c r="K153" s="75">
        <f t="shared" si="23"/>
        <v>92061520.251999795</v>
      </c>
      <c r="L153" s="109">
        <v>88570008.662918404</v>
      </c>
      <c r="M153" s="110">
        <v>94632239.221312895</v>
      </c>
      <c r="N153" s="128"/>
    </row>
    <row r="154" spans="1:14" ht="12.75" customHeight="1" x14ac:dyDescent="0.25">
      <c r="A154" s="298" t="s">
        <v>1327</v>
      </c>
      <c r="B154" s="20">
        <v>1</v>
      </c>
      <c r="C154" s="157">
        <f>SUM(C127:C153)</f>
        <v>361084047.84199983</v>
      </c>
      <c r="D154" s="117">
        <f>SUM(D127:D153)</f>
        <v>0</v>
      </c>
      <c r="E154" s="117">
        <f>SUM(E127:E153)</f>
        <v>0</v>
      </c>
      <c r="F154" s="117">
        <f t="shared" ref="F154:M154" si="24">SUM(F127:F153)</f>
        <v>0</v>
      </c>
      <c r="G154" s="117">
        <f t="shared" si="24"/>
        <v>0</v>
      </c>
      <c r="H154" s="117">
        <f t="shared" si="24"/>
        <v>0</v>
      </c>
      <c r="I154" s="117">
        <f t="shared" si="24"/>
        <v>11512838</v>
      </c>
      <c r="J154" s="117">
        <f t="shared" si="24"/>
        <v>11512838</v>
      </c>
      <c r="K154" s="117">
        <f t="shared" si="24"/>
        <v>372596885.84199983</v>
      </c>
      <c r="L154" s="117">
        <f t="shared" si="24"/>
        <v>314547343.50036842</v>
      </c>
      <c r="M154" s="118">
        <f t="shared" si="24"/>
        <v>304598835.3392477</v>
      </c>
      <c r="N154" s="128"/>
    </row>
    <row r="155" spans="1:14" ht="12.75" customHeight="1" x14ac:dyDescent="0.25">
      <c r="A155" s="1104"/>
      <c r="B155" s="1137"/>
      <c r="C155" s="1136"/>
      <c r="D155" s="1136"/>
      <c r="E155" s="789"/>
      <c r="F155" s="789"/>
      <c r="G155" s="789"/>
      <c r="H155" s="789"/>
      <c r="I155" s="789"/>
      <c r="J155" s="789"/>
      <c r="K155" s="789"/>
      <c r="L155" s="789"/>
      <c r="M155" s="791"/>
      <c r="N155" s="128"/>
    </row>
    <row r="156" spans="1:14" ht="12.75" customHeight="1" x14ac:dyDescent="0.25">
      <c r="A156" s="135" t="s">
        <v>1618</v>
      </c>
      <c r="B156" s="1138">
        <v>14</v>
      </c>
      <c r="C156" s="74"/>
      <c r="D156" s="75"/>
      <c r="E156" s="75"/>
      <c r="F156" s="75"/>
      <c r="G156" s="75"/>
      <c r="H156" s="75"/>
      <c r="I156" s="75"/>
      <c r="J156" s="75"/>
      <c r="K156" s="75"/>
      <c r="L156" s="75"/>
      <c r="M156" s="76"/>
      <c r="N156" s="128"/>
    </row>
    <row r="157" spans="1:14" ht="12.75" customHeight="1" x14ac:dyDescent="0.25">
      <c r="A157" s="129" t="s">
        <v>698</v>
      </c>
      <c r="B157" s="1138"/>
      <c r="C157" s="130"/>
      <c r="D157" s="109"/>
      <c r="E157" s="109"/>
      <c r="F157" s="109"/>
      <c r="G157" s="109"/>
      <c r="H157" s="109"/>
      <c r="I157" s="109"/>
      <c r="J157" s="75">
        <f>SUM(E157:I157)</f>
        <v>0</v>
      </c>
      <c r="K157" s="75">
        <f>IF(D157=0,C157+J157,D157+J157)</f>
        <v>0</v>
      </c>
      <c r="L157" s="109">
        <f>[9]SB1!$I$131+I154</f>
        <v>59705676</v>
      </c>
      <c r="M157" s="110"/>
      <c r="N157" s="128"/>
    </row>
    <row r="158" spans="1:14" ht="12.75" customHeight="1" x14ac:dyDescent="0.25">
      <c r="A158" s="129" t="s">
        <v>701</v>
      </c>
      <c r="B158" s="1138"/>
      <c r="C158" s="130">
        <v>177520393.59999999</v>
      </c>
      <c r="D158" s="109"/>
      <c r="E158" s="109"/>
      <c r="F158" s="109"/>
      <c r="G158" s="109"/>
      <c r="H158" s="109"/>
      <c r="I158" s="109">
        <v>23832733</v>
      </c>
      <c r="J158" s="75">
        <f>SUM(E158:I158)</f>
        <v>23832733</v>
      </c>
      <c r="K158" s="75">
        <f>IF(D158=0,C158+J158,D158+J158)</f>
        <v>201353126.59999999</v>
      </c>
      <c r="L158" s="109">
        <v>188637432.43400025</v>
      </c>
      <c r="M158" s="110">
        <v>200521539.71734217</v>
      </c>
      <c r="N158" s="128"/>
    </row>
    <row r="159" spans="1:14" ht="12.75" customHeight="1" x14ac:dyDescent="0.25">
      <c r="A159" s="129" t="s">
        <v>1619</v>
      </c>
      <c r="B159" s="1138"/>
      <c r="C159" s="130"/>
      <c r="D159" s="109"/>
      <c r="E159" s="109"/>
      <c r="F159" s="109"/>
      <c r="G159" s="109"/>
      <c r="H159" s="109"/>
      <c r="I159" s="109"/>
      <c r="J159" s="75">
        <f>SUM(E159:I159)</f>
        <v>0</v>
      </c>
      <c r="K159" s="75">
        <f>IF(D159=0,C159+J159,D159+J159)</f>
        <v>0</v>
      </c>
      <c r="L159" s="109"/>
      <c r="M159" s="110"/>
      <c r="N159" s="128"/>
    </row>
    <row r="160" spans="1:14" ht="12.75" customHeight="1" x14ac:dyDescent="0.25">
      <c r="A160" s="129" t="s">
        <v>1620</v>
      </c>
      <c r="B160" s="1138"/>
      <c r="C160" s="130"/>
      <c r="D160" s="109"/>
      <c r="E160" s="109"/>
      <c r="F160" s="109"/>
      <c r="G160" s="109"/>
      <c r="H160" s="109"/>
      <c r="I160" s="109"/>
      <c r="J160" s="75">
        <f>SUM(E160:I160)</f>
        <v>0</v>
      </c>
      <c r="K160" s="75">
        <f>IF(D160=0,C160+J160,D160+J160)</f>
        <v>0</v>
      </c>
      <c r="L160" s="109"/>
      <c r="M160" s="110"/>
      <c r="N160" s="128"/>
    </row>
    <row r="161" spans="1:14" ht="12.75" customHeight="1" x14ac:dyDescent="0.25">
      <c r="A161" s="298" t="s">
        <v>1621</v>
      </c>
      <c r="B161" s="1139">
        <v>15</v>
      </c>
      <c r="C161" s="157">
        <f>SUM(C157:C160)</f>
        <v>177520393.59999999</v>
      </c>
      <c r="D161" s="157">
        <f t="shared" ref="D161:M161" si="25">SUM(D157:D160)</f>
        <v>0</v>
      </c>
      <c r="E161" s="157">
        <f t="shared" si="25"/>
        <v>0</v>
      </c>
      <c r="F161" s="157">
        <f t="shared" si="25"/>
        <v>0</v>
      </c>
      <c r="G161" s="157">
        <f t="shared" si="25"/>
        <v>0</v>
      </c>
      <c r="H161" s="157">
        <f t="shared" si="25"/>
        <v>0</v>
      </c>
      <c r="I161" s="157">
        <f t="shared" si="25"/>
        <v>23832733</v>
      </c>
      <c r="J161" s="117">
        <f t="shared" si="25"/>
        <v>23832733</v>
      </c>
      <c r="K161" s="117">
        <f t="shared" si="25"/>
        <v>201353126.59999999</v>
      </c>
      <c r="L161" s="117">
        <f t="shared" si="25"/>
        <v>248343108.43400025</v>
      </c>
      <c r="M161" s="118">
        <f t="shared" si="25"/>
        <v>200521539.71734217</v>
      </c>
      <c r="N161" s="128"/>
    </row>
    <row r="162" spans="1:14" ht="12.75" customHeight="1" x14ac:dyDescent="0.25">
      <c r="A162" s="158" t="str">
        <f>head27a</f>
        <v>References</v>
      </c>
      <c r="B162" s="93"/>
      <c r="C162" s="96"/>
      <c r="D162" s="96"/>
      <c r="E162" s="96"/>
      <c r="F162" s="96"/>
      <c r="G162" s="96"/>
      <c r="H162" s="96"/>
      <c r="I162" s="96"/>
      <c r="J162" s="96"/>
      <c r="K162" s="96"/>
      <c r="L162" s="96"/>
      <c r="M162" s="96"/>
      <c r="N162" s="128"/>
    </row>
    <row r="163" spans="1:14" ht="12.75" customHeight="1" x14ac:dyDescent="0.25">
      <c r="A163" s="99" t="s">
        <v>1332</v>
      </c>
      <c r="B163" s="93"/>
      <c r="C163" s="96"/>
      <c r="D163" s="96"/>
      <c r="E163" s="96"/>
      <c r="F163" s="96"/>
      <c r="G163" s="96"/>
      <c r="H163" s="96"/>
      <c r="I163" s="96"/>
      <c r="J163" s="96"/>
      <c r="K163" s="96"/>
      <c r="L163" s="96"/>
      <c r="M163" s="96"/>
    </row>
    <row r="164" spans="1:14" ht="12.75" customHeight="1" x14ac:dyDescent="0.25">
      <c r="A164" s="99" t="s">
        <v>1333</v>
      </c>
      <c r="B164" s="93"/>
      <c r="C164" s="96"/>
      <c r="D164" s="96"/>
      <c r="E164" s="96"/>
      <c r="F164" s="96"/>
      <c r="G164" s="96"/>
      <c r="H164" s="96"/>
      <c r="I164" s="96"/>
      <c r="J164" s="96"/>
      <c r="K164" s="96"/>
      <c r="L164" s="96"/>
      <c r="M164" s="96"/>
    </row>
    <row r="165" spans="1:14" ht="12.75" customHeight="1" x14ac:dyDescent="0.25">
      <c r="A165" s="99" t="s">
        <v>1334</v>
      </c>
      <c r="B165" s="93"/>
      <c r="C165" s="96"/>
      <c r="D165" s="96"/>
      <c r="E165" s="96"/>
      <c r="F165" s="96"/>
      <c r="G165" s="96"/>
      <c r="H165" s="96"/>
      <c r="I165" s="96"/>
      <c r="J165" s="96"/>
      <c r="K165" s="96"/>
      <c r="L165" s="96"/>
      <c r="M165" s="96"/>
    </row>
    <row r="166" spans="1:14" ht="12.75" customHeight="1" x14ac:dyDescent="0.25">
      <c r="A166" s="99" t="s">
        <v>1335</v>
      </c>
      <c r="B166" s="93"/>
      <c r="C166" s="96"/>
      <c r="D166" s="96"/>
      <c r="E166" s="96"/>
      <c r="F166" s="96"/>
      <c r="G166" s="96"/>
      <c r="H166" s="96"/>
      <c r="I166" s="96"/>
      <c r="J166" s="96"/>
      <c r="K166" s="96"/>
      <c r="L166" s="96"/>
      <c r="M166" s="96"/>
    </row>
    <row r="167" spans="1:14" ht="12.75" customHeight="1" x14ac:dyDescent="0.25">
      <c r="A167" s="99" t="s">
        <v>1336</v>
      </c>
      <c r="B167" s="93"/>
      <c r="C167" s="96"/>
      <c r="D167" s="96"/>
      <c r="E167" s="96"/>
      <c r="F167" s="96"/>
      <c r="G167" s="96"/>
      <c r="H167" s="96"/>
      <c r="I167" s="96"/>
      <c r="J167" s="96"/>
      <c r="K167" s="96"/>
      <c r="L167" s="96"/>
      <c r="M167" s="96"/>
    </row>
    <row r="168" spans="1:14" ht="12.75" customHeight="1" x14ac:dyDescent="0.25">
      <c r="A168" s="99" t="s">
        <v>164</v>
      </c>
      <c r="B168" s="99"/>
      <c r="C168" s="99"/>
      <c r="D168" s="99"/>
      <c r="E168" s="99"/>
      <c r="F168" s="99"/>
      <c r="G168" s="99"/>
      <c r="H168" s="99"/>
      <c r="I168" s="99"/>
      <c r="J168" s="99"/>
      <c r="K168" s="99"/>
      <c r="L168" s="99"/>
      <c r="M168" s="99"/>
      <c r="N168" s="54"/>
    </row>
    <row r="169" spans="1:14" ht="24.95" customHeight="1" x14ac:dyDescent="0.25">
      <c r="A169" s="1314" t="s">
        <v>1337</v>
      </c>
      <c r="B169" s="1314"/>
      <c r="C169" s="1314"/>
      <c r="D169" s="1314"/>
      <c r="E169" s="1314"/>
      <c r="F169" s="1314"/>
      <c r="G169" s="1314"/>
      <c r="H169" s="1314"/>
      <c r="I169" s="1314"/>
      <c r="J169" s="1314"/>
      <c r="K169" s="1314"/>
      <c r="L169" s="1314"/>
      <c r="M169" s="1314"/>
      <c r="N169" s="54"/>
    </row>
    <row r="170" spans="1:14" ht="12.75" customHeight="1" x14ac:dyDescent="0.25">
      <c r="A170" s="99" t="s">
        <v>1338</v>
      </c>
      <c r="B170" s="99"/>
      <c r="C170" s="99"/>
      <c r="D170" s="99"/>
      <c r="E170" s="99"/>
      <c r="F170" s="99"/>
      <c r="G170" s="99"/>
      <c r="H170" s="99"/>
      <c r="I170" s="99"/>
      <c r="J170" s="99"/>
      <c r="K170" s="99"/>
      <c r="L170" s="99"/>
      <c r="M170" s="99"/>
      <c r="N170" s="54"/>
    </row>
    <row r="171" spans="1:14" ht="12.75" customHeight="1" x14ac:dyDescent="0.25">
      <c r="A171" s="99" t="s">
        <v>1339</v>
      </c>
      <c r="B171" s="99"/>
      <c r="C171" s="99"/>
      <c r="D171" s="99"/>
      <c r="E171" s="99"/>
      <c r="F171" s="99"/>
      <c r="G171" s="99"/>
      <c r="H171" s="99"/>
      <c r="I171" s="99"/>
      <c r="J171" s="99"/>
      <c r="K171" s="99"/>
      <c r="L171" s="99"/>
      <c r="M171" s="99"/>
      <c r="N171" s="54"/>
    </row>
    <row r="172" spans="1:14" ht="12.75" customHeight="1" x14ac:dyDescent="0.25">
      <c r="A172" s="99" t="s">
        <v>1340</v>
      </c>
      <c r="B172" s="93"/>
      <c r="C172" s="96"/>
      <c r="D172" s="96"/>
      <c r="E172" s="96"/>
      <c r="F172" s="96"/>
      <c r="G172" s="96"/>
      <c r="H172" s="96"/>
      <c r="I172" s="96"/>
      <c r="J172" s="96"/>
      <c r="K172" s="96"/>
      <c r="L172" s="96"/>
      <c r="M172" s="96"/>
      <c r="N172" s="53"/>
    </row>
    <row r="173" spans="1:14" ht="27" customHeight="1" x14ac:dyDescent="0.25">
      <c r="A173" s="1314" t="s">
        <v>1353</v>
      </c>
      <c r="B173" s="1314"/>
      <c r="C173" s="1314"/>
      <c r="D173" s="1314"/>
      <c r="E173" s="1314"/>
      <c r="F173" s="1314"/>
      <c r="G173" s="1314"/>
      <c r="H173" s="1314"/>
      <c r="I173" s="1314"/>
      <c r="J173" s="1314"/>
      <c r="K173" s="1314"/>
      <c r="L173" s="1314"/>
      <c r="M173" s="1314"/>
      <c r="N173" s="53"/>
    </row>
    <row r="174" spans="1:14" ht="12.75" customHeight="1" x14ac:dyDescent="0.25">
      <c r="A174" s="99" t="s">
        <v>1354</v>
      </c>
      <c r="B174" s="93"/>
      <c r="C174" s="96"/>
      <c r="D174" s="96"/>
      <c r="E174" s="96"/>
      <c r="F174" s="96"/>
      <c r="G174" s="96"/>
      <c r="H174" s="96"/>
      <c r="I174" s="96"/>
      <c r="J174" s="96"/>
      <c r="K174" s="96"/>
      <c r="L174" s="96"/>
      <c r="M174" s="96"/>
      <c r="N174" s="53"/>
    </row>
    <row r="175" spans="1:14" ht="12.75" customHeight="1" x14ac:dyDescent="0.25">
      <c r="A175" s="99" t="s">
        <v>1355</v>
      </c>
      <c r="B175" s="100"/>
      <c r="C175" s="100"/>
      <c r="D175" s="100"/>
      <c r="E175" s="100"/>
      <c r="F175" s="100"/>
      <c r="G175" s="100"/>
      <c r="H175" s="100"/>
      <c r="I175" s="100"/>
      <c r="J175" s="100"/>
      <c r="K175" s="100"/>
      <c r="L175" s="100"/>
      <c r="M175" s="100"/>
      <c r="N175" s="54"/>
    </row>
    <row r="176" spans="1:14" ht="11.25" customHeight="1" x14ac:dyDescent="0.25">
      <c r="A176" s="1140" t="s">
        <v>1622</v>
      </c>
      <c r="B176" s="5"/>
    </row>
    <row r="177" spans="1:2" ht="11.25" customHeight="1" x14ac:dyDescent="0.25">
      <c r="A177" s="5" t="s">
        <v>1623</v>
      </c>
      <c r="B177" s="5"/>
    </row>
    <row r="178" spans="1:2" ht="11.25" customHeight="1" x14ac:dyDescent="0.25">
      <c r="B178" s="5"/>
    </row>
    <row r="179" spans="1:2" ht="11.25" customHeight="1" x14ac:dyDescent="0.25">
      <c r="B179" s="5"/>
    </row>
    <row r="180" spans="1:2" ht="11.25" customHeight="1" x14ac:dyDescent="0.25">
      <c r="B180" s="5"/>
    </row>
    <row r="181" spans="1:2" ht="11.25" customHeight="1" x14ac:dyDescent="0.25">
      <c r="B181" s="5"/>
    </row>
    <row r="182" spans="1:2" ht="11.25" customHeight="1" x14ac:dyDescent="0.25">
      <c r="B182" s="5"/>
    </row>
    <row r="183" spans="1:2" ht="11.25" customHeight="1" x14ac:dyDescent="0.25">
      <c r="B183" s="5"/>
    </row>
    <row r="184" spans="1:2" ht="11.25" customHeight="1" x14ac:dyDescent="0.25">
      <c r="B184" s="5"/>
    </row>
    <row r="185" spans="1:2" ht="11.25" customHeight="1" x14ac:dyDescent="0.25">
      <c r="B185" s="5"/>
    </row>
    <row r="186" spans="1:2" ht="11.25" customHeight="1" x14ac:dyDescent="0.25">
      <c r="B186" s="5"/>
    </row>
    <row r="187" spans="1:2" ht="11.25" customHeight="1" x14ac:dyDescent="0.25">
      <c r="B187" s="5"/>
    </row>
    <row r="188" spans="1:2" ht="11.25" customHeight="1" x14ac:dyDescent="0.25">
      <c r="B188" s="5"/>
    </row>
    <row r="189" spans="1:2" ht="11.25" customHeight="1" x14ac:dyDescent="0.25">
      <c r="B189" s="5"/>
    </row>
    <row r="190" spans="1:2" ht="11.25" customHeight="1" x14ac:dyDescent="0.25">
      <c r="B190" s="5"/>
    </row>
    <row r="191" spans="1:2" ht="11.25" customHeight="1" x14ac:dyDescent="0.25">
      <c r="B191" s="5"/>
    </row>
    <row r="192" spans="1:2"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ht="11.25" customHeight="1" x14ac:dyDescent="0.25">
      <c r="B201" s="5"/>
    </row>
    <row r="202" spans="2:2" ht="11.25" customHeight="1" x14ac:dyDescent="0.25">
      <c r="B202" s="5"/>
    </row>
    <row r="203" spans="2:2" ht="11.25" customHeight="1" x14ac:dyDescent="0.25">
      <c r="B203" s="5"/>
    </row>
    <row r="204" spans="2:2" ht="11.25" customHeight="1" x14ac:dyDescent="0.25">
      <c r="B204" s="5"/>
    </row>
    <row r="205" spans="2:2" ht="11.25" customHeight="1" x14ac:dyDescent="0.25">
      <c r="B205" s="5"/>
    </row>
    <row r="206" spans="2:2" ht="11.25" customHeight="1" x14ac:dyDescent="0.25">
      <c r="B206" s="5"/>
    </row>
    <row r="207" spans="2:2" ht="11.25" customHeight="1" x14ac:dyDescent="0.25">
      <c r="B207" s="5"/>
    </row>
    <row r="208" spans="2:2"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x14ac:dyDescent="0.25">
      <c r="B231" s="5"/>
    </row>
    <row r="232" spans="2:2" x14ac:dyDescent="0.25">
      <c r="B232" s="5"/>
    </row>
    <row r="233" spans="2:2" x14ac:dyDescent="0.25">
      <c r="B233" s="5"/>
    </row>
    <row r="234" spans="2:2" x14ac:dyDescent="0.25">
      <c r="B234" s="5"/>
    </row>
    <row r="235" spans="2:2" x14ac:dyDescent="0.25">
      <c r="B235" s="5"/>
    </row>
    <row r="236" spans="2:2" x14ac:dyDescent="0.25">
      <c r="B236" s="5"/>
    </row>
    <row r="237" spans="2:2" x14ac:dyDescent="0.25">
      <c r="B237" s="5"/>
    </row>
    <row r="238" spans="2:2" x14ac:dyDescent="0.25">
      <c r="B238" s="5"/>
    </row>
    <row r="239" spans="2:2" x14ac:dyDescent="0.25">
      <c r="B239" s="5"/>
    </row>
    <row r="240" spans="2:2" x14ac:dyDescent="0.25">
      <c r="B240" s="5"/>
    </row>
    <row r="241" spans="2:2"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row r="248" spans="2:2" x14ac:dyDescent="0.25">
      <c r="B248" s="5"/>
    </row>
    <row r="249" spans="2:2" x14ac:dyDescent="0.25">
      <c r="B249" s="5"/>
    </row>
    <row r="250" spans="2:2"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sheetData>
  <sheetProtection sheet="1" objects="1" scenarios="1"/>
  <mergeCells count="5">
    <mergeCell ref="A173:M173"/>
    <mergeCell ref="A169:M169"/>
    <mergeCell ref="A2:A4"/>
    <mergeCell ref="B2:B4"/>
    <mergeCell ref="C2:K2"/>
  </mergeCells>
  <phoneticPr fontId="3" type="noConversion"/>
  <printOptions horizontalCentered="1"/>
  <pageMargins left="0.35" right="0.14000000000000001" top="0.77" bottom="0.6" header="0.51181102362204722" footer="0.51"/>
  <pageSetup paperSize="9" scale="75" orientation="portrait" r:id="rId1"/>
  <headerFooter alignWithMargins="0"/>
  <ignoredErrors>
    <ignoredError sqref="J62:K62"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1"/>
  <sheetViews>
    <sheetView showGridLines="0" zoomScaleNormal="100" workbookViewId="0">
      <pane xSplit="2" ySplit="5" topLeftCell="C47" activePane="bottomRight" state="frozen"/>
      <selection activeCell="C6" sqref="C6"/>
      <selection pane="topRight" activeCell="C6" sqref="C6"/>
      <selection pane="bottomLeft" activeCell="C6" sqref="C6"/>
      <selection pane="bottomRight" activeCell="E56" sqref="E56"/>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"&amp;ADJB2&amp;" - "&amp;Date</f>
        <v>LIM354 Polokwane - Supporting Table SB2 Supporting detail to 'Financial Position Budget' - 25 February 2016</v>
      </c>
      <c r="B1" s="5"/>
      <c r="C1" s="58"/>
    </row>
    <row r="2" spans="1:14" ht="38.25" x14ac:dyDescent="0.25">
      <c r="A2" s="1318" t="str">
        <f>desc</f>
        <v>Description</v>
      </c>
      <c r="B2" s="1318" t="str">
        <f>head27</f>
        <v>Ref</v>
      </c>
      <c r="C2" s="1315" t="str">
        <f>Head2</f>
        <v>Budget Year 2015/16</v>
      </c>
      <c r="D2" s="1316"/>
      <c r="E2" s="1316"/>
      <c r="F2" s="1316"/>
      <c r="G2" s="1316"/>
      <c r="H2" s="1316"/>
      <c r="I2" s="1316"/>
      <c r="J2" s="1316"/>
      <c r="K2" s="1316"/>
      <c r="L2" s="103" t="str">
        <f>Head10</f>
        <v>Budget Year +1 2016/17</v>
      </c>
      <c r="M2" s="61" t="str">
        <f>Head11</f>
        <v>Budget Year +2 2017/18</v>
      </c>
    </row>
    <row r="3" spans="1:14" ht="25.5" x14ac:dyDescent="0.25">
      <c r="A3" s="1319"/>
      <c r="B3" s="13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19"/>
      <c r="B4" s="1319"/>
      <c r="C4" s="65"/>
      <c r="D4" s="15">
        <v>4</v>
      </c>
      <c r="E4" s="15">
        <v>5</v>
      </c>
      <c r="F4" s="15">
        <v>6</v>
      </c>
      <c r="G4" s="15">
        <v>7</v>
      </c>
      <c r="H4" s="15">
        <v>8</v>
      </c>
      <c r="I4" s="15">
        <v>9</v>
      </c>
      <c r="J4" s="15">
        <v>10</v>
      </c>
      <c r="K4" s="15">
        <v>11</v>
      </c>
      <c r="L4" s="15"/>
      <c r="M4" s="17"/>
    </row>
    <row r="5" spans="1:14" x14ac:dyDescent="0.25">
      <c r="A5" s="66" t="s">
        <v>641</v>
      </c>
      <c r="B5" s="104"/>
      <c r="C5" s="67" t="s">
        <v>581</v>
      </c>
      <c r="D5" s="68" t="s">
        <v>582</v>
      </c>
      <c r="E5" s="68" t="s">
        <v>583</v>
      </c>
      <c r="F5" s="69" t="s">
        <v>584</v>
      </c>
      <c r="G5" s="69" t="s">
        <v>585</v>
      </c>
      <c r="H5" s="69" t="s">
        <v>586</v>
      </c>
      <c r="I5" s="70" t="s">
        <v>587</v>
      </c>
      <c r="J5" s="70" t="s">
        <v>588</v>
      </c>
      <c r="K5" s="70" t="s">
        <v>589</v>
      </c>
      <c r="L5" s="70"/>
      <c r="M5" s="71"/>
    </row>
    <row r="6" spans="1:14" x14ac:dyDescent="0.25">
      <c r="A6" s="299" t="s">
        <v>725</v>
      </c>
      <c r="B6" s="300"/>
      <c r="C6" s="301"/>
      <c r="D6" s="290"/>
      <c r="E6" s="290"/>
      <c r="F6" s="302"/>
      <c r="G6" s="302"/>
      <c r="H6" s="302"/>
      <c r="I6" s="303"/>
      <c r="J6" s="303"/>
      <c r="K6" s="303"/>
      <c r="L6" s="303"/>
      <c r="M6" s="304"/>
      <c r="N6" s="128"/>
    </row>
    <row r="7" spans="1:14" ht="12.75" customHeight="1" x14ac:dyDescent="0.25">
      <c r="A7" s="126" t="s">
        <v>743</v>
      </c>
      <c r="B7" s="73"/>
      <c r="C7" s="74"/>
      <c r="D7" s="75"/>
      <c r="E7" s="75"/>
      <c r="F7" s="75"/>
      <c r="G7" s="75"/>
      <c r="H7" s="75"/>
      <c r="I7" s="75"/>
      <c r="J7" s="75"/>
      <c r="K7" s="75"/>
      <c r="L7" s="75"/>
      <c r="M7" s="76"/>
      <c r="N7" s="128"/>
    </row>
    <row r="8" spans="1:14" ht="12.75" customHeight="1" x14ac:dyDescent="0.25">
      <c r="A8" s="129" t="s">
        <v>1356</v>
      </c>
      <c r="B8" s="73"/>
      <c r="C8" s="950">
        <v>330000000</v>
      </c>
      <c r="D8" s="109"/>
      <c r="E8" s="109"/>
      <c r="F8" s="109"/>
      <c r="G8" s="109"/>
      <c r="H8" s="109"/>
      <c r="I8" s="109">
        <v>-250000000</v>
      </c>
      <c r="J8" s="75">
        <f>SUM(E8:I8)</f>
        <v>-250000000</v>
      </c>
      <c r="K8" s="75">
        <f>IF(D8=0,C8+J8,D8+J8)</f>
        <v>80000000</v>
      </c>
      <c r="L8" s="109">
        <v>300000000</v>
      </c>
      <c r="M8" s="110">
        <v>295000000</v>
      </c>
      <c r="N8" s="128"/>
    </row>
    <row r="9" spans="1:14" ht="12.75" customHeight="1" x14ac:dyDescent="0.25">
      <c r="A9" s="129" t="s">
        <v>785</v>
      </c>
      <c r="B9" s="73"/>
      <c r="C9" s="130"/>
      <c r="D9" s="109"/>
      <c r="E9" s="109"/>
      <c r="F9" s="109"/>
      <c r="G9" s="109"/>
      <c r="H9" s="109"/>
      <c r="I9" s="109"/>
      <c r="J9" s="75">
        <f>SUM(E9:I9)</f>
        <v>0</v>
      </c>
      <c r="K9" s="75">
        <f>IF(D9=0,C9+J9,D9+J9)</f>
        <v>0</v>
      </c>
      <c r="L9" s="109">
        <v>0</v>
      </c>
      <c r="M9" s="110">
        <v>0</v>
      </c>
      <c r="N9" s="128"/>
    </row>
    <row r="10" spans="1:14" ht="12.75" customHeight="1" x14ac:dyDescent="0.25">
      <c r="A10" s="139" t="str">
        <f>"Total "&amp;A7</f>
        <v>Total Call investment deposits</v>
      </c>
      <c r="B10" s="73">
        <v>1</v>
      </c>
      <c r="C10" s="305">
        <f t="shared" ref="C10:M10" si="0">SUM(C8:C9)</f>
        <v>330000000</v>
      </c>
      <c r="D10" s="151">
        <f t="shared" si="0"/>
        <v>0</v>
      </c>
      <c r="E10" s="151">
        <f t="shared" si="0"/>
        <v>0</v>
      </c>
      <c r="F10" s="151">
        <f t="shared" si="0"/>
        <v>0</v>
      </c>
      <c r="G10" s="151">
        <f t="shared" si="0"/>
        <v>0</v>
      </c>
      <c r="H10" s="151">
        <f t="shared" si="0"/>
        <v>0</v>
      </c>
      <c r="I10" s="151">
        <f t="shared" si="0"/>
        <v>-250000000</v>
      </c>
      <c r="J10" s="151">
        <f t="shared" si="0"/>
        <v>-250000000</v>
      </c>
      <c r="K10" s="151">
        <f t="shared" si="0"/>
        <v>80000000</v>
      </c>
      <c r="L10" s="151">
        <f t="shared" si="0"/>
        <v>300000000</v>
      </c>
      <c r="M10" s="152">
        <f t="shared" si="0"/>
        <v>295000000</v>
      </c>
      <c r="N10" s="128"/>
    </row>
    <row r="11" spans="1:14" ht="12.75" customHeight="1" x14ac:dyDescent="0.25">
      <c r="A11" s="126" t="s">
        <v>744</v>
      </c>
      <c r="B11" s="73"/>
      <c r="C11" s="74"/>
      <c r="D11" s="75"/>
      <c r="E11" s="75"/>
      <c r="F11" s="75"/>
      <c r="G11" s="75"/>
      <c r="H11" s="75"/>
      <c r="I11" s="75"/>
      <c r="J11" s="75"/>
      <c r="K11" s="75"/>
      <c r="L11" s="75"/>
      <c r="M11" s="76"/>
      <c r="N11" s="128"/>
    </row>
    <row r="12" spans="1:14" ht="12.75" customHeight="1" x14ac:dyDescent="0.25">
      <c r="A12" s="129" t="str">
        <f>A11</f>
        <v>Consumer debtors</v>
      </c>
      <c r="B12" s="73"/>
      <c r="C12" s="130">
        <v>634957273</v>
      </c>
      <c r="D12" s="109"/>
      <c r="E12" s="109"/>
      <c r="F12" s="109"/>
      <c r="G12" s="109"/>
      <c r="H12" s="109"/>
      <c r="I12" s="109">
        <v>58971931</v>
      </c>
      <c r="J12" s="75">
        <f>SUM(E12:I12)</f>
        <v>58971931</v>
      </c>
      <c r="K12" s="75">
        <f>IF(D12=0,C12+J12,D12+J12)</f>
        <v>693929204</v>
      </c>
      <c r="L12" s="109">
        <v>683000000</v>
      </c>
      <c r="M12" s="110">
        <v>763000000</v>
      </c>
      <c r="N12" s="128"/>
    </row>
    <row r="13" spans="1:14" ht="12.75" customHeight="1" x14ac:dyDescent="0.25">
      <c r="A13" s="129" t="s">
        <v>1357</v>
      </c>
      <c r="B13" s="73"/>
      <c r="C13" s="74">
        <f t="shared" ref="C13:I13" si="1">C19</f>
        <v>270759204</v>
      </c>
      <c r="D13" s="75">
        <f t="shared" si="1"/>
        <v>0</v>
      </c>
      <c r="E13" s="75">
        <f t="shared" si="1"/>
        <v>0</v>
      </c>
      <c r="F13" s="75">
        <f t="shared" si="1"/>
        <v>0</v>
      </c>
      <c r="G13" s="75">
        <f t="shared" si="1"/>
        <v>0</v>
      </c>
      <c r="H13" s="75">
        <f t="shared" si="1"/>
        <v>0</v>
      </c>
      <c r="I13" s="75">
        <f t="shared" si="1"/>
        <v>300000000</v>
      </c>
      <c r="J13" s="75">
        <f>SUM(E13:I13)</f>
        <v>300000000</v>
      </c>
      <c r="K13" s="75">
        <f>IF(D13=0,C13+J13,D13+J13)</f>
        <v>570759204</v>
      </c>
      <c r="L13" s="75">
        <f>L19</f>
        <v>620759204</v>
      </c>
      <c r="M13" s="76">
        <f>M19</f>
        <v>670759204</v>
      </c>
      <c r="N13" s="128"/>
    </row>
    <row r="14" spans="1:14" ht="12.75" customHeight="1" x14ac:dyDescent="0.25">
      <c r="A14" s="139" t="str">
        <f>"Total "&amp;A11</f>
        <v>Total Consumer debtors</v>
      </c>
      <c r="B14" s="73">
        <v>1</v>
      </c>
      <c r="C14" s="305">
        <f>C12-C13</f>
        <v>364198069</v>
      </c>
      <c r="D14" s="151">
        <f t="shared" ref="D14:M14" si="2">D12-D13</f>
        <v>0</v>
      </c>
      <c r="E14" s="151">
        <f t="shared" si="2"/>
        <v>0</v>
      </c>
      <c r="F14" s="151">
        <f t="shared" si="2"/>
        <v>0</v>
      </c>
      <c r="G14" s="151">
        <f t="shared" si="2"/>
        <v>0</v>
      </c>
      <c r="H14" s="151">
        <f t="shared" si="2"/>
        <v>0</v>
      </c>
      <c r="I14" s="151">
        <f t="shared" si="2"/>
        <v>-241028069</v>
      </c>
      <c r="J14" s="151">
        <f t="shared" si="2"/>
        <v>-241028069</v>
      </c>
      <c r="K14" s="151">
        <f t="shared" si="2"/>
        <v>123170000</v>
      </c>
      <c r="L14" s="151">
        <f t="shared" si="2"/>
        <v>62240796</v>
      </c>
      <c r="M14" s="152">
        <f t="shared" si="2"/>
        <v>92240796</v>
      </c>
      <c r="N14" s="128"/>
    </row>
    <row r="15" spans="1:14" ht="12.75" customHeight="1" x14ac:dyDescent="0.25">
      <c r="A15" s="126" t="s">
        <v>1358</v>
      </c>
      <c r="B15" s="73"/>
      <c r="C15" s="74"/>
      <c r="D15" s="75"/>
      <c r="E15" s="75"/>
      <c r="F15" s="75"/>
      <c r="G15" s="75"/>
      <c r="H15" s="75"/>
      <c r="I15" s="75"/>
      <c r="J15" s="75"/>
      <c r="K15" s="75"/>
      <c r="L15" s="75"/>
      <c r="M15" s="76"/>
      <c r="N15" s="128"/>
    </row>
    <row r="16" spans="1:14" ht="12.75" customHeight="1" x14ac:dyDescent="0.25">
      <c r="A16" s="129" t="s">
        <v>1359</v>
      </c>
      <c r="B16" s="73"/>
      <c r="C16" s="130">
        <v>220759204</v>
      </c>
      <c r="D16" s="109"/>
      <c r="E16" s="109"/>
      <c r="F16" s="109"/>
      <c r="G16" s="109"/>
      <c r="H16" s="109"/>
      <c r="I16" s="109"/>
      <c r="J16" s="75">
        <f>SUM(E16:I16)</f>
        <v>0</v>
      </c>
      <c r="K16" s="75">
        <f>IF(D16=0,C16+J16,D16+J16)</f>
        <v>220759204</v>
      </c>
      <c r="L16" s="75">
        <f>IF(SUM(L17:L18)=0,0,K19)</f>
        <v>570759204</v>
      </c>
      <c r="M16" s="76">
        <f>IF(SUM(M17:M18)=0,0,L19)</f>
        <v>620759204</v>
      </c>
      <c r="N16" s="128"/>
    </row>
    <row r="17" spans="1:14" ht="12.75" customHeight="1" x14ac:dyDescent="0.25">
      <c r="A17" s="129" t="s">
        <v>1360</v>
      </c>
      <c r="B17" s="73"/>
      <c r="C17" s="130">
        <v>50000000</v>
      </c>
      <c r="D17" s="109"/>
      <c r="E17" s="109"/>
      <c r="F17" s="109"/>
      <c r="G17" s="109"/>
      <c r="H17" s="109"/>
      <c r="I17" s="109">
        <v>300000000</v>
      </c>
      <c r="J17" s="75">
        <f>SUM(E17:I17)</f>
        <v>300000000</v>
      </c>
      <c r="K17" s="75">
        <f>IF(D17=0,C17+J17,D17+J17)</f>
        <v>350000000</v>
      </c>
      <c r="L17" s="109">
        <v>50000000</v>
      </c>
      <c r="M17" s="110">
        <v>50000000</v>
      </c>
      <c r="N17" s="128"/>
    </row>
    <row r="18" spans="1:14" ht="12.75" customHeight="1" x14ac:dyDescent="0.25">
      <c r="A18" s="129" t="s">
        <v>1361</v>
      </c>
      <c r="B18" s="73"/>
      <c r="C18" s="130"/>
      <c r="D18" s="109"/>
      <c r="E18" s="109"/>
      <c r="F18" s="109"/>
      <c r="G18" s="109"/>
      <c r="H18" s="109"/>
      <c r="I18" s="109"/>
      <c r="J18" s="75">
        <f>SUM(E18:I18)</f>
        <v>0</v>
      </c>
      <c r="K18" s="75">
        <f>IF(D18=0,C18+J18,D18+J18)</f>
        <v>0</v>
      </c>
      <c r="L18" s="109"/>
      <c r="M18" s="110"/>
      <c r="N18" s="128"/>
    </row>
    <row r="19" spans="1:14" ht="12.75" customHeight="1" x14ac:dyDescent="0.25">
      <c r="A19" s="139" t="s">
        <v>1362</v>
      </c>
      <c r="B19" s="73"/>
      <c r="C19" s="305">
        <f t="shared" ref="C19:I19" si="3">SUM(C16:C18)</f>
        <v>270759204</v>
      </c>
      <c r="D19" s="151">
        <f t="shared" si="3"/>
        <v>0</v>
      </c>
      <c r="E19" s="151">
        <f t="shared" si="3"/>
        <v>0</v>
      </c>
      <c r="F19" s="151">
        <f t="shared" si="3"/>
        <v>0</v>
      </c>
      <c r="G19" s="151">
        <f t="shared" si="3"/>
        <v>0</v>
      </c>
      <c r="H19" s="151">
        <f t="shared" si="3"/>
        <v>0</v>
      </c>
      <c r="I19" s="151">
        <f t="shared" si="3"/>
        <v>300000000</v>
      </c>
      <c r="J19" s="151">
        <f>J13</f>
        <v>300000000</v>
      </c>
      <c r="K19" s="151">
        <f>K13</f>
        <v>570759204</v>
      </c>
      <c r="L19" s="151">
        <f>SUM(L16:L18)</f>
        <v>620759204</v>
      </c>
      <c r="M19" s="152">
        <f>SUM(M16:M18)</f>
        <v>670759204</v>
      </c>
      <c r="N19" s="128"/>
    </row>
    <row r="20" spans="1:14" ht="12.75" customHeight="1" x14ac:dyDescent="0.25">
      <c r="A20" s="126" t="s">
        <v>1363</v>
      </c>
      <c r="B20" s="73"/>
      <c r="C20" s="74"/>
      <c r="D20" s="75"/>
      <c r="E20" s="75"/>
      <c r="F20" s="75"/>
      <c r="G20" s="75"/>
      <c r="H20" s="75"/>
      <c r="I20" s="75"/>
      <c r="J20" s="75"/>
      <c r="K20" s="75"/>
      <c r="L20" s="75"/>
      <c r="M20" s="76"/>
      <c r="N20" s="128"/>
    </row>
    <row r="21" spans="1:14" ht="12.75" customHeight="1" x14ac:dyDescent="0.25">
      <c r="A21" s="30" t="s">
        <v>1364</v>
      </c>
      <c r="B21" s="73"/>
      <c r="C21" s="130">
        <v>8597386859.1300011</v>
      </c>
      <c r="D21" s="109"/>
      <c r="E21" s="109"/>
      <c r="F21" s="109"/>
      <c r="G21" s="109"/>
      <c r="H21" s="109">
        <v>42808656</v>
      </c>
      <c r="I21" s="109">
        <f>-H21+46164337</f>
        <v>3355681</v>
      </c>
      <c r="J21" s="75">
        <f>SUM(E21:I21)</f>
        <v>46164337</v>
      </c>
      <c r="K21" s="75">
        <f>IF(D21=0,C21+J21,D21+J21)</f>
        <v>8643551196.1300011</v>
      </c>
      <c r="L21" s="109">
        <v>9193234859.1300011</v>
      </c>
      <c r="M21" s="110">
        <v>9830930809.1300011</v>
      </c>
      <c r="N21" s="128"/>
    </row>
    <row r="22" spans="1:14" ht="12.75" customHeight="1" x14ac:dyDescent="0.25">
      <c r="A22" s="30" t="s">
        <v>1365</v>
      </c>
      <c r="B22" s="73">
        <v>2</v>
      </c>
      <c r="C22" s="130">
        <v>0</v>
      </c>
      <c r="D22" s="109"/>
      <c r="E22" s="109"/>
      <c r="F22" s="109"/>
      <c r="G22" s="109"/>
      <c r="H22" s="109"/>
      <c r="I22" s="109"/>
      <c r="J22" s="75">
        <f>SUM(E22:I22)</f>
        <v>0</v>
      </c>
      <c r="K22" s="75">
        <f>IF(D22=0,C22+J22,D22+J22)</f>
        <v>0</v>
      </c>
      <c r="L22" s="109">
        <v>0</v>
      </c>
      <c r="M22" s="110">
        <v>0</v>
      </c>
      <c r="N22" s="128"/>
    </row>
    <row r="23" spans="1:14" ht="12.75" customHeight="1" x14ac:dyDescent="0.25">
      <c r="A23" s="848" t="s">
        <v>1366</v>
      </c>
      <c r="B23" s="73"/>
      <c r="C23" s="130">
        <v>956528389.72000003</v>
      </c>
      <c r="D23" s="109"/>
      <c r="E23" s="109"/>
      <c r="F23" s="109"/>
      <c r="G23" s="109"/>
      <c r="H23" s="109"/>
      <c r="I23" s="109"/>
      <c r="J23" s="75">
        <f>SUM(E23:I23)</f>
        <v>0</v>
      </c>
      <c r="K23" s="75">
        <f>IF(D23=0,C23+J23,D23+J23)</f>
        <v>956528389.72000003</v>
      </c>
      <c r="L23" s="109">
        <v>1174853389.72</v>
      </c>
      <c r="M23" s="110">
        <v>1406932864.72</v>
      </c>
      <c r="N23" s="128"/>
    </row>
    <row r="24" spans="1:14" ht="12.75" customHeight="1" x14ac:dyDescent="0.25">
      <c r="A24" s="306" t="str">
        <f>"Total "&amp;A20</f>
        <v>Total Property, plant &amp; equipment</v>
      </c>
      <c r="B24" s="154">
        <v>1</v>
      </c>
      <c r="C24" s="80">
        <f>SUM(C21:C22)-C23</f>
        <v>7640858469.4100008</v>
      </c>
      <c r="D24" s="81">
        <f t="shared" ref="D24:K24" si="4">SUM(D21:D22)-D23</f>
        <v>0</v>
      </c>
      <c r="E24" s="81">
        <f t="shared" si="4"/>
        <v>0</v>
      </c>
      <c r="F24" s="81">
        <f t="shared" si="4"/>
        <v>0</v>
      </c>
      <c r="G24" s="81">
        <f t="shared" si="4"/>
        <v>0</v>
      </c>
      <c r="H24" s="81">
        <f t="shared" si="4"/>
        <v>42808656</v>
      </c>
      <c r="I24" s="81">
        <f t="shared" si="4"/>
        <v>3355681</v>
      </c>
      <c r="J24" s="81">
        <f t="shared" si="4"/>
        <v>46164337</v>
      </c>
      <c r="K24" s="81">
        <f t="shared" si="4"/>
        <v>7687022806.4100008</v>
      </c>
      <c r="L24" s="81">
        <f>SUM(L21:L22)-L23</f>
        <v>8018381469.4100008</v>
      </c>
      <c r="M24" s="82">
        <f>SUM(M21:M22)-M23</f>
        <v>8423997944.4100008</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758</v>
      </c>
      <c r="B26" s="73"/>
      <c r="C26" s="140"/>
      <c r="D26" s="141"/>
      <c r="E26" s="141"/>
      <c r="F26" s="141"/>
      <c r="G26" s="141"/>
      <c r="H26" s="141"/>
      <c r="I26" s="141"/>
      <c r="J26" s="141"/>
      <c r="K26" s="141"/>
      <c r="L26" s="141"/>
      <c r="M26" s="142"/>
      <c r="N26" s="128"/>
    </row>
    <row r="27" spans="1:14" ht="12.75" customHeight="1" x14ac:dyDescent="0.25">
      <c r="A27" s="126" t="s">
        <v>1367</v>
      </c>
      <c r="B27" s="73"/>
      <c r="C27" s="74"/>
      <c r="D27" s="75"/>
      <c r="E27" s="75"/>
      <c r="F27" s="75"/>
      <c r="G27" s="75"/>
      <c r="H27" s="75"/>
      <c r="I27" s="75"/>
      <c r="J27" s="75"/>
      <c r="K27" s="75"/>
      <c r="L27" s="75"/>
      <c r="M27" s="76"/>
      <c r="N27" s="128"/>
    </row>
    <row r="28" spans="1:14" ht="12.75" customHeight="1" x14ac:dyDescent="0.25">
      <c r="A28" s="129" t="s">
        <v>1368</v>
      </c>
      <c r="B28" s="73"/>
      <c r="C28" s="130">
        <v>2498679</v>
      </c>
      <c r="D28" s="109"/>
      <c r="E28" s="109"/>
      <c r="F28" s="109"/>
      <c r="G28" s="109"/>
      <c r="H28" s="109"/>
      <c r="I28" s="109"/>
      <c r="J28" s="75">
        <f>SUM(E28:I28)</f>
        <v>0</v>
      </c>
      <c r="K28" s="75">
        <f>IF(D28=0,C28+J28,D28+J28)</f>
        <v>2498679</v>
      </c>
      <c r="L28" s="109">
        <v>2498679</v>
      </c>
      <c r="M28" s="110">
        <v>2498679</v>
      </c>
      <c r="N28" s="128"/>
    </row>
    <row r="29" spans="1:14" ht="12.75" customHeight="1" x14ac:dyDescent="0.25">
      <c r="A29" s="129" t="s">
        <v>1369</v>
      </c>
      <c r="B29" s="73"/>
      <c r="C29" s="130">
        <v>69293587</v>
      </c>
      <c r="D29" s="109"/>
      <c r="E29" s="109"/>
      <c r="F29" s="109"/>
      <c r="G29" s="109"/>
      <c r="H29" s="109"/>
      <c r="I29" s="109"/>
      <c r="J29" s="75">
        <f>SUM(E29:I29)</f>
        <v>0</v>
      </c>
      <c r="K29" s="75">
        <f>IF(D29=0,C29+J29,D29+J29)</f>
        <v>69293587</v>
      </c>
      <c r="L29" s="109">
        <v>68793587</v>
      </c>
      <c r="M29" s="110">
        <v>68793587</v>
      </c>
      <c r="N29" s="128"/>
    </row>
    <row r="30" spans="1:14" ht="12.75" customHeight="1" x14ac:dyDescent="0.25">
      <c r="A30" s="139" t="str">
        <f>"Total "&amp;A27</f>
        <v>Total Current liabilities - Borrowing</v>
      </c>
      <c r="B30" s="73"/>
      <c r="C30" s="305">
        <f t="shared" ref="C30:M30" si="5">SUM(C28:C29)</f>
        <v>71792266</v>
      </c>
      <c r="D30" s="151">
        <f t="shared" si="5"/>
        <v>0</v>
      </c>
      <c r="E30" s="151">
        <f t="shared" si="5"/>
        <v>0</v>
      </c>
      <c r="F30" s="151">
        <f t="shared" si="5"/>
        <v>0</v>
      </c>
      <c r="G30" s="151">
        <f t="shared" si="5"/>
        <v>0</v>
      </c>
      <c r="H30" s="151">
        <f t="shared" si="5"/>
        <v>0</v>
      </c>
      <c r="I30" s="151">
        <f t="shared" si="5"/>
        <v>0</v>
      </c>
      <c r="J30" s="151">
        <f t="shared" si="5"/>
        <v>0</v>
      </c>
      <c r="K30" s="151">
        <f t="shared" si="5"/>
        <v>71792266</v>
      </c>
      <c r="L30" s="151">
        <f t="shared" si="5"/>
        <v>71292266</v>
      </c>
      <c r="M30" s="152">
        <f t="shared" si="5"/>
        <v>71292266</v>
      </c>
      <c r="N30" s="128"/>
    </row>
    <row r="31" spans="1:14" ht="12.75" customHeight="1" x14ac:dyDescent="0.25">
      <c r="A31" s="126" t="s">
        <v>762</v>
      </c>
      <c r="B31" s="73"/>
      <c r="C31" s="74"/>
      <c r="D31" s="75"/>
      <c r="E31" s="75"/>
      <c r="F31" s="75"/>
      <c r="G31" s="75"/>
      <c r="H31" s="75"/>
      <c r="I31" s="75"/>
      <c r="J31" s="75"/>
      <c r="K31" s="75"/>
      <c r="L31" s="75"/>
      <c r="M31" s="76"/>
      <c r="N31" s="128"/>
    </row>
    <row r="32" spans="1:14" ht="12.75" customHeight="1" x14ac:dyDescent="0.25">
      <c r="A32" s="30" t="s">
        <v>1370</v>
      </c>
      <c r="B32" s="73"/>
      <c r="C32" s="130">
        <v>390000000</v>
      </c>
      <c r="D32" s="109"/>
      <c r="E32" s="109"/>
      <c r="F32" s="109"/>
      <c r="G32" s="109"/>
      <c r="H32" s="109"/>
      <c r="I32" s="109">
        <v>109809000</v>
      </c>
      <c r="J32" s="75">
        <f>SUM(E32:I32)</f>
        <v>109809000</v>
      </c>
      <c r="K32" s="75">
        <f>IF(D32=0,C32+J32,D32+J32)</f>
        <v>499809000</v>
      </c>
      <c r="L32" s="109">
        <v>360000000</v>
      </c>
      <c r="M32" s="110">
        <v>370000000</v>
      </c>
      <c r="N32" s="128"/>
    </row>
    <row r="33" spans="1:14" ht="12.75" customHeight="1" x14ac:dyDescent="0.25">
      <c r="A33" s="30" t="s">
        <v>1371</v>
      </c>
      <c r="B33" s="73"/>
      <c r="C33" s="130">
        <v>330000000</v>
      </c>
      <c r="D33" s="109"/>
      <c r="E33" s="109"/>
      <c r="F33" s="109"/>
      <c r="G33" s="109"/>
      <c r="H33" s="109"/>
      <c r="I33" s="109">
        <f>-330000000+17500000</f>
        <v>-312500000</v>
      </c>
      <c r="J33" s="75">
        <f>SUM(E33:I33)</f>
        <v>-312500000</v>
      </c>
      <c r="K33" s="75">
        <f>IF(D33=0,C33+J33,D33+J33)</f>
        <v>17500000</v>
      </c>
      <c r="L33" s="109">
        <v>300000000</v>
      </c>
      <c r="M33" s="110">
        <v>295000000</v>
      </c>
      <c r="N33" s="128"/>
    </row>
    <row r="34" spans="1:14" ht="12.75" customHeight="1" x14ac:dyDescent="0.25">
      <c r="A34" s="30" t="s">
        <v>1372</v>
      </c>
      <c r="B34" s="73"/>
      <c r="C34" s="130"/>
      <c r="D34" s="109"/>
      <c r="E34" s="109"/>
      <c r="F34" s="109"/>
      <c r="G34" s="109"/>
      <c r="H34" s="109"/>
      <c r="I34" s="109"/>
      <c r="J34" s="75">
        <f>SUM(E34:I34)</f>
        <v>0</v>
      </c>
      <c r="K34" s="75">
        <f>IF(D34=0,C34+J34,D34+J34)</f>
        <v>0</v>
      </c>
      <c r="L34" s="109">
        <v>0</v>
      </c>
      <c r="M34" s="110">
        <v>0</v>
      </c>
      <c r="N34" s="128"/>
    </row>
    <row r="35" spans="1:14" ht="12.75" customHeight="1" x14ac:dyDescent="0.25">
      <c r="A35" s="139" t="str">
        <f>"Total "&amp;A31</f>
        <v>Total Trade and other payables</v>
      </c>
      <c r="B35" s="73">
        <v>1</v>
      </c>
      <c r="C35" s="305">
        <f t="shared" ref="C35:M35" si="6">SUM(C32:C34)</f>
        <v>720000000</v>
      </c>
      <c r="D35" s="151">
        <f t="shared" si="6"/>
        <v>0</v>
      </c>
      <c r="E35" s="151">
        <f t="shared" si="6"/>
        <v>0</v>
      </c>
      <c r="F35" s="151">
        <f t="shared" si="6"/>
        <v>0</v>
      </c>
      <c r="G35" s="151">
        <f t="shared" si="6"/>
        <v>0</v>
      </c>
      <c r="H35" s="151">
        <f t="shared" si="6"/>
        <v>0</v>
      </c>
      <c r="I35" s="151">
        <f t="shared" si="6"/>
        <v>-202691000</v>
      </c>
      <c r="J35" s="151">
        <f t="shared" si="6"/>
        <v>-202691000</v>
      </c>
      <c r="K35" s="151">
        <f t="shared" si="6"/>
        <v>517309000</v>
      </c>
      <c r="L35" s="151">
        <f t="shared" si="6"/>
        <v>660000000</v>
      </c>
      <c r="M35" s="152">
        <f t="shared" si="6"/>
        <v>665000000</v>
      </c>
      <c r="N35" s="128"/>
    </row>
    <row r="36" spans="1:14" ht="12.75" customHeight="1" x14ac:dyDescent="0.25">
      <c r="A36" s="126" t="s">
        <v>1373</v>
      </c>
      <c r="B36" s="73"/>
      <c r="C36" s="74"/>
      <c r="D36" s="75"/>
      <c r="E36" s="75"/>
      <c r="F36" s="75"/>
      <c r="G36" s="75"/>
      <c r="H36" s="75"/>
      <c r="I36" s="75"/>
      <c r="J36" s="75"/>
      <c r="K36" s="75"/>
      <c r="L36" s="75"/>
      <c r="M36" s="76"/>
      <c r="N36" s="128"/>
    </row>
    <row r="37" spans="1:14" ht="12.75" customHeight="1" x14ac:dyDescent="0.25">
      <c r="A37" s="129" t="s">
        <v>613</v>
      </c>
      <c r="B37" s="73">
        <v>3</v>
      </c>
      <c r="C37" s="130">
        <v>237295970</v>
      </c>
      <c r="D37" s="109"/>
      <c r="E37" s="109"/>
      <c r="F37" s="109"/>
      <c r="G37" s="109"/>
      <c r="H37" s="109"/>
      <c r="I37" s="109"/>
      <c r="J37" s="75">
        <f>SUM(E37:I37)</f>
        <v>0</v>
      </c>
      <c r="K37" s="75">
        <f>IF(D37=0,C37+J37,D37+J37)</f>
        <v>237295970</v>
      </c>
      <c r="L37" s="109">
        <v>166003704</v>
      </c>
      <c r="M37" s="110">
        <v>94711438</v>
      </c>
      <c r="N37" s="128"/>
    </row>
    <row r="38" spans="1:14" ht="12.75" customHeight="1" x14ac:dyDescent="0.25">
      <c r="A38" s="129" t="s">
        <v>1374</v>
      </c>
      <c r="B38" s="73"/>
      <c r="C38" s="130"/>
      <c r="D38" s="109"/>
      <c r="E38" s="109"/>
      <c r="F38" s="109"/>
      <c r="G38" s="109"/>
      <c r="H38" s="109"/>
      <c r="I38" s="109"/>
      <c r="J38" s="75">
        <f>SUM(E38:I38)</f>
        <v>0</v>
      </c>
      <c r="K38" s="75">
        <f>IF(D38=0,C38+J38,D38+J38)</f>
        <v>0</v>
      </c>
      <c r="L38" s="109">
        <v>0</v>
      </c>
      <c r="M38" s="110">
        <v>0</v>
      </c>
      <c r="N38" s="128"/>
    </row>
    <row r="39" spans="1:14" ht="12.75" customHeight="1" x14ac:dyDescent="0.25">
      <c r="A39" s="139" t="str">
        <f>"Total "&amp;A36</f>
        <v>Total Non current liabilities - Borrowing</v>
      </c>
      <c r="B39" s="73"/>
      <c r="C39" s="305">
        <f t="shared" ref="C39:M39" si="7">SUM(C37:C38)</f>
        <v>237295970</v>
      </c>
      <c r="D39" s="151">
        <f t="shared" si="7"/>
        <v>0</v>
      </c>
      <c r="E39" s="151">
        <f t="shared" si="7"/>
        <v>0</v>
      </c>
      <c r="F39" s="151">
        <f t="shared" si="7"/>
        <v>0</v>
      </c>
      <c r="G39" s="151">
        <f t="shared" si="7"/>
        <v>0</v>
      </c>
      <c r="H39" s="151">
        <f t="shared" si="7"/>
        <v>0</v>
      </c>
      <c r="I39" s="151">
        <f t="shared" si="7"/>
        <v>0</v>
      </c>
      <c r="J39" s="151">
        <f t="shared" si="7"/>
        <v>0</v>
      </c>
      <c r="K39" s="151">
        <f t="shared" si="7"/>
        <v>237295970</v>
      </c>
      <c r="L39" s="151">
        <f t="shared" si="7"/>
        <v>166003704</v>
      </c>
      <c r="M39" s="152">
        <f t="shared" si="7"/>
        <v>94711438</v>
      </c>
      <c r="N39" s="128"/>
    </row>
    <row r="40" spans="1:14" ht="12.75" customHeight="1" x14ac:dyDescent="0.25">
      <c r="A40" s="126" t="s">
        <v>1375</v>
      </c>
      <c r="B40" s="73"/>
      <c r="C40" s="74"/>
      <c r="D40" s="75"/>
      <c r="E40" s="75"/>
      <c r="F40" s="75"/>
      <c r="G40" s="75"/>
      <c r="H40" s="75"/>
      <c r="I40" s="75"/>
      <c r="J40" s="75"/>
      <c r="K40" s="75"/>
      <c r="L40" s="75"/>
      <c r="M40" s="76"/>
      <c r="N40" s="128"/>
    </row>
    <row r="41" spans="1:14" ht="12.75" customHeight="1" x14ac:dyDescent="0.25">
      <c r="A41" s="129" t="s">
        <v>1376</v>
      </c>
      <c r="B41" s="73"/>
      <c r="C41" s="130">
        <v>186247000.25999999</v>
      </c>
      <c r="D41" s="109"/>
      <c r="E41" s="109"/>
      <c r="F41" s="109"/>
      <c r="G41" s="109"/>
      <c r="H41" s="109"/>
      <c r="I41" s="109"/>
      <c r="J41" s="75">
        <f>SUM(E41:I41)</f>
        <v>0</v>
      </c>
      <c r="K41" s="75">
        <f>IF(D41=0,C41+J41,D41+J41)</f>
        <v>186247000.25999999</v>
      </c>
      <c r="L41" s="109">
        <v>204888721</v>
      </c>
      <c r="M41" s="110">
        <v>246121371</v>
      </c>
      <c r="N41" s="128"/>
    </row>
    <row r="42" spans="1:14" ht="12.75" customHeight="1" x14ac:dyDescent="0.25">
      <c r="A42" s="307" t="s">
        <v>1377</v>
      </c>
      <c r="B42" s="73"/>
      <c r="C42" s="130"/>
      <c r="D42" s="109"/>
      <c r="E42" s="109"/>
      <c r="F42" s="109"/>
      <c r="G42" s="109"/>
      <c r="H42" s="109"/>
      <c r="I42" s="109"/>
      <c r="J42" s="75">
        <f>SUM(E42:I42)</f>
        <v>0</v>
      </c>
      <c r="K42" s="75">
        <f>IF(D42=0,C42+J42,D42+J42)</f>
        <v>0</v>
      </c>
      <c r="L42" s="109"/>
      <c r="M42" s="110"/>
      <c r="N42" s="128"/>
    </row>
    <row r="43" spans="1:14" ht="12.75" customHeight="1" x14ac:dyDescent="0.25">
      <c r="A43" s="129" t="s">
        <v>1378</v>
      </c>
      <c r="B43" s="73"/>
      <c r="C43" s="130">
        <v>4055135</v>
      </c>
      <c r="D43" s="109"/>
      <c r="E43" s="109"/>
      <c r="F43" s="109"/>
      <c r="G43" s="109"/>
      <c r="H43" s="109"/>
      <c r="I43" s="109"/>
      <c r="J43" s="75">
        <f>SUM(E43:I43)</f>
        <v>0</v>
      </c>
      <c r="K43" s="75">
        <f>IF(D43=0,C43+J43,D43+J43)</f>
        <v>4055135</v>
      </c>
      <c r="L43" s="109">
        <v>4460650</v>
      </c>
      <c r="M43" s="110">
        <v>4906700</v>
      </c>
      <c r="N43" s="128"/>
    </row>
    <row r="44" spans="1:14" ht="12.75" customHeight="1" x14ac:dyDescent="0.25">
      <c r="A44" s="129" t="s">
        <v>671</v>
      </c>
      <c r="B44" s="73"/>
      <c r="C44" s="130">
        <v>14536585.74000001</v>
      </c>
      <c r="D44" s="109"/>
      <c r="E44" s="109"/>
      <c r="F44" s="109"/>
      <c r="G44" s="109"/>
      <c r="H44" s="109"/>
      <c r="I44" s="109"/>
      <c r="J44" s="75">
        <f>SUM(E44:I44)</f>
        <v>0</v>
      </c>
      <c r="K44" s="75">
        <f>IF(D44=0,C44+J44,D44+J44)</f>
        <v>14536585.74000001</v>
      </c>
      <c r="L44" s="109">
        <v>36722000</v>
      </c>
      <c r="M44" s="110">
        <v>40438000</v>
      </c>
      <c r="N44" s="128"/>
    </row>
    <row r="45" spans="1:14" ht="12.75" customHeight="1" x14ac:dyDescent="0.25">
      <c r="A45" s="306" t="str">
        <f>"Total "&amp;A40</f>
        <v>Total Provisions - non current</v>
      </c>
      <c r="B45" s="154"/>
      <c r="C45" s="80">
        <f>SUM(C41:C44)</f>
        <v>204838721</v>
      </c>
      <c r="D45" s="81">
        <f t="shared" ref="D45:M45" si="8">SUM(D41:D44)</f>
        <v>0</v>
      </c>
      <c r="E45" s="81">
        <f t="shared" si="8"/>
        <v>0</v>
      </c>
      <c r="F45" s="81">
        <f t="shared" si="8"/>
        <v>0</v>
      </c>
      <c r="G45" s="81">
        <f t="shared" si="8"/>
        <v>0</v>
      </c>
      <c r="H45" s="81">
        <f t="shared" si="8"/>
        <v>0</v>
      </c>
      <c r="I45" s="81">
        <f t="shared" si="8"/>
        <v>0</v>
      </c>
      <c r="J45" s="81">
        <f t="shared" si="8"/>
        <v>0</v>
      </c>
      <c r="K45" s="81">
        <f t="shared" si="8"/>
        <v>204838721</v>
      </c>
      <c r="L45" s="81">
        <f t="shared" si="8"/>
        <v>246071371</v>
      </c>
      <c r="M45" s="82">
        <f t="shared" si="8"/>
        <v>291466071</v>
      </c>
      <c r="N45" s="128"/>
    </row>
    <row r="46" spans="1:14" ht="5.0999999999999996" customHeight="1" x14ac:dyDescent="0.25">
      <c r="A46" s="136"/>
      <c r="B46" s="73"/>
      <c r="C46" s="74"/>
      <c r="D46" s="75"/>
      <c r="E46" s="75"/>
      <c r="F46" s="75"/>
      <c r="G46" s="75"/>
      <c r="H46" s="75"/>
      <c r="I46" s="75"/>
      <c r="J46" s="75"/>
      <c r="K46" s="75"/>
      <c r="L46" s="75"/>
      <c r="M46" s="76"/>
      <c r="N46" s="128"/>
    </row>
    <row r="47" spans="1:14" ht="12.75" customHeight="1" x14ac:dyDescent="0.25">
      <c r="A47" s="51" t="s">
        <v>1379</v>
      </c>
      <c r="B47" s="73"/>
      <c r="C47" s="74"/>
      <c r="D47" s="75"/>
      <c r="E47" s="75"/>
      <c r="F47" s="75"/>
      <c r="G47" s="75"/>
      <c r="H47" s="75"/>
      <c r="I47" s="75"/>
      <c r="J47" s="75"/>
      <c r="K47" s="75"/>
      <c r="L47" s="75"/>
      <c r="M47" s="76"/>
      <c r="N47" s="128"/>
    </row>
    <row r="48" spans="1:14" ht="12.75" customHeight="1" x14ac:dyDescent="0.25">
      <c r="A48" s="52" t="s">
        <v>1380</v>
      </c>
      <c r="B48" s="73"/>
      <c r="C48" s="74"/>
      <c r="D48" s="75"/>
      <c r="E48" s="75"/>
      <c r="F48" s="75"/>
      <c r="G48" s="75"/>
      <c r="H48" s="75"/>
      <c r="I48" s="75"/>
      <c r="J48" s="75"/>
      <c r="K48" s="75"/>
      <c r="L48" s="75"/>
      <c r="M48" s="76"/>
      <c r="N48" s="128"/>
    </row>
    <row r="49" spans="1:14" ht="12.75" customHeight="1" x14ac:dyDescent="0.25">
      <c r="A49" s="30" t="str">
        <f>A48&amp;" - opening balance"</f>
        <v>Accumulated surplus/(Deficit) - opening balance</v>
      </c>
      <c r="B49" s="73"/>
      <c r="C49" s="935">
        <f>5567532591.866</f>
        <v>5567532591.8660002</v>
      </c>
      <c r="D49" s="936"/>
      <c r="E49" s="936"/>
      <c r="F49" s="936"/>
      <c r="G49" s="936"/>
      <c r="H49" s="936"/>
      <c r="I49" s="936"/>
      <c r="J49" s="75">
        <f>SUM(E49:I49)</f>
        <v>0</v>
      </c>
      <c r="K49" s="75">
        <f>IF(D49=0,C49+J49,D49+J49)</f>
        <v>5567532591.8660002</v>
      </c>
      <c r="L49" s="936">
        <v>6164724993.1279898</v>
      </c>
      <c r="M49" s="937">
        <v>6641585099.19557</v>
      </c>
      <c r="N49" s="128"/>
    </row>
    <row r="50" spans="1:14" ht="12.75" customHeight="1" x14ac:dyDescent="0.25">
      <c r="A50" s="30" t="s">
        <v>1381</v>
      </c>
      <c r="B50" s="73"/>
      <c r="C50" s="130"/>
      <c r="D50" s="109"/>
      <c r="E50" s="109"/>
      <c r="F50" s="109"/>
      <c r="G50" s="109"/>
      <c r="H50" s="109"/>
      <c r="I50" s="109"/>
      <c r="J50" s="75">
        <f>SUM(E50:I50)</f>
        <v>0</v>
      </c>
      <c r="K50" s="75">
        <f>IF(D50=0,C50+J50,D50+J50)</f>
        <v>0</v>
      </c>
      <c r="L50" s="109"/>
      <c r="M50" s="110"/>
      <c r="N50" s="128"/>
    </row>
    <row r="51" spans="1:14" ht="12.75" customHeight="1" x14ac:dyDescent="0.25">
      <c r="A51" s="30" t="s">
        <v>1382</v>
      </c>
      <c r="B51" s="73"/>
      <c r="C51" s="130"/>
      <c r="D51" s="109"/>
      <c r="E51" s="109"/>
      <c r="F51" s="109"/>
      <c r="G51" s="109"/>
      <c r="H51" s="109"/>
      <c r="I51" s="109"/>
      <c r="J51" s="75">
        <f>SUM(E51:I51)</f>
        <v>0</v>
      </c>
      <c r="K51" s="75">
        <f>IF(D51=0,C51+J51,D51+J51)</f>
        <v>0</v>
      </c>
      <c r="L51" s="109"/>
      <c r="M51" s="110"/>
      <c r="N51" s="128"/>
    </row>
    <row r="52" spans="1:14" ht="12.75" customHeight="1" x14ac:dyDescent="0.25">
      <c r="A52" s="30" t="s">
        <v>1383</v>
      </c>
      <c r="B52" s="73"/>
      <c r="C52" s="130"/>
      <c r="D52" s="109"/>
      <c r="E52" s="109"/>
      <c r="F52" s="109"/>
      <c r="G52" s="109"/>
      <c r="H52" s="109"/>
      <c r="I52" s="1279"/>
      <c r="J52" s="75">
        <f>SUM(E52:I52)</f>
        <v>0</v>
      </c>
      <c r="K52" s="75">
        <f>IF(D52=0,C52+J52,D52+J52)</f>
        <v>0</v>
      </c>
      <c r="L52" s="109"/>
      <c r="M52" s="110"/>
      <c r="N52" s="128"/>
    </row>
    <row r="53" spans="1:14" ht="12.75" customHeight="1" x14ac:dyDescent="0.25">
      <c r="A53" s="30" t="s">
        <v>1384</v>
      </c>
      <c r="B53" s="73"/>
      <c r="C53" s="130">
        <f>582191000-0.436000823974609</f>
        <v>582190999.56399918</v>
      </c>
      <c r="D53" s="109"/>
      <c r="E53" s="109"/>
      <c r="F53" s="109"/>
      <c r="G53" s="109"/>
      <c r="H53" s="109">
        <v>42808657</v>
      </c>
      <c r="I53" s="109">
        <v>-274587388</v>
      </c>
      <c r="J53" s="75">
        <f>SUM(E53:I53)</f>
        <v>-231778731</v>
      </c>
      <c r="K53" s="75">
        <f>IF(D53=0,C53+J53,D53+J53)</f>
        <v>350412268.56399918</v>
      </c>
      <c r="L53" s="1282">
        <v>335757941.30200958</v>
      </c>
      <c r="M53" s="1282">
        <v>452040876.23443031</v>
      </c>
      <c r="N53" s="128"/>
    </row>
    <row r="54" spans="1:14" ht="12.75" customHeight="1" x14ac:dyDescent="0.25">
      <c r="A54" s="139" t="s">
        <v>768</v>
      </c>
      <c r="B54" s="73">
        <v>1</v>
      </c>
      <c r="C54" s="80">
        <f>SUM(C49:C53)</f>
        <v>6149723591.4299994</v>
      </c>
      <c r="D54" s="81">
        <f t="shared" ref="D54:M54" si="9">SUM(D49:D53)</f>
        <v>0</v>
      </c>
      <c r="E54" s="81">
        <f t="shared" si="9"/>
        <v>0</v>
      </c>
      <c r="F54" s="81">
        <f t="shared" si="9"/>
        <v>0</v>
      </c>
      <c r="G54" s="81">
        <f t="shared" si="9"/>
        <v>0</v>
      </c>
      <c r="H54" s="81">
        <f t="shared" si="9"/>
        <v>42808657</v>
      </c>
      <c r="I54" s="81">
        <f>SUM(I49:I53)</f>
        <v>-274587388</v>
      </c>
      <c r="J54" s="81">
        <f t="shared" si="9"/>
        <v>-231778731</v>
      </c>
      <c r="K54" s="81">
        <f t="shared" si="9"/>
        <v>5917944860.4299994</v>
      </c>
      <c r="L54" s="81">
        <f t="shared" si="9"/>
        <v>6500482934.4299994</v>
      </c>
      <c r="M54" s="82">
        <f t="shared" si="9"/>
        <v>7093625975.4300003</v>
      </c>
      <c r="N54" s="128"/>
    </row>
    <row r="55" spans="1:14" ht="12.75" customHeight="1" x14ac:dyDescent="0.25">
      <c r="A55" s="126" t="s">
        <v>769</v>
      </c>
      <c r="B55" s="115"/>
      <c r="C55" s="74"/>
      <c r="D55" s="75"/>
      <c r="E55" s="75"/>
      <c r="F55" s="75"/>
      <c r="G55" s="75"/>
      <c r="H55" s="75"/>
      <c r="I55" s="75"/>
      <c r="J55" s="75"/>
      <c r="K55" s="75"/>
      <c r="L55" s="75"/>
      <c r="M55" s="76"/>
      <c r="N55" s="128"/>
    </row>
    <row r="56" spans="1:14" ht="12.75" customHeight="1" x14ac:dyDescent="0.25">
      <c r="A56" s="30" t="s">
        <v>1385</v>
      </c>
      <c r="B56" s="137"/>
      <c r="C56" s="130">
        <v>10394441.98</v>
      </c>
      <c r="D56" s="109"/>
      <c r="E56" s="109"/>
      <c r="F56" s="109"/>
      <c r="G56" s="109"/>
      <c r="H56" s="109"/>
      <c r="I56" s="109">
        <v>-10394000</v>
      </c>
      <c r="J56" s="75">
        <f>SUM(E56:I56)</f>
        <v>-10394000</v>
      </c>
      <c r="K56" s="75">
        <f>IF(D56=0,C56+J56,D56+J56)</f>
        <v>441.98000000044703</v>
      </c>
      <c r="L56" s="1279">
        <v>0</v>
      </c>
      <c r="M56" s="110">
        <v>0</v>
      </c>
      <c r="N56" s="128"/>
    </row>
    <row r="57" spans="1:14" ht="12.75" customHeight="1" x14ac:dyDescent="0.25">
      <c r="A57" s="30" t="s">
        <v>1386</v>
      </c>
      <c r="B57" s="73"/>
      <c r="C57" s="130"/>
      <c r="D57" s="109"/>
      <c r="E57" s="109"/>
      <c r="F57" s="109"/>
      <c r="G57" s="109"/>
      <c r="H57" s="109"/>
      <c r="I57" s="109"/>
      <c r="J57" s="75">
        <f>SUM(E57:I57)</f>
        <v>0</v>
      </c>
      <c r="K57" s="75">
        <f>IF(D57=0,C57+J57,D57+J57)</f>
        <v>0</v>
      </c>
      <c r="L57" s="109">
        <v>0</v>
      </c>
      <c r="M57" s="110">
        <v>0</v>
      </c>
      <c r="N57" s="128"/>
    </row>
    <row r="58" spans="1:14" ht="12.75" customHeight="1" x14ac:dyDescent="0.25">
      <c r="A58" s="30" t="s">
        <v>1387</v>
      </c>
      <c r="B58" s="73"/>
      <c r="C58" s="130">
        <v>0</v>
      </c>
      <c r="D58" s="109"/>
      <c r="E58" s="109"/>
      <c r="F58" s="109"/>
      <c r="G58" s="109"/>
      <c r="H58" s="109"/>
      <c r="I58" s="109"/>
      <c r="J58" s="75">
        <f>SUM(E58:I58)</f>
        <v>0</v>
      </c>
      <c r="K58" s="75">
        <f>IF(D58=0,C58+J58,D58+J58)</f>
        <v>0</v>
      </c>
      <c r="L58" s="109">
        <v>0</v>
      </c>
      <c r="M58" s="110">
        <v>0</v>
      </c>
      <c r="N58" s="128"/>
    </row>
    <row r="59" spans="1:14" ht="12.75" customHeight="1" x14ac:dyDescent="0.25">
      <c r="A59" s="486" t="s">
        <v>575</v>
      </c>
      <c r="B59" s="73"/>
      <c r="C59" s="130">
        <v>0</v>
      </c>
      <c r="D59" s="109"/>
      <c r="E59" s="109"/>
      <c r="F59" s="109"/>
      <c r="G59" s="109"/>
      <c r="H59" s="109"/>
      <c r="I59" s="109"/>
      <c r="J59" s="75">
        <f>SUM(E59:I59)</f>
        <v>0</v>
      </c>
      <c r="K59" s="75">
        <f>IF(D59=0,C59+J59,D59+J59)</f>
        <v>0</v>
      </c>
      <c r="L59" s="109">
        <v>0</v>
      </c>
      <c r="M59" s="110">
        <v>0</v>
      </c>
      <c r="N59" s="128"/>
    </row>
    <row r="60" spans="1:14" ht="12.75" customHeight="1" x14ac:dyDescent="0.25">
      <c r="A60" s="30" t="s">
        <v>1388</v>
      </c>
      <c r="B60" s="73"/>
      <c r="C60" s="130">
        <v>1718739268</v>
      </c>
      <c r="D60" s="109"/>
      <c r="E60" s="109"/>
      <c r="F60" s="109"/>
      <c r="G60" s="109"/>
      <c r="H60" s="109">
        <v>-1</v>
      </c>
      <c r="I60" s="109"/>
      <c r="J60" s="75">
        <f>SUM(E60:I60)</f>
        <v>-1</v>
      </c>
      <c r="K60" s="75">
        <f>IF(D60=0,C60+J60,D60+J60)</f>
        <v>1718739267</v>
      </c>
      <c r="L60" s="109">
        <f>1518739268+10344441.98</f>
        <v>1529083709.98</v>
      </c>
      <c r="M60" s="110">
        <f>1318739268+10294441.98</f>
        <v>1329033709.98</v>
      </c>
      <c r="N60" s="128"/>
    </row>
    <row r="61" spans="1:14" ht="12.75" customHeight="1" x14ac:dyDescent="0.25">
      <c r="A61" s="306" t="s">
        <v>1389</v>
      </c>
      <c r="B61" s="154">
        <v>2</v>
      </c>
      <c r="C61" s="80">
        <f t="shared" ref="C61:M61" si="10">SUM(C56:C60)</f>
        <v>1729133709.98</v>
      </c>
      <c r="D61" s="81">
        <f t="shared" si="10"/>
        <v>0</v>
      </c>
      <c r="E61" s="81">
        <f t="shared" si="10"/>
        <v>0</v>
      </c>
      <c r="F61" s="81">
        <f t="shared" si="10"/>
        <v>0</v>
      </c>
      <c r="G61" s="81">
        <f t="shared" si="10"/>
        <v>0</v>
      </c>
      <c r="H61" s="81">
        <f t="shared" si="10"/>
        <v>-1</v>
      </c>
      <c r="I61" s="81">
        <f t="shared" si="10"/>
        <v>-10394000</v>
      </c>
      <c r="J61" s="81">
        <f t="shared" si="10"/>
        <v>-10394001</v>
      </c>
      <c r="K61" s="81">
        <f t="shared" si="10"/>
        <v>1718739708.98</v>
      </c>
      <c r="L61" s="81">
        <f t="shared" si="10"/>
        <v>1529083709.98</v>
      </c>
      <c r="M61" s="82">
        <f t="shared" si="10"/>
        <v>1329033709.98</v>
      </c>
      <c r="N61" s="128"/>
    </row>
    <row r="62" spans="1:14" ht="12.75" customHeight="1" x14ac:dyDescent="0.25">
      <c r="A62" s="155" t="s">
        <v>770</v>
      </c>
      <c r="B62" s="156">
        <v>2</v>
      </c>
      <c r="C62" s="157">
        <f t="shared" ref="C62:M62" si="11">C54+C61</f>
        <v>7878857301.4099998</v>
      </c>
      <c r="D62" s="117">
        <f t="shared" si="11"/>
        <v>0</v>
      </c>
      <c r="E62" s="117">
        <f t="shared" si="11"/>
        <v>0</v>
      </c>
      <c r="F62" s="117">
        <f t="shared" si="11"/>
        <v>0</v>
      </c>
      <c r="G62" s="117">
        <f t="shared" si="11"/>
        <v>0</v>
      </c>
      <c r="H62" s="117">
        <f t="shared" si="11"/>
        <v>42808656</v>
      </c>
      <c r="I62" s="117">
        <f t="shared" si="11"/>
        <v>-284981388</v>
      </c>
      <c r="J62" s="117">
        <f t="shared" si="11"/>
        <v>-242172732</v>
      </c>
      <c r="K62" s="117">
        <f t="shared" si="11"/>
        <v>7636684569.4099998</v>
      </c>
      <c r="L62" s="117">
        <f t="shared" si="11"/>
        <v>8029566644.4099998</v>
      </c>
      <c r="M62" s="118">
        <f t="shared" si="11"/>
        <v>8422659685.4099998</v>
      </c>
      <c r="N62" s="128"/>
    </row>
    <row r="63" spans="1:14" ht="5.0999999999999996" customHeight="1" x14ac:dyDescent="0.25">
      <c r="A63" s="308"/>
      <c r="B63" s="309"/>
      <c r="C63" s="310"/>
      <c r="D63" s="310"/>
      <c r="E63" s="310"/>
      <c r="F63" s="310"/>
      <c r="G63" s="310"/>
      <c r="H63" s="310"/>
      <c r="I63" s="310"/>
      <c r="J63" s="310"/>
      <c r="K63" s="310"/>
      <c r="L63" s="310"/>
      <c r="M63" s="310"/>
      <c r="N63" s="128"/>
    </row>
    <row r="64" spans="1:14" ht="12.75" customHeight="1" x14ac:dyDescent="0.25">
      <c r="A64" s="51" t="s">
        <v>1390</v>
      </c>
      <c r="B64" s="311"/>
      <c r="C64" s="311"/>
      <c r="D64" s="311"/>
      <c r="E64" s="311"/>
      <c r="F64" s="311"/>
      <c r="G64" s="311"/>
      <c r="H64" s="311"/>
      <c r="I64" s="311"/>
      <c r="J64" s="311"/>
      <c r="K64" s="311"/>
      <c r="L64" s="311"/>
      <c r="M64" s="311"/>
      <c r="N64" s="128"/>
    </row>
    <row r="65" spans="1:14" ht="12.75" customHeight="1" x14ac:dyDescent="0.25">
      <c r="A65" s="939" t="s">
        <v>0</v>
      </c>
      <c r="B65" s="312"/>
      <c r="C65" s="313"/>
      <c r="D65" s="314"/>
      <c r="E65" s="314"/>
      <c r="F65" s="314"/>
      <c r="G65" s="314"/>
      <c r="H65" s="314"/>
      <c r="I65" s="314"/>
      <c r="J65" s="315">
        <f>SUM(E65:I65)</f>
        <v>0</v>
      </c>
      <c r="K65" s="315">
        <f>IF(D65=0,C65+J65,D65+J65)</f>
        <v>0</v>
      </c>
      <c r="L65" s="314"/>
      <c r="M65" s="316"/>
      <c r="N65" s="128"/>
    </row>
    <row r="66" spans="1:14" ht="12.75" customHeight="1" x14ac:dyDescent="0.25">
      <c r="A66" s="766" t="s">
        <v>1</v>
      </c>
      <c r="B66" s="73"/>
      <c r="C66" s="130"/>
      <c r="D66" s="109"/>
      <c r="E66" s="109"/>
      <c r="F66" s="109"/>
      <c r="G66" s="109"/>
      <c r="H66" s="109"/>
      <c r="I66" s="109"/>
      <c r="J66" s="75">
        <f>SUM(E66:I66)</f>
        <v>0</v>
      </c>
      <c r="K66" s="75">
        <f>IF(D66=0,C66+J66,D66+J66)</f>
        <v>0</v>
      </c>
      <c r="L66" s="109"/>
      <c r="M66" s="110"/>
      <c r="N66" s="128"/>
    </row>
    <row r="67" spans="1:14" ht="12.75" customHeight="1" x14ac:dyDescent="0.25">
      <c r="A67" s="940"/>
      <c r="B67" s="938"/>
      <c r="C67" s="317"/>
      <c r="D67" s="318"/>
      <c r="E67" s="318"/>
      <c r="F67" s="318"/>
      <c r="G67" s="318"/>
      <c r="H67" s="318"/>
      <c r="I67" s="318"/>
      <c r="J67" s="178">
        <f>SUM(E67:I67)</f>
        <v>0</v>
      </c>
      <c r="K67" s="178">
        <f>IF(D67=0,C67+J67,D67+J67)</f>
        <v>0</v>
      </c>
      <c r="L67" s="318"/>
      <c r="M67" s="319"/>
      <c r="N67" s="128"/>
    </row>
    <row r="68" spans="1:14" ht="12.75" customHeight="1" x14ac:dyDescent="0.25">
      <c r="A68" s="158" t="str">
        <f>head27a</f>
        <v>References</v>
      </c>
      <c r="B68" s="93"/>
      <c r="C68" s="96"/>
      <c r="D68" s="96"/>
      <c r="E68" s="96"/>
      <c r="F68" s="96"/>
      <c r="G68" s="96"/>
      <c r="H68" s="96"/>
      <c r="I68" s="96"/>
      <c r="J68" s="96"/>
      <c r="K68" s="96"/>
      <c r="L68" s="96"/>
      <c r="M68" s="96"/>
      <c r="N68" s="128"/>
    </row>
    <row r="69" spans="1:14" ht="12.75" customHeight="1" x14ac:dyDescent="0.25">
      <c r="A69" s="99" t="s">
        <v>2</v>
      </c>
      <c r="B69" s="93"/>
      <c r="C69" s="96"/>
      <c r="D69" s="96"/>
      <c r="E69" s="96"/>
      <c r="F69" s="96"/>
      <c r="G69" s="96"/>
      <c r="H69" s="96"/>
      <c r="I69" s="96"/>
      <c r="J69" s="96"/>
      <c r="K69" s="96"/>
      <c r="L69" s="96"/>
      <c r="M69" s="96"/>
    </row>
    <row r="70" spans="1:14" ht="12.75" customHeight="1" x14ac:dyDescent="0.25">
      <c r="A70" s="99" t="s">
        <v>3</v>
      </c>
      <c r="B70" s="93"/>
      <c r="C70" s="96"/>
      <c r="D70" s="96"/>
      <c r="E70" s="96"/>
      <c r="F70" s="96"/>
      <c r="G70" s="96"/>
      <c r="H70" s="96"/>
      <c r="I70" s="96"/>
      <c r="J70" s="96"/>
      <c r="K70" s="96"/>
      <c r="L70" s="96"/>
      <c r="M70" s="96"/>
    </row>
    <row r="71" spans="1:14" ht="12.75" customHeight="1" x14ac:dyDescent="0.25">
      <c r="A71" s="99" t="s">
        <v>4</v>
      </c>
      <c r="B71" s="93"/>
      <c r="C71" s="99"/>
      <c r="D71" s="99"/>
      <c r="E71" s="99"/>
      <c r="F71" s="99"/>
      <c r="G71" s="99"/>
      <c r="H71" s="99"/>
      <c r="I71" s="99"/>
      <c r="J71" s="99"/>
      <c r="K71" s="99"/>
      <c r="L71" s="99"/>
      <c r="M71" s="99"/>
    </row>
    <row r="72" spans="1:14" ht="12.75" customHeight="1" x14ac:dyDescent="0.25">
      <c r="A72" s="99" t="s">
        <v>1096</v>
      </c>
      <c r="B72" s="99"/>
      <c r="C72" s="99"/>
      <c r="D72" s="99"/>
      <c r="E72" s="99"/>
      <c r="F72" s="99"/>
      <c r="G72" s="99"/>
      <c r="H72" s="99"/>
      <c r="I72" s="99"/>
      <c r="J72" s="99"/>
      <c r="K72" s="99"/>
      <c r="L72" s="99"/>
      <c r="M72" s="99"/>
    </row>
    <row r="73" spans="1:14" ht="24.95" customHeight="1" x14ac:dyDescent="0.25">
      <c r="A73" s="1314" t="s">
        <v>812</v>
      </c>
      <c r="B73" s="1314"/>
      <c r="C73" s="1314"/>
      <c r="D73" s="1314"/>
      <c r="E73" s="1314"/>
      <c r="F73" s="1314"/>
      <c r="G73" s="1314"/>
      <c r="H73" s="1314"/>
      <c r="I73" s="1314"/>
      <c r="J73" s="1314"/>
      <c r="K73" s="1314"/>
      <c r="L73" s="1314"/>
      <c r="M73" s="1314"/>
    </row>
    <row r="74" spans="1:14" ht="12.75" customHeight="1" x14ac:dyDescent="0.25">
      <c r="A74" s="99" t="s">
        <v>813</v>
      </c>
      <c r="B74" s="99"/>
      <c r="C74" s="99"/>
      <c r="D74" s="99"/>
      <c r="E74" s="99"/>
      <c r="F74" s="99"/>
      <c r="G74" s="99"/>
      <c r="H74" s="99"/>
      <c r="I74" s="99"/>
      <c r="J74" s="99"/>
      <c r="K74" s="99"/>
      <c r="L74" s="99"/>
      <c r="M74" s="99"/>
    </row>
    <row r="75" spans="1:14" ht="12.75" customHeight="1" x14ac:dyDescent="0.25">
      <c r="A75" s="99" t="s">
        <v>814</v>
      </c>
      <c r="B75" s="99"/>
      <c r="C75" s="99"/>
      <c r="D75" s="99"/>
      <c r="E75" s="99"/>
      <c r="F75" s="99"/>
      <c r="G75" s="99"/>
      <c r="H75" s="99"/>
      <c r="I75" s="99"/>
      <c r="J75" s="99"/>
      <c r="K75" s="99"/>
      <c r="L75" s="99"/>
      <c r="M75" s="99"/>
    </row>
    <row r="76" spans="1:14" ht="12.75" customHeight="1" x14ac:dyDescent="0.25">
      <c r="A76" s="99" t="s">
        <v>815</v>
      </c>
      <c r="B76" s="93"/>
      <c r="C76" s="96"/>
      <c r="D76" s="96"/>
      <c r="E76" s="96"/>
      <c r="F76" s="96"/>
      <c r="G76" s="96"/>
      <c r="H76" s="96"/>
      <c r="I76" s="96"/>
      <c r="J76" s="96"/>
      <c r="K76" s="96"/>
      <c r="L76" s="96"/>
      <c r="M76" s="96"/>
    </row>
    <row r="77" spans="1:14" ht="38.25" customHeight="1" x14ac:dyDescent="0.25">
      <c r="A77" s="1314" t="s">
        <v>816</v>
      </c>
      <c r="B77" s="1314"/>
      <c r="C77" s="1314"/>
      <c r="D77" s="1314"/>
      <c r="E77" s="1314"/>
      <c r="F77" s="1314"/>
      <c r="G77" s="1314"/>
      <c r="H77" s="1314"/>
      <c r="I77" s="1314"/>
      <c r="J77" s="1314"/>
      <c r="K77" s="1314"/>
      <c r="L77" s="1314"/>
      <c r="M77" s="1314"/>
    </row>
    <row r="78" spans="1:14" ht="12.75" customHeight="1" x14ac:dyDescent="0.25">
      <c r="A78" s="99" t="s">
        <v>817</v>
      </c>
      <c r="B78" s="93"/>
      <c r="C78" s="96"/>
      <c r="D78" s="96"/>
      <c r="E78" s="96"/>
      <c r="F78" s="96"/>
      <c r="G78" s="96"/>
      <c r="H78" s="96"/>
      <c r="I78" s="96"/>
      <c r="J78" s="96"/>
      <c r="K78" s="96"/>
      <c r="L78" s="96"/>
      <c r="M78" s="96"/>
    </row>
    <row r="79" spans="1:14" ht="12.75" customHeight="1" x14ac:dyDescent="0.25">
      <c r="A79" s="99" t="s">
        <v>818</v>
      </c>
      <c r="B79" s="100"/>
      <c r="C79" s="100"/>
      <c r="D79" s="100"/>
      <c r="E79" s="100"/>
      <c r="F79" s="100"/>
      <c r="G79" s="100"/>
      <c r="H79" s="100"/>
      <c r="I79" s="100"/>
      <c r="J79" s="100"/>
      <c r="K79" s="100"/>
      <c r="L79" s="100"/>
      <c r="M79" s="100"/>
    </row>
    <row r="80" spans="1:14" ht="11.25" customHeight="1" x14ac:dyDescent="0.25">
      <c r="A80" s="320" t="s">
        <v>5</v>
      </c>
      <c r="C80" s="182">
        <f>C62-'B6-FinPos'!C50</f>
        <v>0</v>
      </c>
      <c r="D80" s="182"/>
      <c r="E80" s="182"/>
      <c r="F80" s="182"/>
      <c r="G80" s="182"/>
      <c r="H80" s="182"/>
      <c r="I80" s="182"/>
      <c r="J80" s="182"/>
      <c r="K80" s="182"/>
      <c r="L80" s="182"/>
      <c r="M80" s="321">
        <f>K62-'B6-FinPos'!K50</f>
        <v>0</v>
      </c>
    </row>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sheetData>
  <mergeCells count="5">
    <mergeCell ref="A77:M77"/>
    <mergeCell ref="A73:M73"/>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I22" sqref="I22"/>
    </sheetView>
  </sheetViews>
  <sheetFormatPr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LIM354 Polokwane - Supporting Table SB3 Adjustments to the SDBIP - performance objectives - 25 February 2016</v>
      </c>
      <c r="C1" s="58"/>
    </row>
    <row r="2" spans="1:13" ht="38.25" x14ac:dyDescent="0.25">
      <c r="A2" s="1318" t="str">
        <f>desc</f>
        <v>Description</v>
      </c>
      <c r="B2" s="1318" t="s">
        <v>6</v>
      </c>
      <c r="C2" s="1315" t="str">
        <f>Head2</f>
        <v>Budget Year 2015/16</v>
      </c>
      <c r="D2" s="1316"/>
      <c r="E2" s="1316"/>
      <c r="F2" s="1316"/>
      <c r="G2" s="1316"/>
      <c r="H2" s="1316"/>
      <c r="I2" s="1316"/>
      <c r="J2" s="1316"/>
      <c r="K2" s="1317"/>
      <c r="L2" s="170" t="str">
        <f>Head10</f>
        <v>Budget Year +1 2016/17</v>
      </c>
      <c r="M2" s="171" t="str">
        <f>Head11</f>
        <v>Budget Year +2 2017/18</v>
      </c>
    </row>
    <row r="3" spans="1:13" ht="25.5" x14ac:dyDescent="0.25">
      <c r="A3" s="1319"/>
      <c r="B3" s="13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327"/>
      <c r="B4" s="1327"/>
      <c r="C4" s="67" t="s">
        <v>581</v>
      </c>
      <c r="D4" s="68" t="s">
        <v>582</v>
      </c>
      <c r="E4" s="68" t="s">
        <v>583</v>
      </c>
      <c r="F4" s="69" t="s">
        <v>584</v>
      </c>
      <c r="G4" s="69" t="s">
        <v>585</v>
      </c>
      <c r="H4" s="69" t="s">
        <v>586</v>
      </c>
      <c r="I4" s="70" t="s">
        <v>587</v>
      </c>
      <c r="J4" s="70" t="s">
        <v>588</v>
      </c>
      <c r="K4" s="70" t="s">
        <v>589</v>
      </c>
      <c r="L4" s="70"/>
      <c r="M4" s="71"/>
    </row>
    <row r="5" spans="1:13" ht="12.75" customHeight="1" x14ac:dyDescent="0.25">
      <c r="A5" s="837" t="s">
        <v>453</v>
      </c>
      <c r="B5" s="322"/>
      <c r="C5" s="130"/>
      <c r="D5" s="109"/>
      <c r="E5" s="109"/>
      <c r="F5" s="109"/>
      <c r="G5" s="109"/>
      <c r="H5" s="109"/>
      <c r="I5" s="109"/>
      <c r="J5" s="75"/>
      <c r="K5" s="75"/>
      <c r="L5" s="75"/>
      <c r="M5" s="76"/>
    </row>
    <row r="6" spans="1:13" ht="12.75" customHeight="1" x14ac:dyDescent="0.25">
      <c r="A6" s="838" t="s">
        <v>454</v>
      </c>
      <c r="B6" s="323"/>
      <c r="C6" s="130"/>
      <c r="D6" s="109"/>
      <c r="E6" s="109"/>
      <c r="F6" s="109"/>
      <c r="G6" s="109"/>
      <c r="H6" s="109"/>
      <c r="I6" s="109"/>
      <c r="J6" s="75"/>
      <c r="K6" s="75"/>
      <c r="L6" s="75"/>
      <c r="M6" s="76"/>
    </row>
    <row r="7" spans="1:13" ht="12.75" customHeight="1" x14ac:dyDescent="0.25">
      <c r="A7" s="839" t="s">
        <v>455</v>
      </c>
      <c r="B7" s="323"/>
      <c r="C7" s="130"/>
      <c r="D7" s="109"/>
      <c r="E7" s="109"/>
      <c r="F7" s="109"/>
      <c r="G7" s="109"/>
      <c r="H7" s="109"/>
      <c r="I7" s="109"/>
      <c r="J7" s="75"/>
      <c r="K7" s="75"/>
      <c r="L7" s="75"/>
      <c r="M7" s="76"/>
    </row>
    <row r="8" spans="1:13" ht="12.75" customHeight="1" x14ac:dyDescent="0.25">
      <c r="A8" s="840" t="s">
        <v>7</v>
      </c>
      <c r="B8" s="323"/>
      <c r="C8" s="130"/>
      <c r="D8" s="109"/>
      <c r="E8" s="109"/>
      <c r="F8" s="109"/>
      <c r="G8" s="109"/>
      <c r="H8" s="109"/>
      <c r="I8" s="109"/>
      <c r="J8" s="75">
        <f>SUM(E8:I8)</f>
        <v>0</v>
      </c>
      <c r="K8" s="75">
        <f>IF(D8=0,C8+J8,D8+J8)</f>
        <v>0</v>
      </c>
      <c r="L8" s="75">
        <f>IF(E8=0,D8+K8,E8+K8)</f>
        <v>0</v>
      </c>
      <c r="M8" s="76">
        <f>IF(F8=0,E8+L8,F8+L8)</f>
        <v>0</v>
      </c>
    </row>
    <row r="9" spans="1:13" ht="12.75" customHeight="1" x14ac:dyDescent="0.25">
      <c r="A9" s="841"/>
      <c r="B9" s="323"/>
      <c r="C9" s="130"/>
      <c r="D9" s="109"/>
      <c r="E9" s="109"/>
      <c r="F9" s="109"/>
      <c r="G9" s="109"/>
      <c r="H9" s="109"/>
      <c r="I9" s="109"/>
      <c r="J9" s="75"/>
      <c r="K9" s="75"/>
      <c r="L9" s="75"/>
      <c r="M9" s="76"/>
    </row>
    <row r="10" spans="1:13" ht="12.75" customHeight="1" x14ac:dyDescent="0.25">
      <c r="A10" s="839" t="s">
        <v>456</v>
      </c>
      <c r="B10" s="323"/>
      <c r="C10" s="130"/>
      <c r="D10" s="109"/>
      <c r="E10" s="109"/>
      <c r="F10" s="109"/>
      <c r="G10" s="109"/>
      <c r="H10" s="109"/>
      <c r="I10" s="109"/>
      <c r="J10" s="75"/>
      <c r="K10" s="75"/>
      <c r="L10" s="75"/>
      <c r="M10" s="76"/>
    </row>
    <row r="11" spans="1:13" ht="12.75" customHeight="1" x14ac:dyDescent="0.25">
      <c r="A11" s="840" t="s">
        <v>7</v>
      </c>
      <c r="B11" s="324"/>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5">
      <c r="A12" s="841"/>
      <c r="B12" s="322"/>
      <c r="C12" s="130"/>
      <c r="D12" s="109"/>
      <c r="E12" s="109"/>
      <c r="F12" s="109"/>
      <c r="G12" s="109"/>
      <c r="H12" s="109"/>
      <c r="I12" s="109"/>
      <c r="J12" s="75"/>
      <c r="K12" s="75"/>
      <c r="L12" s="75"/>
      <c r="M12" s="76"/>
    </row>
    <row r="13" spans="1:13" ht="12.75" customHeight="1" x14ac:dyDescent="0.25">
      <c r="A13" s="839" t="s">
        <v>457</v>
      </c>
      <c r="B13" s="323"/>
      <c r="C13" s="130"/>
      <c r="D13" s="109"/>
      <c r="E13" s="109"/>
      <c r="F13" s="109"/>
      <c r="G13" s="109"/>
      <c r="H13" s="109"/>
      <c r="I13" s="109"/>
      <c r="J13" s="75"/>
      <c r="K13" s="75"/>
      <c r="L13" s="75"/>
      <c r="M13" s="76"/>
    </row>
    <row r="14" spans="1:13" ht="12.75" customHeight="1" x14ac:dyDescent="0.25">
      <c r="A14" s="840" t="s">
        <v>7</v>
      </c>
      <c r="B14" s="324"/>
      <c r="C14" s="130"/>
      <c r="D14" s="109"/>
      <c r="E14" s="109"/>
      <c r="F14" s="109"/>
      <c r="G14" s="109"/>
      <c r="H14" s="109"/>
      <c r="I14" s="109"/>
      <c r="J14" s="75"/>
      <c r="K14" s="75"/>
      <c r="L14" s="75"/>
      <c r="M14" s="76"/>
    </row>
    <row r="15" spans="1:13" ht="12.75" customHeight="1" x14ac:dyDescent="0.25">
      <c r="A15" s="841"/>
      <c r="B15" s="323"/>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5">
      <c r="A16" s="838" t="s">
        <v>458</v>
      </c>
      <c r="B16" s="322"/>
      <c r="C16" s="130"/>
      <c r="D16" s="109"/>
      <c r="E16" s="109"/>
      <c r="F16" s="109"/>
      <c r="G16" s="109"/>
      <c r="H16" s="109"/>
      <c r="I16" s="109"/>
      <c r="J16" s="75"/>
      <c r="K16" s="75"/>
      <c r="L16" s="75"/>
      <c r="M16" s="76"/>
    </row>
    <row r="17" spans="1:13" ht="12.75" customHeight="1" x14ac:dyDescent="0.25">
      <c r="A17" s="839" t="s">
        <v>455</v>
      </c>
      <c r="B17" s="323"/>
      <c r="C17" s="130"/>
      <c r="D17" s="109"/>
      <c r="E17" s="109"/>
      <c r="F17" s="109"/>
      <c r="G17" s="109"/>
      <c r="H17" s="109"/>
      <c r="I17" s="109"/>
      <c r="J17" s="75"/>
      <c r="K17" s="75"/>
      <c r="L17" s="75"/>
      <c r="M17" s="76"/>
    </row>
    <row r="18" spans="1:13" ht="12.75" customHeight="1" x14ac:dyDescent="0.25">
      <c r="A18" s="840" t="s">
        <v>7</v>
      </c>
      <c r="B18" s="323"/>
      <c r="C18" s="130"/>
      <c r="D18" s="109"/>
      <c r="E18" s="109"/>
      <c r="F18" s="109"/>
      <c r="G18" s="109"/>
      <c r="H18" s="109"/>
      <c r="I18" s="109"/>
      <c r="J18" s="75"/>
      <c r="K18" s="75"/>
      <c r="L18" s="75"/>
      <c r="M18" s="76"/>
    </row>
    <row r="19" spans="1:13" ht="12.75" customHeight="1" x14ac:dyDescent="0.25">
      <c r="A19" s="841"/>
      <c r="B19" s="323"/>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5">
      <c r="A20" s="839" t="s">
        <v>456</v>
      </c>
      <c r="B20" s="323"/>
      <c r="C20" s="130"/>
      <c r="D20" s="109"/>
      <c r="E20" s="109"/>
      <c r="F20" s="109"/>
      <c r="G20" s="109"/>
      <c r="H20" s="109"/>
      <c r="I20" s="109"/>
      <c r="J20" s="75"/>
      <c r="K20" s="75"/>
      <c r="L20" s="75"/>
      <c r="M20" s="76"/>
    </row>
    <row r="21" spans="1:13" ht="12.75" customHeight="1" x14ac:dyDescent="0.25">
      <c r="A21" s="840" t="s">
        <v>7</v>
      </c>
      <c r="B21" s="323"/>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5">
      <c r="A22" s="841"/>
      <c r="B22" s="323"/>
      <c r="C22" s="130"/>
      <c r="D22" s="109"/>
      <c r="E22" s="109"/>
      <c r="F22" s="109"/>
      <c r="G22" s="109"/>
      <c r="H22" s="109"/>
      <c r="I22" s="109"/>
      <c r="J22" s="75"/>
      <c r="K22" s="75"/>
      <c r="L22" s="75"/>
      <c r="M22" s="76"/>
    </row>
    <row r="23" spans="1:13" ht="12.75" customHeight="1" x14ac:dyDescent="0.25">
      <c r="A23" s="839" t="s">
        <v>457</v>
      </c>
      <c r="B23" s="323"/>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840" t="s">
        <v>7</v>
      </c>
      <c r="B24" s="323"/>
      <c r="C24" s="130"/>
      <c r="D24" s="109"/>
      <c r="E24" s="109"/>
      <c r="F24" s="109"/>
      <c r="G24" s="109"/>
      <c r="H24" s="109"/>
      <c r="I24" s="109"/>
      <c r="J24" s="75"/>
      <c r="K24" s="75"/>
      <c r="L24" s="75"/>
      <c r="M24" s="76"/>
    </row>
    <row r="25" spans="1:13" ht="12.75" customHeight="1" x14ac:dyDescent="0.25">
      <c r="A25" s="842"/>
      <c r="B25" s="323"/>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5">
      <c r="A26" s="837" t="s">
        <v>459</v>
      </c>
      <c r="B26" s="323"/>
      <c r="C26" s="130"/>
      <c r="D26" s="109"/>
      <c r="E26" s="109"/>
      <c r="F26" s="109"/>
      <c r="G26" s="109"/>
      <c r="H26" s="109"/>
      <c r="I26" s="109"/>
      <c r="J26" s="75"/>
      <c r="K26" s="75"/>
      <c r="L26" s="75"/>
      <c r="M26" s="76"/>
    </row>
    <row r="27" spans="1:13" ht="12.75" customHeight="1" x14ac:dyDescent="0.25">
      <c r="A27" s="838" t="s">
        <v>454</v>
      </c>
      <c r="B27" s="323"/>
      <c r="C27" s="130"/>
      <c r="D27" s="109"/>
      <c r="E27" s="109"/>
      <c r="F27" s="109"/>
      <c r="G27" s="109"/>
      <c r="H27" s="109"/>
      <c r="I27" s="109"/>
      <c r="J27" s="75"/>
      <c r="K27" s="75"/>
      <c r="L27" s="75"/>
      <c r="M27" s="76"/>
    </row>
    <row r="28" spans="1:13" ht="12.75" customHeight="1" x14ac:dyDescent="0.25">
      <c r="A28" s="839" t="s">
        <v>455</v>
      </c>
      <c r="B28" s="323"/>
      <c r="C28" s="130"/>
      <c r="D28" s="109"/>
      <c r="E28" s="109"/>
      <c r="F28" s="109"/>
      <c r="G28" s="109"/>
      <c r="H28" s="109"/>
      <c r="I28" s="109"/>
      <c r="J28" s="75"/>
      <c r="K28" s="75"/>
      <c r="L28" s="75"/>
      <c r="M28" s="76"/>
    </row>
    <row r="29" spans="1:13" ht="12.75" customHeight="1" x14ac:dyDescent="0.25">
      <c r="A29" s="840" t="s">
        <v>7</v>
      </c>
      <c r="B29" s="323"/>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841"/>
      <c r="B30" s="323"/>
      <c r="C30" s="130"/>
      <c r="D30" s="109"/>
      <c r="E30" s="109"/>
      <c r="F30" s="109"/>
      <c r="G30" s="109"/>
      <c r="H30" s="109"/>
      <c r="I30" s="109"/>
      <c r="J30" s="75"/>
      <c r="K30" s="75"/>
      <c r="L30" s="75"/>
      <c r="M30" s="76"/>
    </row>
    <row r="31" spans="1:13" ht="12.75" customHeight="1" x14ac:dyDescent="0.25">
      <c r="A31" s="839" t="s">
        <v>456</v>
      </c>
      <c r="B31" s="323"/>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5">
      <c r="A32" s="840" t="s">
        <v>7</v>
      </c>
      <c r="B32" s="323"/>
      <c r="C32" s="130"/>
      <c r="D32" s="109"/>
      <c r="E32" s="109"/>
      <c r="F32" s="109"/>
      <c r="G32" s="109"/>
      <c r="H32" s="109"/>
      <c r="I32" s="109"/>
      <c r="J32" s="75"/>
      <c r="K32" s="75"/>
      <c r="L32" s="75"/>
      <c r="M32" s="76"/>
    </row>
    <row r="33" spans="1:13" ht="12.75" customHeight="1" x14ac:dyDescent="0.25">
      <c r="A33" s="841"/>
      <c r="B33" s="323"/>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839" t="s">
        <v>457</v>
      </c>
      <c r="B34" s="323"/>
      <c r="C34" s="130"/>
      <c r="D34" s="109"/>
      <c r="E34" s="109"/>
      <c r="F34" s="109"/>
      <c r="G34" s="109"/>
      <c r="H34" s="109"/>
      <c r="I34" s="109"/>
      <c r="J34" s="75"/>
      <c r="K34" s="75"/>
      <c r="L34" s="75"/>
      <c r="M34" s="76"/>
    </row>
    <row r="35" spans="1:13" ht="12.75" customHeight="1" x14ac:dyDescent="0.25">
      <c r="A35" s="840" t="s">
        <v>7</v>
      </c>
      <c r="B35" s="323"/>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5">
      <c r="A36" s="841"/>
      <c r="B36" s="323"/>
      <c r="C36" s="130"/>
      <c r="D36" s="109"/>
      <c r="E36" s="109"/>
      <c r="F36" s="109"/>
      <c r="G36" s="109"/>
      <c r="H36" s="109"/>
      <c r="I36" s="109"/>
      <c r="J36" s="75"/>
      <c r="K36" s="75"/>
      <c r="L36" s="75"/>
      <c r="M36" s="76"/>
    </row>
    <row r="37" spans="1:13" ht="12.75" customHeight="1" x14ac:dyDescent="0.25">
      <c r="A37" s="838" t="s">
        <v>458</v>
      </c>
      <c r="B37" s="323"/>
      <c r="C37" s="130"/>
      <c r="D37" s="109"/>
      <c r="E37" s="109"/>
      <c r="F37" s="109"/>
      <c r="G37" s="109"/>
      <c r="H37" s="109"/>
      <c r="I37" s="109"/>
      <c r="J37" s="75"/>
      <c r="K37" s="75"/>
      <c r="L37" s="75"/>
      <c r="M37" s="76"/>
    </row>
    <row r="38" spans="1:13" ht="12.75" customHeight="1" x14ac:dyDescent="0.25">
      <c r="A38" s="839" t="s">
        <v>455</v>
      </c>
      <c r="B38" s="323"/>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840" t="s">
        <v>7</v>
      </c>
      <c r="B39" s="323"/>
      <c r="C39" s="130"/>
      <c r="D39" s="109"/>
      <c r="E39" s="109"/>
      <c r="F39" s="109"/>
      <c r="G39" s="109"/>
      <c r="H39" s="109"/>
      <c r="I39" s="109"/>
      <c r="J39" s="75"/>
      <c r="K39" s="75"/>
      <c r="L39" s="75"/>
      <c r="M39" s="76"/>
    </row>
    <row r="40" spans="1:13" ht="12.75" customHeight="1" x14ac:dyDescent="0.25">
      <c r="A40" s="841"/>
      <c r="B40" s="323"/>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839" t="s">
        <v>456</v>
      </c>
      <c r="B41" s="323"/>
      <c r="C41" s="130"/>
      <c r="D41" s="109"/>
      <c r="E41" s="109"/>
      <c r="F41" s="109"/>
      <c r="G41" s="109"/>
      <c r="H41" s="109"/>
      <c r="I41" s="109"/>
      <c r="J41" s="75"/>
      <c r="K41" s="75"/>
      <c r="L41" s="75"/>
      <c r="M41" s="76"/>
    </row>
    <row r="42" spans="1:13" ht="12.75" customHeight="1" x14ac:dyDescent="0.25">
      <c r="A42" s="840" t="s">
        <v>7</v>
      </c>
      <c r="B42" s="323"/>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5">
      <c r="A43" s="841"/>
      <c r="B43" s="323"/>
      <c r="C43" s="130"/>
      <c r="D43" s="109"/>
      <c r="E43" s="109"/>
      <c r="F43" s="109"/>
      <c r="G43" s="109"/>
      <c r="H43" s="109"/>
      <c r="I43" s="109"/>
      <c r="J43" s="75"/>
      <c r="K43" s="75"/>
      <c r="L43" s="75"/>
      <c r="M43" s="76"/>
    </row>
    <row r="44" spans="1:13" ht="12.75" customHeight="1" x14ac:dyDescent="0.25">
      <c r="A44" s="839" t="s">
        <v>457</v>
      </c>
      <c r="B44" s="323"/>
      <c r="C44" s="130"/>
      <c r="D44" s="109"/>
      <c r="E44" s="109"/>
      <c r="F44" s="109"/>
      <c r="G44" s="109"/>
      <c r="H44" s="109"/>
      <c r="I44" s="109"/>
      <c r="J44" s="75"/>
      <c r="K44" s="75"/>
      <c r="L44" s="75"/>
      <c r="M44" s="76"/>
    </row>
    <row r="45" spans="1:13" ht="12.75" customHeight="1" x14ac:dyDescent="0.25">
      <c r="A45" s="840" t="s">
        <v>7</v>
      </c>
      <c r="B45" s="323"/>
      <c r="C45" s="130"/>
      <c r="D45" s="109"/>
      <c r="E45" s="109"/>
      <c r="F45" s="109"/>
      <c r="G45" s="109"/>
      <c r="H45" s="109"/>
      <c r="I45" s="109"/>
      <c r="J45" s="75"/>
      <c r="K45" s="75"/>
      <c r="L45" s="75"/>
      <c r="M45" s="76"/>
    </row>
    <row r="46" spans="1:13" ht="12.75" customHeight="1" x14ac:dyDescent="0.25">
      <c r="A46" s="840"/>
      <c r="B46" s="323"/>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5">
      <c r="A47" s="837" t="s">
        <v>460</v>
      </c>
      <c r="B47" s="323"/>
      <c r="C47" s="130"/>
      <c r="D47" s="109"/>
      <c r="E47" s="109"/>
      <c r="F47" s="109"/>
      <c r="G47" s="109"/>
      <c r="H47" s="109"/>
      <c r="I47" s="109"/>
      <c r="J47" s="75"/>
      <c r="K47" s="75"/>
      <c r="L47" s="75"/>
      <c r="M47" s="76"/>
    </row>
    <row r="48" spans="1:13" ht="12.75" customHeight="1" x14ac:dyDescent="0.25">
      <c r="A48" s="838" t="s">
        <v>454</v>
      </c>
      <c r="B48" s="323"/>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839" t="s">
        <v>455</v>
      </c>
      <c r="B49" s="323"/>
      <c r="C49" s="130"/>
      <c r="D49" s="109"/>
      <c r="E49" s="109"/>
      <c r="F49" s="109"/>
      <c r="G49" s="109"/>
      <c r="H49" s="109"/>
      <c r="I49" s="109"/>
      <c r="J49" s="75"/>
      <c r="K49" s="75"/>
      <c r="L49" s="75"/>
      <c r="M49" s="76"/>
    </row>
    <row r="50" spans="1:13" ht="12.75" customHeight="1" x14ac:dyDescent="0.25">
      <c r="A50" s="840" t="s">
        <v>7</v>
      </c>
      <c r="B50" s="324"/>
      <c r="C50" s="130"/>
      <c r="D50" s="109"/>
      <c r="E50" s="109"/>
      <c r="F50" s="109"/>
      <c r="G50" s="109"/>
      <c r="H50" s="109"/>
      <c r="I50" s="109"/>
      <c r="J50" s="75"/>
      <c r="K50" s="75"/>
      <c r="L50" s="75"/>
      <c r="M50" s="76"/>
    </row>
    <row r="51" spans="1:13" ht="12.75" customHeight="1" x14ac:dyDescent="0.25">
      <c r="A51" s="841"/>
      <c r="B51" s="324"/>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839" t="s">
        <v>456</v>
      </c>
      <c r="B52" s="324"/>
      <c r="C52" s="130"/>
      <c r="D52" s="109"/>
      <c r="E52" s="109"/>
      <c r="F52" s="109"/>
      <c r="G52" s="109"/>
      <c r="H52" s="109"/>
      <c r="I52" s="109"/>
      <c r="J52" s="75"/>
      <c r="K52" s="75"/>
      <c r="L52" s="75"/>
      <c r="M52" s="76"/>
    </row>
    <row r="53" spans="1:13" ht="12.75" customHeight="1" x14ac:dyDescent="0.25">
      <c r="A53" s="840" t="s">
        <v>7</v>
      </c>
      <c r="B53" s="324"/>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41"/>
      <c r="B54" s="324"/>
      <c r="C54" s="130"/>
      <c r="D54" s="109"/>
      <c r="E54" s="109"/>
      <c r="F54" s="109"/>
      <c r="G54" s="109"/>
      <c r="H54" s="109"/>
      <c r="I54" s="109"/>
      <c r="J54" s="75"/>
      <c r="K54" s="75"/>
      <c r="L54" s="75"/>
      <c r="M54" s="76"/>
    </row>
    <row r="55" spans="1:13" ht="12.75" customHeight="1" x14ac:dyDescent="0.25">
      <c r="A55" s="839" t="s">
        <v>457</v>
      </c>
      <c r="B55" s="324"/>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840" t="s">
        <v>7</v>
      </c>
      <c r="B56" s="951"/>
      <c r="C56" s="130"/>
      <c r="D56" s="109"/>
      <c r="E56" s="109"/>
      <c r="F56" s="109"/>
      <c r="G56" s="109"/>
      <c r="H56" s="109"/>
      <c r="I56" s="109"/>
      <c r="J56" s="75"/>
      <c r="K56" s="75"/>
      <c r="L56" s="75"/>
      <c r="M56" s="76"/>
    </row>
    <row r="57" spans="1:13" ht="12.75" customHeight="1" x14ac:dyDescent="0.25">
      <c r="A57" s="841"/>
      <c r="B57" s="324"/>
      <c r="C57" s="130"/>
      <c r="D57" s="109"/>
      <c r="E57" s="109"/>
      <c r="F57" s="109"/>
      <c r="G57" s="109"/>
      <c r="H57" s="109"/>
      <c r="I57" s="109"/>
      <c r="J57" s="75"/>
      <c r="K57" s="75"/>
      <c r="L57" s="75"/>
      <c r="M57" s="76"/>
    </row>
    <row r="58" spans="1:13" ht="12.75" customHeight="1" x14ac:dyDescent="0.25">
      <c r="A58" s="838" t="s">
        <v>458</v>
      </c>
      <c r="B58" s="324"/>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839" t="s">
        <v>455</v>
      </c>
      <c r="B59" s="324"/>
      <c r="C59" s="130"/>
      <c r="D59" s="109"/>
      <c r="E59" s="109"/>
      <c r="F59" s="109"/>
      <c r="G59" s="109"/>
      <c r="H59" s="109"/>
      <c r="I59" s="109"/>
      <c r="J59" s="75"/>
      <c r="K59" s="75"/>
      <c r="L59" s="75"/>
      <c r="M59" s="76"/>
    </row>
    <row r="60" spans="1:13" ht="12.75" customHeight="1" x14ac:dyDescent="0.25">
      <c r="A60" s="840" t="s">
        <v>7</v>
      </c>
      <c r="B60" s="324"/>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41"/>
      <c r="B61" s="324"/>
      <c r="C61" s="130"/>
      <c r="D61" s="109"/>
      <c r="E61" s="109"/>
      <c r="F61" s="109"/>
      <c r="G61" s="109"/>
      <c r="H61" s="109"/>
      <c r="I61" s="109"/>
      <c r="J61" s="75"/>
      <c r="K61" s="75"/>
      <c r="L61" s="75"/>
      <c r="M61" s="76"/>
    </row>
    <row r="62" spans="1:13" ht="12.75" customHeight="1" x14ac:dyDescent="0.25">
      <c r="A62" s="839" t="s">
        <v>456</v>
      </c>
      <c r="B62" s="324"/>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840" t="s">
        <v>7</v>
      </c>
      <c r="B63" s="324"/>
      <c r="C63" s="130"/>
      <c r="D63" s="109"/>
      <c r="E63" s="109"/>
      <c r="F63" s="109"/>
      <c r="G63" s="109"/>
      <c r="H63" s="109"/>
      <c r="I63" s="109"/>
      <c r="J63" s="75"/>
      <c r="K63" s="75"/>
      <c r="L63" s="75"/>
      <c r="M63" s="76"/>
    </row>
    <row r="64" spans="1:13" ht="12.75" customHeight="1" x14ac:dyDescent="0.25">
      <c r="A64" s="841"/>
      <c r="B64" s="324"/>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839" t="s">
        <v>457</v>
      </c>
      <c r="B65" s="324"/>
      <c r="C65" s="130"/>
      <c r="D65" s="109"/>
      <c r="E65" s="109"/>
      <c r="F65" s="109"/>
      <c r="G65" s="109"/>
      <c r="H65" s="109"/>
      <c r="I65" s="109"/>
      <c r="J65" s="75"/>
      <c r="K65" s="75"/>
      <c r="L65" s="75"/>
      <c r="M65" s="76"/>
    </row>
    <row r="66" spans="1:13" ht="12.75" customHeight="1" x14ac:dyDescent="0.25">
      <c r="A66" s="840" t="s">
        <v>7</v>
      </c>
      <c r="B66" s="324"/>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840"/>
      <c r="B67" s="324"/>
      <c r="C67" s="130"/>
      <c r="D67" s="109"/>
      <c r="E67" s="109"/>
      <c r="F67" s="109"/>
      <c r="G67" s="109"/>
      <c r="H67" s="109"/>
      <c r="I67" s="109"/>
      <c r="J67" s="75"/>
      <c r="K67" s="75"/>
      <c r="L67" s="75"/>
      <c r="M67" s="76"/>
    </row>
    <row r="68" spans="1:13" ht="12.75" customHeight="1" x14ac:dyDescent="0.25">
      <c r="A68" s="843" t="s">
        <v>461</v>
      </c>
      <c r="B68" s="844"/>
      <c r="C68" s="325"/>
      <c r="D68" s="318"/>
      <c r="E68" s="318"/>
      <c r="F68" s="318"/>
      <c r="G68" s="318"/>
      <c r="H68" s="318"/>
      <c r="I68" s="318"/>
      <c r="J68" s="178">
        <f>SUM(E68:I68)</f>
        <v>0</v>
      </c>
      <c r="K68" s="178">
        <f>IF(D68=0,C68+J68,D68+J68)</f>
        <v>0</v>
      </c>
      <c r="L68" s="178">
        <f>IF(E68=0,D68+K68,E68+K68)</f>
        <v>0</v>
      </c>
      <c r="M68" s="179">
        <f>IF(F68=0,E68+L68,F68+L68)</f>
        <v>0</v>
      </c>
    </row>
    <row r="69" spans="1:13" ht="12.75" customHeight="1" x14ac:dyDescent="0.25">
      <c r="A69" s="158" t="str">
        <f>head27a</f>
        <v>References</v>
      </c>
      <c r="B69" s="98"/>
      <c r="C69" s="180"/>
      <c r="D69" s="180"/>
      <c r="E69" s="180"/>
      <c r="F69" s="180"/>
      <c r="G69" s="180"/>
      <c r="H69" s="180"/>
      <c r="I69" s="180"/>
      <c r="J69" s="180"/>
      <c r="K69" s="180"/>
      <c r="L69" s="180"/>
      <c r="M69" s="180"/>
    </row>
    <row r="70" spans="1:13" ht="12.75" customHeight="1" x14ac:dyDescent="0.25">
      <c r="A70" s="1314" t="s">
        <v>15</v>
      </c>
      <c r="B70" s="1314"/>
      <c r="C70" s="1314"/>
      <c r="D70" s="1314"/>
      <c r="E70" s="1314"/>
      <c r="F70" s="1314"/>
      <c r="G70" s="1314"/>
      <c r="H70" s="1314"/>
      <c r="I70" s="1314"/>
      <c r="J70" s="1314"/>
      <c r="K70" s="1314"/>
      <c r="L70" s="1314"/>
      <c r="M70" s="1314"/>
    </row>
    <row r="71" spans="1:13" ht="12.75" customHeight="1" x14ac:dyDescent="0.25">
      <c r="A71" s="99" t="s">
        <v>16</v>
      </c>
      <c r="B71" s="98"/>
      <c r="C71" s="326"/>
      <c r="D71" s="326"/>
      <c r="E71" s="326"/>
      <c r="F71" s="326"/>
      <c r="G71" s="326"/>
      <c r="H71" s="326"/>
      <c r="I71" s="326"/>
      <c r="J71" s="326"/>
      <c r="K71" s="326"/>
      <c r="L71" s="326"/>
      <c r="M71" s="326"/>
    </row>
    <row r="72" spans="1:13" ht="12.75" customHeight="1" x14ac:dyDescent="0.25">
      <c r="A72" s="99" t="s">
        <v>462</v>
      </c>
      <c r="B72" s="98"/>
      <c r="C72" s="326"/>
      <c r="D72" s="326"/>
      <c r="E72" s="326"/>
      <c r="F72" s="326"/>
      <c r="G72" s="326"/>
      <c r="H72" s="326"/>
      <c r="I72" s="326"/>
      <c r="J72" s="326"/>
      <c r="K72" s="326"/>
      <c r="L72" s="326"/>
      <c r="M72" s="326"/>
    </row>
    <row r="73" spans="1:13" ht="12.75" customHeight="1" x14ac:dyDescent="0.25">
      <c r="A73" s="99" t="s">
        <v>17</v>
      </c>
      <c r="B73" s="93"/>
      <c r="C73" s="96"/>
      <c r="D73" s="96"/>
      <c r="E73" s="96"/>
      <c r="F73" s="96"/>
      <c r="G73" s="96"/>
      <c r="H73" s="96"/>
      <c r="I73" s="96"/>
      <c r="J73" s="96"/>
      <c r="K73" s="96"/>
      <c r="L73" s="96"/>
      <c r="M73" s="96"/>
    </row>
    <row r="74" spans="1:13" ht="12.75" customHeight="1" x14ac:dyDescent="0.25">
      <c r="A74" s="1314" t="s">
        <v>18</v>
      </c>
      <c r="B74" s="1314"/>
      <c r="C74" s="1314"/>
      <c r="D74" s="1314"/>
      <c r="E74" s="1314"/>
      <c r="F74" s="1314"/>
      <c r="G74" s="1314"/>
      <c r="H74" s="1314"/>
      <c r="I74" s="1314"/>
      <c r="J74" s="1314"/>
      <c r="K74" s="1314"/>
      <c r="L74" s="1314"/>
      <c r="M74" s="1314"/>
    </row>
    <row r="75" spans="1:13" ht="12.75" customHeight="1" x14ac:dyDescent="0.25">
      <c r="A75" s="1353" t="s">
        <v>19</v>
      </c>
      <c r="B75" s="1314"/>
      <c r="C75" s="1314"/>
      <c r="D75" s="1314"/>
      <c r="E75" s="1314"/>
      <c r="F75" s="1314"/>
      <c r="G75" s="1314"/>
      <c r="H75" s="1314"/>
      <c r="I75" s="1314"/>
      <c r="J75" s="1314"/>
      <c r="K75" s="1314"/>
      <c r="L75" s="1314"/>
      <c r="M75" s="1314"/>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19" activePane="bottomRight" state="frozen"/>
      <selection activeCell="C6" sqref="C6"/>
      <selection pane="topRight" activeCell="C6" sqref="C6"/>
      <selection pane="bottomLeft" activeCell="C6" sqref="C6"/>
      <selection pane="bottomRight" activeCell="L19" sqref="L19"/>
    </sheetView>
  </sheetViews>
  <sheetFormatPr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LIM354 Polokwane - Supporting Table SB4 Adjustments to budgeted performance indicators and benchmarks - 25 February 2016</v>
      </c>
      <c r="C1" s="58"/>
    </row>
    <row r="2" spans="1:10" ht="38.25" x14ac:dyDescent="0.25">
      <c r="A2" s="1321" t="str">
        <f>desc&amp;" of financial indicator"</f>
        <v>Description of financial indicator</v>
      </c>
      <c r="B2" s="1318" t="s">
        <v>20</v>
      </c>
      <c r="C2" s="327" t="str">
        <f>Head1B</f>
        <v>2012/13</v>
      </c>
      <c r="D2" s="328" t="str">
        <f>Head1A</f>
        <v>2013/14</v>
      </c>
      <c r="E2" s="328" t="str">
        <f>Head1</f>
        <v>2014/15</v>
      </c>
      <c r="F2" s="1350" t="str">
        <f>Head2</f>
        <v>Budget Year 2015/16</v>
      </c>
      <c r="G2" s="1316"/>
      <c r="H2" s="1317"/>
      <c r="I2" s="170" t="str">
        <f>Head10</f>
        <v>Budget Year +1 2016/17</v>
      </c>
      <c r="J2" s="171" t="str">
        <f>Head11</f>
        <v>Budget Year +2 2017/18</v>
      </c>
    </row>
    <row r="3" spans="1:10" ht="25.5" x14ac:dyDescent="0.25">
      <c r="A3" s="1354"/>
      <c r="B3" s="1327"/>
      <c r="C3" s="329" t="str">
        <f>Head5</f>
        <v>Audited Outcome</v>
      </c>
      <c r="D3" s="329" t="str">
        <f>Head5</f>
        <v>Audited Outcome</v>
      </c>
      <c r="E3" s="329" t="str">
        <f>Head5</f>
        <v>Audited Outcome</v>
      </c>
      <c r="F3" s="329" t="str">
        <f>Head6</f>
        <v>Original Budget</v>
      </c>
      <c r="G3" s="329" t="str">
        <f>Head54</f>
        <v>Prior Adjusted</v>
      </c>
      <c r="H3" s="329" t="str">
        <f>Head7</f>
        <v>Adjusted Budget</v>
      </c>
      <c r="I3" s="330" t="str">
        <f>Head7</f>
        <v>Adjusted Budget</v>
      </c>
      <c r="J3" s="331" t="str">
        <f>Head7</f>
        <v>Adjusted Budget</v>
      </c>
    </row>
    <row r="4" spans="1:10" x14ac:dyDescent="0.25">
      <c r="A4" s="332" t="s">
        <v>21</v>
      </c>
      <c r="B4" s="333"/>
      <c r="C4" s="243"/>
      <c r="D4" s="1092"/>
      <c r="E4" s="1092"/>
      <c r="F4" s="244"/>
      <c r="G4" s="244"/>
      <c r="H4" s="244"/>
      <c r="I4" s="334"/>
      <c r="J4" s="246"/>
    </row>
    <row r="5" spans="1:10" ht="3" customHeight="1" x14ac:dyDescent="0.25">
      <c r="A5" s="335"/>
      <c r="B5" s="333"/>
      <c r="C5" s="128"/>
      <c r="D5" s="1091"/>
      <c r="E5" s="1091"/>
      <c r="F5" s="337"/>
      <c r="G5" s="337"/>
      <c r="H5" s="337"/>
      <c r="I5" s="338"/>
      <c r="J5" s="339"/>
    </row>
    <row r="6" spans="1:10" x14ac:dyDescent="0.25">
      <c r="A6" s="335" t="s">
        <v>22</v>
      </c>
      <c r="B6" s="333" t="s">
        <v>23</v>
      </c>
      <c r="C6" s="340"/>
      <c r="D6" s="336"/>
      <c r="E6" s="336"/>
      <c r="F6" s="336"/>
      <c r="G6" s="336"/>
      <c r="H6" s="336"/>
      <c r="I6" s="341"/>
      <c r="J6" s="342"/>
    </row>
    <row r="7" spans="1:10" ht="24" customHeight="1" x14ac:dyDescent="0.25">
      <c r="A7" s="335" t="s">
        <v>24</v>
      </c>
      <c r="B7" s="333" t="s">
        <v>25</v>
      </c>
      <c r="C7" s="340"/>
      <c r="D7" s="336"/>
      <c r="E7" s="336"/>
      <c r="F7" s="337">
        <f>IF(ISERROR(('B4-FinPerf RE'!C31-'B7-CFlow'!C37)/'B4-FinPerf RE'!C38),0,(('B4-FinPerf RE'!C31-'B7-CFlow'!C37)/'B4-FinPerf RE'!C38))</f>
        <v>4.1554514621260925E-2</v>
      </c>
      <c r="G7" s="337">
        <f>IF(ISERROR(('B4-FinPerf RE'!D31-'B7-CFlow'!D37)/'B4-FinPerf RE'!D38),0,(('B4-FinPerf RE'!D31-'B7-CFlow'!D37)/'B4-FinPerf RE'!D38))</f>
        <v>0</v>
      </c>
      <c r="H7" s="337">
        <f>IF(ISERROR(('B4-FinPerf RE'!K31-'B7-CFlow'!K37)/'B4-FinPerf RE'!K38),0,(('B4-FinPerf RE'!K31-'B7-CFlow'!K37)/'B4-FinPerf RE'!K38))</f>
        <v>4.0956601498683097E-2</v>
      </c>
      <c r="I7" s="338">
        <f>IF(ISERROR(('B4-FinPerf RE'!L31-'B7-CFlow'!L37)/'B4-FinPerf RE'!L38),0,(('B4-FinPerf RE'!L31-'B7-CFlow'!L37)/'B4-FinPerf RE'!L38))</f>
        <v>4.3298635401748047E-2</v>
      </c>
      <c r="J7" s="339">
        <f>IF(ISERROR(('B4-FinPerf RE'!M31-'B7-CFlow'!M37)/'B4-FinPerf RE'!M38),0,(('B4-FinPerf RE'!M31-'B7-CFlow'!M37)/'B4-FinPerf RE'!M38))</f>
        <v>4.0771588196645704E-2</v>
      </c>
    </row>
    <row r="8" spans="1:10" ht="24" customHeight="1" x14ac:dyDescent="0.25">
      <c r="A8" s="335" t="s">
        <v>1624</v>
      </c>
      <c r="B8" s="1144" t="s">
        <v>1625</v>
      </c>
      <c r="C8" s="340"/>
      <c r="D8" s="336"/>
      <c r="E8" s="336"/>
      <c r="F8" s="337">
        <f>IF(ISERROR(('B4-FinPerf RE'!C32-'B7-CFlow'!C38)/'B4-FinPerf RE'!C39),0,(('B4-FinPerf RE'!C32-'B7-CFlow'!C38)/'B4-FinPerf RE'!C39))</f>
        <v>0</v>
      </c>
      <c r="G8" s="337">
        <f>IF(ISERROR(('B4-FinPerf RE'!D32-'B7-CFlow'!D38)/'B4-FinPerf RE'!D39),0,(('B4-FinPerf RE'!D32-'B7-CFlow'!D38)/'B4-FinPerf RE'!D39))</f>
        <v>0</v>
      </c>
      <c r="H8" s="337">
        <f>IF(ISERROR(('B4-FinPerf RE'!K32-'B7-CFlow'!K38)/'B4-FinPerf RE'!K39),0,(('B4-FinPerf RE'!K32-'B7-CFlow'!K38)/'B4-FinPerf RE'!K39))</f>
        <v>0</v>
      </c>
      <c r="I8" s="338">
        <f>IF(ISERROR(('B4-FinPerf RE'!L32-'B7-CFlow'!L38)/'B4-FinPerf RE'!L39),0,(('B4-FinPerf RE'!L32-'B7-CFlow'!L38)/'B4-FinPerf RE'!L39))</f>
        <v>0</v>
      </c>
      <c r="J8" s="339">
        <f>IF(ISERROR(('B4-FinPerf RE'!M32-'B7-CFlow'!M38)/'B4-FinPerf RE'!M39),0,(('B4-FinPerf RE'!M32-'B7-CFlow'!M38)/'B4-FinPerf RE'!M39))</f>
        <v>0</v>
      </c>
    </row>
    <row r="9" spans="1:10" ht="24" customHeight="1" x14ac:dyDescent="0.25">
      <c r="A9" s="335" t="s">
        <v>1261</v>
      </c>
      <c r="B9" s="333" t="s">
        <v>1262</v>
      </c>
      <c r="C9" s="340"/>
      <c r="D9" s="336"/>
      <c r="E9" s="336"/>
      <c r="F9" s="337">
        <f>IF(ISERROR('B5-Capex'!C74/('B5-Capex'!C65-'B5-Capex'!C72)),0,('B5-Capex'!C74/('B5-Capex'!C65-'B5-Capex'!C72)))</f>
        <v>0</v>
      </c>
      <c r="G9" s="337">
        <f>IF(ISERROR('B5-Capex'!D74/('B5-Capex'!D65-'B5-Capex'!D72)),0,('B5-Capex'!D74/('B5-Capex'!D65-'B5-Capex'!D72)))</f>
        <v>0</v>
      </c>
      <c r="H9" s="337">
        <f>IF(ISERROR('B5-Capex'!K74/('B5-Capex'!K65-'B5-Capex'!L72)),0,('B5-Capex'!K74/('B5-Capex'!K65-'B5-Capex'!L72)))</f>
        <v>0</v>
      </c>
      <c r="I9" s="338">
        <f>IF(ISERROR('B5-Capex'!L74/('B5-Capex'!L65-'B5-Capex'!M72)),0,('B5-Capex'!L74/('B5-Capex'!L65-'B5-Capex'!M72)))</f>
        <v>0</v>
      </c>
      <c r="J9" s="339">
        <f>IF(ISERROR('B5-Capex'!M74/('B5-Capex'!M65-'B5-Capex'!N72)),0,('B5-Capex'!M74/('B5-Capex'!M65-'B5-Capex'!N72)))</f>
        <v>0</v>
      </c>
    </row>
    <row r="10" spans="1:10" x14ac:dyDescent="0.25">
      <c r="A10" s="332" t="s">
        <v>27</v>
      </c>
      <c r="B10" s="333"/>
      <c r="C10" s="340"/>
      <c r="D10" s="336"/>
      <c r="E10" s="336"/>
      <c r="F10" s="337"/>
      <c r="G10" s="337"/>
      <c r="H10" s="337"/>
      <c r="I10" s="338"/>
      <c r="J10" s="339"/>
    </row>
    <row r="11" spans="1:10" ht="24.75" customHeight="1" x14ac:dyDescent="0.25">
      <c r="A11" s="335" t="s">
        <v>28</v>
      </c>
      <c r="B11" s="333" t="s">
        <v>29</v>
      </c>
      <c r="C11" s="340"/>
      <c r="D11" s="336"/>
      <c r="E11" s="336"/>
      <c r="F11" s="337">
        <f>IF(ISERROR('B6-FinPos'!C39/'B6-FinPos'!C48),0,('B6-FinPos'!C39/'B6-FinPos'!C48))</f>
        <v>0.13723401992015105</v>
      </c>
      <c r="G11" s="337">
        <f>IF(ISERROR('B6-FinPos'!D39/'B6-FinPos'!D48),0,('B6-FinPos'!D39/'B6-FinPos'!D48))</f>
        <v>0</v>
      </c>
      <c r="H11" s="337">
        <f>IF(ISERROR('B6-FinPos'!K39/'B6-FinPos'!K48),0,('B6-FinPos'!K39/'B6-FinPos'!K48))</f>
        <v>0.1380639364763529</v>
      </c>
      <c r="I11" s="338">
        <f>IF(ISERROR('B6-FinPos'!L39/'B6-FinPos'!L48),0,('B6-FinPos'!L39/'B6-FinPos'!L48))</f>
        <v>0.10856417010823513</v>
      </c>
      <c r="J11" s="339">
        <f>IF(ISERROR('B6-FinPos'!M39/'B6-FinPos'!M48),0,('B6-FinPos'!M39/'B6-FinPos'!M48))</f>
        <v>7.1263382778624373E-2</v>
      </c>
    </row>
    <row r="12" spans="1:10" x14ac:dyDescent="0.25">
      <c r="A12" s="332" t="s">
        <v>30</v>
      </c>
      <c r="B12" s="333"/>
      <c r="C12" s="340"/>
      <c r="D12" s="336"/>
      <c r="E12" s="336"/>
      <c r="F12" s="337"/>
      <c r="G12" s="337"/>
      <c r="H12" s="337"/>
      <c r="I12" s="338"/>
      <c r="J12" s="339"/>
    </row>
    <row r="13" spans="1:10" x14ac:dyDescent="0.25">
      <c r="A13" s="335" t="s">
        <v>31</v>
      </c>
      <c r="B13" s="333" t="s">
        <v>32</v>
      </c>
      <c r="C13" s="340"/>
      <c r="D13" s="336"/>
      <c r="E13" s="336"/>
      <c r="F13" s="337">
        <f>IF(ISERROR('B6-FinPos'!C14/'B6-FinPos'!C36),0,('B6-FinPos'!C14/'B6-FinPos'!C36))</f>
        <v>1.0355822018191234</v>
      </c>
      <c r="G13" s="337">
        <f>IF(ISERROR('B6-FinPos'!D14/'B6-FinPos'!D36),0,('B6-FinPos'!D14/'B6-FinPos'!D36))</f>
        <v>0</v>
      </c>
      <c r="H13" s="337">
        <f>IF(ISERROR('B6-FinPos'!K14/'B6-FinPos'!K36),0,('B6-FinPos'!K14/'B6-FinPos'!K36))</f>
        <v>0.60598335058876107</v>
      </c>
      <c r="I13" s="338">
        <f>IF(ISERROR('B6-FinPos'!L14/'B6-FinPos'!L36),0,('B6-FinPos'!L14/'B6-FinPos'!L36))</f>
        <v>0.71834593301001448</v>
      </c>
      <c r="J13" s="339">
        <f>IF(ISERROR('B6-FinPos'!M14/'B6-FinPos'!M36),0,('B6-FinPos'!M14/'B6-FinPos'!M36))</f>
        <v>0.67546767972752408</v>
      </c>
    </row>
    <row r="14" spans="1:10" ht="25.5" x14ac:dyDescent="0.25">
      <c r="A14" s="335" t="s">
        <v>33</v>
      </c>
      <c r="B14" s="333" t="s">
        <v>1263</v>
      </c>
      <c r="C14" s="340"/>
      <c r="D14" s="336"/>
      <c r="E14" s="336"/>
      <c r="F14" s="337">
        <f>IF(ISERROR(('B6-FinPos'!C14-'SB4'!F44)/'B6-FinPos'!C36),0,(('B6-FinPos'!C14-'SB4'!F44)/'B6-FinPos'!C36))</f>
        <v>1.0355822018191234</v>
      </c>
      <c r="G14" s="337">
        <f>IF(ISERROR(('B6-FinPos'!D14-'SB4'!G44)/'B6-FinPos'!D36),0,(('B6-FinPos'!D14-'SB4'!G44)/'B6-FinPos'!D36))</f>
        <v>0</v>
      </c>
      <c r="H14" s="337">
        <f>IF(ISERROR(('B6-FinPos'!E14-'SB4'!H44)/'B6-FinPos'!E36),0,(('B6-FinPos'!E14-'SB4'!H44)/'B6-FinPos'!E36))</f>
        <v>0</v>
      </c>
      <c r="I14" s="337">
        <f>IF(ISERROR(('B6-FinPos'!F14-'SB4'!I44)/'B6-FinPos'!F36),0,(('B6-FinPos'!F14-'SB4'!I44)/'B6-FinPos'!F36))</f>
        <v>0</v>
      </c>
      <c r="J14" s="337">
        <f>IF(ISERROR(('B6-FinPos'!G14-'SB4'!J44)/'B6-FinPos'!G36),0,(('B6-FinPos'!G14-'SB4'!J44)/'B6-FinPos'!G36))</f>
        <v>0</v>
      </c>
    </row>
    <row r="15" spans="1:10" x14ac:dyDescent="0.25">
      <c r="A15" s="335" t="s">
        <v>34</v>
      </c>
      <c r="B15" s="333" t="s">
        <v>35</v>
      </c>
      <c r="C15" s="340"/>
      <c r="D15" s="336"/>
      <c r="E15" s="336"/>
      <c r="F15" s="917">
        <f>IF(ISERROR(('B6-FinPos'!C8+'B6-FinPos'!C9)/'B6-FinPos'!C36),0,(('B6-FinPos'!C8+'B6-FinPos'!C9)/'B6-FinPos'!C36))</f>
        <v>0.48420202455110545</v>
      </c>
      <c r="G15" s="917">
        <f>IF(ISERROR(('B6-FinPos'!D8+'B6-FinPos'!D9)/'B6-FinPos'!D36),0,(('B6-FinPos'!D8+'B6-FinPos'!D9)/'B6-FinPos'!D36))</f>
        <v>0</v>
      </c>
      <c r="H15" s="917">
        <f>IF(ISERROR(('B6-FinPos'!K8+'B6-FinPos'!K9)/'B6-FinPos'!K36),0,(('B6-FinPos'!K8+'B6-FinPos'!K9)/'B6-FinPos'!K36))</f>
        <v>0.25214350016554216</v>
      </c>
      <c r="I15" s="918">
        <f>IF(ISERROR(('B6-FinPos'!L8+'B6-FinPos'!L9)/'B6-FinPos'!L36),0,(('B6-FinPos'!L8+'B6-FinPos'!L9)/'B6-FinPos'!L36))</f>
        <v>0.50749954889555526</v>
      </c>
      <c r="J15" s="919">
        <f>IF(ISERROR(('B6-FinPos'!M8+'B6-FinPos'!M9)/'B6-FinPos'!M36),0,(('B6-FinPos'!M8+'B6-FinPos'!M9)/'B6-FinPos'!M36))</f>
        <v>0.42884564153099108</v>
      </c>
    </row>
    <row r="16" spans="1:10" x14ac:dyDescent="0.25">
      <c r="A16" s="332" t="s">
        <v>36</v>
      </c>
      <c r="B16" s="333"/>
      <c r="C16" s="340"/>
      <c r="D16" s="336"/>
      <c r="E16" s="336"/>
      <c r="F16" s="337"/>
      <c r="G16" s="337"/>
      <c r="H16" s="337"/>
      <c r="I16" s="338"/>
      <c r="J16" s="339"/>
    </row>
    <row r="17" spans="1:10" ht="24.75" customHeight="1" x14ac:dyDescent="0.25">
      <c r="A17" s="335" t="s">
        <v>37</v>
      </c>
      <c r="B17" s="333" t="s">
        <v>38</v>
      </c>
      <c r="C17" s="340"/>
      <c r="D17" s="336"/>
      <c r="E17" s="336"/>
      <c r="F17" s="336"/>
      <c r="G17" s="336"/>
      <c r="H17" s="336"/>
      <c r="I17" s="343"/>
      <c r="J17" s="344"/>
    </row>
    <row r="18" spans="1:10" ht="24.75" customHeight="1" x14ac:dyDescent="0.25">
      <c r="A18" s="335" t="s">
        <v>1626</v>
      </c>
      <c r="B18" s="333"/>
      <c r="C18" s="340"/>
      <c r="D18" s="336"/>
      <c r="E18" s="336"/>
      <c r="F18" s="336"/>
      <c r="G18" s="336"/>
      <c r="H18" s="336"/>
      <c r="I18" s="343"/>
      <c r="J18" s="344"/>
    </row>
    <row r="19" spans="1:10" ht="24.75" customHeight="1" x14ac:dyDescent="0.25">
      <c r="A19" s="335" t="s">
        <v>39</v>
      </c>
      <c r="B19" s="333" t="s">
        <v>40</v>
      </c>
      <c r="C19" s="340"/>
      <c r="D19" s="336"/>
      <c r="E19" s="336"/>
      <c r="F19" s="337">
        <f>IF(ISERROR((SUM('B6-FinPos'!C10:C12)+'B6-FinPos'!C17)/'B4-FinPerf RE'!C24),0,((SUM('B6-FinPos'!C10:C12)+'B6-FinPos'!C17)/'B4-FinPerf RE'!C24))</f>
        <v>0.17599358734110032</v>
      </c>
      <c r="G19" s="337">
        <f>IF(ISERROR((SUM('B6-FinPos'!D10:D12)+'B6-FinPos'!D17)/'B4-FinPerf RE'!D24),0,((SUM('B6-FinPos'!D10:D12)+'B6-FinPos'!D17)/'B4-FinPerf RE'!D24))</f>
        <v>0</v>
      </c>
      <c r="H19" s="337">
        <f>IF(ISERROR((SUM('B6-FinPos'!K10:K12)+'B6-FinPos'!K17)/'B4-FinPerf RE'!K24),0,((SUM('B6-FinPos'!K10:K12)+'B6-FinPos'!K17)/'B4-FinPerf RE'!K24))</f>
        <v>7.3485365539479694E-2</v>
      </c>
      <c r="I19" s="338">
        <f>IF(ISERROR((SUM('B6-FinPos'!L10:L12)+'B6-FinPos'!L17)/'B4-FinPerf RE'!L24),0,((SUM('B6-FinPos'!L10:L12)+'B6-FinPos'!L17)/'B4-FinPerf RE'!L24))</f>
        <v>4.6861073531902185E-2</v>
      </c>
      <c r="J19" s="339">
        <f>IF(ISERROR((SUM('B6-FinPos'!M10:M12)+'B6-FinPos'!M17)/'B4-FinPerf RE'!M24),0,((SUM('B6-FinPos'!M10:M12)+'B6-FinPos'!M17)/'B4-FinPerf RE'!M24))</f>
        <v>5.3348803159415384E-2</v>
      </c>
    </row>
    <row r="20" spans="1:10" ht="25.5" x14ac:dyDescent="0.25">
      <c r="A20" s="335" t="s">
        <v>41</v>
      </c>
      <c r="B20" s="333" t="s">
        <v>42</v>
      </c>
      <c r="C20" s="340"/>
      <c r="D20" s="336"/>
      <c r="E20" s="336"/>
      <c r="F20" s="337">
        <f>IF(ISERROR(F45/'B6-FinPos'!C17),0,(F45/'B6-FinPos'!C17))</f>
        <v>0</v>
      </c>
      <c r="G20" s="337">
        <f>IF(ISERROR(G45/'B6-FinPos'!D17),0,(G45/'B6-FinPos'!D17))</f>
        <v>0</v>
      </c>
      <c r="H20" s="337">
        <f>IF(ISERROR(H45/'B6-FinPos'!K17),0,(H45/'B6-FinPos'!K17))</f>
        <v>0</v>
      </c>
      <c r="I20" s="338">
        <f>IF(ISERROR(I45/'B6-FinPos'!L17),0,(I45/'B6-FinPos'!L17))</f>
        <v>0</v>
      </c>
      <c r="J20" s="339">
        <f>IF(ISERROR(J45/'B6-FinPos'!M17),0,(J45/'B6-FinPos'!M17))</f>
        <v>0</v>
      </c>
    </row>
    <row r="21" spans="1:10" x14ac:dyDescent="0.25">
      <c r="A21" s="332" t="s">
        <v>43</v>
      </c>
      <c r="B21" s="333"/>
      <c r="C21" s="340"/>
      <c r="D21" s="336"/>
      <c r="E21" s="336"/>
      <c r="F21" s="337"/>
      <c r="G21" s="337"/>
      <c r="H21" s="337"/>
      <c r="I21" s="338"/>
      <c r="J21" s="339"/>
    </row>
    <row r="22" spans="1:10" ht="25.5" x14ac:dyDescent="0.25">
      <c r="A22" s="335" t="s">
        <v>44</v>
      </c>
      <c r="B22" s="333" t="s">
        <v>45</v>
      </c>
      <c r="C22" s="340"/>
      <c r="D22" s="336"/>
      <c r="E22" s="336"/>
      <c r="F22" s="336"/>
      <c r="G22" s="336"/>
      <c r="H22" s="336"/>
      <c r="I22" s="343"/>
      <c r="J22" s="344"/>
    </row>
    <row r="23" spans="1:10" x14ac:dyDescent="0.25">
      <c r="A23" s="335" t="s">
        <v>1627</v>
      </c>
      <c r="B23" s="333"/>
      <c r="C23" s="340"/>
      <c r="D23" s="336"/>
      <c r="E23" s="336"/>
      <c r="F23" s="337">
        <f>IF(ISERROR('SB2'!C35/'B7-CFlow'!C42), 0, ('SB2'!C35/'B7-CFlow'!C42))</f>
        <v>2.2838903799835468</v>
      </c>
      <c r="G23" s="337">
        <f>IF(ISERROR('SB2'!D35/'B7-CFlow'!D42), 0, ('SB2'!D35/'B7-CFlow'!D42))</f>
        <v>0</v>
      </c>
      <c r="H23" s="337">
        <f>IF(ISERROR('SB2'!K35/'B7-CFlow'!K42), 0, ('SB2'!K35/'B7-CFlow'!K42))</f>
        <v>3.6207064849022066</v>
      </c>
      <c r="I23" s="337">
        <f>IF(ISERROR('SB2'!L35/'B7-CFlow'!L42), 0, ('SB2'!L35/'B7-CFlow'!L42))</f>
        <v>3.1908567464860482</v>
      </c>
      <c r="J23" s="339">
        <f>IF(ISERROR('SB2'!M35/'B7-CFlow'!M42), 0, ('SB2'!M35/'B7-CFlow'!M42))</f>
        <v>2.0908236847462538</v>
      </c>
    </row>
    <row r="24" spans="1:10" ht="5.25" customHeight="1" x14ac:dyDescent="0.25">
      <c r="A24" s="335"/>
      <c r="B24" s="333"/>
      <c r="C24" s="340"/>
      <c r="D24" s="336"/>
      <c r="E24" s="336"/>
      <c r="F24" s="336"/>
      <c r="G24" s="336"/>
      <c r="H24" s="336"/>
      <c r="I24" s="343"/>
      <c r="J24" s="344"/>
    </row>
    <row r="25" spans="1:10" x14ac:dyDescent="0.25">
      <c r="A25" s="332" t="s">
        <v>46</v>
      </c>
      <c r="B25" s="333"/>
      <c r="C25" s="340"/>
      <c r="D25" s="336"/>
      <c r="E25" s="336"/>
      <c r="F25" s="337"/>
      <c r="G25" s="337"/>
      <c r="H25" s="337"/>
      <c r="I25" s="338"/>
      <c r="J25" s="339"/>
    </row>
    <row r="26" spans="1:10" ht="18.75" customHeight="1" x14ac:dyDescent="0.25">
      <c r="A26" s="1355" t="s">
        <v>47</v>
      </c>
      <c r="B26" s="697" t="s">
        <v>1600</v>
      </c>
      <c r="C26" s="1108"/>
      <c r="D26" s="1109"/>
      <c r="E26" s="1109"/>
      <c r="F26" s="1109"/>
      <c r="G26" s="1109"/>
      <c r="H26" s="1109"/>
      <c r="I26" s="1110"/>
      <c r="J26" s="344"/>
    </row>
    <row r="27" spans="1:10" ht="18.75" customHeight="1" x14ac:dyDescent="0.25">
      <c r="A27" s="1355"/>
      <c r="B27" s="697" t="s">
        <v>1601</v>
      </c>
      <c r="C27" s="752"/>
      <c r="D27" s="751"/>
      <c r="E27" s="751"/>
      <c r="F27" s="751"/>
      <c r="G27" s="751"/>
      <c r="H27" s="751"/>
      <c r="I27" s="751"/>
      <c r="J27" s="1107"/>
    </row>
    <row r="28" spans="1:10" ht="39.75" customHeight="1" x14ac:dyDescent="0.25">
      <c r="A28" s="1128"/>
      <c r="B28" s="1146" t="s">
        <v>1628</v>
      </c>
      <c r="C28" s="752"/>
      <c r="D28" s="751"/>
      <c r="E28" s="751"/>
      <c r="F28" s="751"/>
      <c r="G28" s="751"/>
      <c r="H28" s="751"/>
      <c r="I28" s="1145"/>
      <c r="J28" s="1107"/>
    </row>
    <row r="29" spans="1:10" ht="18.75" customHeight="1" x14ac:dyDescent="0.25">
      <c r="A29" s="1355" t="s">
        <v>48</v>
      </c>
      <c r="B29" s="697" t="s">
        <v>1602</v>
      </c>
      <c r="C29" s="1108"/>
      <c r="D29" s="1109"/>
      <c r="E29" s="1109"/>
      <c r="F29" s="1109"/>
      <c r="G29" s="1109"/>
      <c r="H29" s="1109"/>
      <c r="I29" s="1110"/>
      <c r="J29" s="344"/>
    </row>
    <row r="30" spans="1:10" ht="18.75" customHeight="1" x14ac:dyDescent="0.25">
      <c r="A30" s="1355"/>
      <c r="B30" s="697" t="s">
        <v>1601</v>
      </c>
      <c r="C30" s="752"/>
      <c r="D30" s="751"/>
      <c r="E30" s="751"/>
      <c r="F30" s="751"/>
      <c r="G30" s="751"/>
      <c r="H30" s="751"/>
      <c r="I30" s="751"/>
      <c r="J30" s="1107"/>
    </row>
    <row r="31" spans="1:10" ht="40.5" customHeight="1" x14ac:dyDescent="0.25">
      <c r="A31" s="1147"/>
      <c r="B31" s="1146" t="s">
        <v>1628</v>
      </c>
      <c r="C31" s="752"/>
      <c r="D31" s="751"/>
      <c r="E31" s="751"/>
      <c r="F31" s="751"/>
      <c r="G31" s="751"/>
      <c r="H31" s="751"/>
      <c r="I31" s="751"/>
      <c r="J31" s="1107"/>
    </row>
    <row r="32" spans="1:10" ht="25.5" x14ac:dyDescent="0.25">
      <c r="A32" s="335" t="s">
        <v>596</v>
      </c>
      <c r="B32" s="333" t="s">
        <v>49</v>
      </c>
      <c r="C32" s="340"/>
      <c r="D32" s="336"/>
      <c r="E32" s="336"/>
      <c r="F32" s="337">
        <f>IF(ISERROR('B4-FinPerf RE'!C27/'B4-FinPerf RE'!C24),0,('B4-FinPerf RE'!C27/'B4-FinPerf RE'!C24))</f>
        <v>0.23766263361032136</v>
      </c>
      <c r="G32" s="337">
        <f>IF(ISERROR('B4-FinPerf RE'!D27/'B4-FinPerf RE'!D24),0,('B4-FinPerf RE'!D27/'B4-FinPerf RE'!D24))</f>
        <v>0</v>
      </c>
      <c r="H32" s="337">
        <f>IF(ISERROR('B4-FinPerf RE'!K27/'B4-FinPerf RE'!K24),0,('B4-FinPerf RE'!K27/'B4-FinPerf RE'!K24))</f>
        <v>0.23054439161181228</v>
      </c>
      <c r="I32" s="337">
        <f>IF(ISERROR('B4-FinPerf RE'!L27/'B4-FinPerf RE'!L24),0,('B4-FinPerf RE'!L27/'B4-FinPerf RE'!L24))</f>
        <v>0.24067279827804614</v>
      </c>
      <c r="J32" s="339">
        <f>IF(ISERROR('B4-FinPerf RE'!M27/'B4-FinPerf RE'!M24),0,('B4-FinPerf RE'!M27/'B4-FinPerf RE'!M24))</f>
        <v>0.23512722078777074</v>
      </c>
    </row>
    <row r="33" spans="1:12" ht="25.5" x14ac:dyDescent="0.25">
      <c r="A33" s="335" t="s">
        <v>1629</v>
      </c>
      <c r="B33" s="1144" t="s">
        <v>1630</v>
      </c>
      <c r="C33" s="340"/>
      <c r="D33" s="336"/>
      <c r="E33" s="336"/>
      <c r="F33" s="337"/>
      <c r="G33" s="337"/>
      <c r="H33" s="337"/>
      <c r="I33" s="337"/>
      <c r="J33" s="339"/>
    </row>
    <row r="34" spans="1:12" ht="25.5" x14ac:dyDescent="0.25">
      <c r="A34" s="335" t="s">
        <v>50</v>
      </c>
      <c r="B34" s="333" t="s">
        <v>51</v>
      </c>
      <c r="C34" s="340"/>
      <c r="D34" s="336"/>
      <c r="E34" s="336"/>
      <c r="F34" s="337">
        <f>IF(ISERROR('B9-Asset'!C71/'B4-FinPerf RE'!C24),0,('B9-Asset'!C71/'B4-FinPerf RE'!C24))</f>
        <v>7.3829538487203625E-2</v>
      </c>
      <c r="G34" s="337">
        <f>IF(ISERROR('B9-Asset'!D71/'B4-FinPerf RE'!D24),0,('B9-Asset'!D71/'B4-FinPerf RE'!D24))</f>
        <v>0</v>
      </c>
      <c r="H34" s="337">
        <f>IF(ISERROR('B9-Asset'!K71/'B4-FinPerf RE'!K24),0,('B9-Asset'!K71/'B4-FinPerf RE'!K24))</f>
        <v>8.1236113091533724E-2</v>
      </c>
      <c r="I34" s="337">
        <f>IF(ISERROR('B9-Asset'!L71/'B4-FinPerf RE'!L24),0,('B9-Asset'!L71/'B4-FinPerf RE'!L24))</f>
        <v>7.4599085296440576E-2</v>
      </c>
      <c r="J34" s="339">
        <f>IF(ISERROR('B9-Asset'!M71/'B4-FinPerf RE'!M24),0,('B9-Asset'!M71/'B4-FinPerf RE'!M24))</f>
        <v>7.2881360798747699E-2</v>
      </c>
    </row>
    <row r="35" spans="1:12" ht="25.5" x14ac:dyDescent="0.25">
      <c r="A35" s="335" t="s">
        <v>52</v>
      </c>
      <c r="B35" s="333" t="s">
        <v>53</v>
      </c>
      <c r="C35" s="340"/>
      <c r="D35" s="336"/>
      <c r="E35" s="336"/>
      <c r="F35" s="337">
        <f>IF(ISERROR(('B4-FinPerf RE'!C30+'B4-FinPerf RE'!C31)/'B4-FinPerf RE'!C24),0,(('B4-FinPerf RE'!C30+'B4-FinPerf RE'!C31)/'B4-FinPerf RE'!C24))</f>
        <v>0.10064617338648844</v>
      </c>
      <c r="G35" s="337">
        <f>IF(ISERROR(('B4-FinPerf RE'!D30+'B4-FinPerf RE'!D31)/'B4-FinPerf RE'!D24),0,(('B4-FinPerf RE'!D30+'B4-FinPerf RE'!D31)/'B4-FinPerf RE'!D24))</f>
        <v>0</v>
      </c>
      <c r="H35" s="337">
        <f>IF(ISERROR(('B4-FinPerf RE'!K30+'B4-FinPerf RE'!K31)/'B4-FinPerf RE'!K24),0,(('B4-FinPerf RE'!K30+'B4-FinPerf RE'!K31)/'B4-FinPerf RE'!K24))</f>
        <v>9.7635133360532367E-2</v>
      </c>
      <c r="I35" s="338">
        <f>IF(ISERROR(('B4-FinPerf RE'!L30+'B4-FinPerf RE'!L31)/'B4-FinPerf RE'!L24),0,(('B4-FinPerf RE'!L30+'B4-FinPerf RE'!L31)/'B4-FinPerf RE'!L24))</f>
        <v>0.10361678741413244</v>
      </c>
      <c r="J35" s="339">
        <f>IF(ISERROR(('B4-FinPerf RE'!M30+'B4-FinPerf RE'!M31)/'B4-FinPerf RE'!M24),0,(('B4-FinPerf RE'!M30+'B4-FinPerf RE'!M31)/'B4-FinPerf RE'!M24))</f>
        <v>9.957577162674279E-2</v>
      </c>
    </row>
    <row r="36" spans="1:12" x14ac:dyDescent="0.25">
      <c r="A36" s="332" t="s">
        <v>54</v>
      </c>
      <c r="B36" s="333"/>
      <c r="C36" s="340"/>
      <c r="D36" s="336"/>
      <c r="E36" s="336"/>
      <c r="F36" s="337"/>
      <c r="G36" s="337"/>
      <c r="H36" s="337"/>
      <c r="I36" s="338"/>
      <c r="J36" s="339"/>
    </row>
    <row r="37" spans="1:12" ht="39.75" customHeight="1" x14ac:dyDescent="0.25">
      <c r="A37" s="335" t="s">
        <v>55</v>
      </c>
      <c r="B37" s="333" t="s">
        <v>56</v>
      </c>
      <c r="C37" s="345"/>
      <c r="D37" s="336"/>
      <c r="E37" s="336"/>
      <c r="F37" s="337">
        <f>IF(ISERROR(('B4-FinPerf RE'!C24-'B4-FinPerf RE'!C21)/('B4-FinPerf RE'!L31-'B7-CFlow'!L37)),0,(('B4-FinPerf RE'!C24-'B4-FinPerf RE'!C21)/('B4-FinPerf RE'!L31-'B7-CFlow'!L37)))</f>
        <v>16.86987848161581</v>
      </c>
      <c r="G37" s="337">
        <f>IF(ISERROR(('B4-FinPerf RE'!D24-'B4-FinPerf RE'!D21)/('B4-FinPerf RE'!L31-'B7-CFlow'!L37)),0,(('B4-FinPerf RE'!D24-'B4-FinPerf RE'!D21)/('B4-FinPerf RE'!L31-'B7-CFlow'!L37)))</f>
        <v>0</v>
      </c>
      <c r="H37" s="337">
        <f>IF(ISERROR(('B4-FinPerf RE'!K24-'B4-FinPerf RE'!K21)/('B4-FinPerf RE'!L31-'B7-CFlow'!L37)),0,(('B4-FinPerf RE'!K24-'B4-FinPerf RE'!K21)/('B4-FinPerf RE'!L31-'B7-CFlow'!L37)))</f>
        <v>17.594814320269037</v>
      </c>
      <c r="I37" s="338">
        <f>IF(ISERROR(('B4-FinPerf RE'!L24-'B4-FinPerf RE'!L21)/('B4-FinPerf RE'!M31-'B7-CFlow'!M37)),0,(('B4-FinPerf RE'!L24-'B4-FinPerf RE'!L21)/('B4-FinPerf RE'!M31-'B7-CFlow'!M37)))</f>
        <v>18.483373018945759</v>
      </c>
      <c r="J37" s="339">
        <f>IF(ISERROR(('B4-FinPerf RE'!M24-'B4-FinPerf RE'!M21)/('B4-FinPerf RE'!M31-'B7-CFlow'!M37)),0,(('B4-FinPerf RE'!M24-'B4-FinPerf RE'!M21)/('B4-FinPerf RE'!M31-'B7-CFlow'!M37)))</f>
        <v>20.455526740411635</v>
      </c>
    </row>
    <row r="38" spans="1:12" ht="38.25" x14ac:dyDescent="0.25">
      <c r="A38" s="335" t="s">
        <v>57</v>
      </c>
      <c r="B38" s="333" t="s">
        <v>58</v>
      </c>
      <c r="C38" s="345"/>
      <c r="D38" s="336"/>
      <c r="E38" s="336"/>
      <c r="F38" s="337">
        <f>IF(ISERROR('B6-FinPos'!C10/'B4-FinPerf RE'!C24),0,('B6-FinPos'!C10/'B4-FinPerf RE'!C24))</f>
        <v>0.15146752892395984</v>
      </c>
      <c r="G38" s="337">
        <f>IF(ISERROR('B6-FinPos'!D10/'B4-FinPerf RE'!D24),0,('B6-FinPos'!D10/'B4-FinPerf RE'!D24))</f>
        <v>0</v>
      </c>
      <c r="H38" s="337">
        <f>IF(ISERROR('B6-FinPos'!K10/'B4-FinPerf RE'!K24),0,('B6-FinPos'!K10/'B4-FinPerf RE'!K24))</f>
        <v>4.9693055272796577E-2</v>
      </c>
      <c r="I38" s="338">
        <f>IF(ISERROR('B6-FinPos'!L10/'B4-FinPerf RE'!L24),0,('B6-FinPos'!L10/'B4-FinPerf RE'!L24))</f>
        <v>2.4613918827308408E-2</v>
      </c>
      <c r="J38" s="339">
        <f>IF(ISERROR('B6-FinPos'!M10/'B4-FinPerf RE'!M24),0,('B6-FinPos'!M10/'B4-FinPerf RE'!M24))</f>
        <v>3.3525748620901262E-2</v>
      </c>
    </row>
    <row r="39" spans="1:12" ht="38.25" x14ac:dyDescent="0.25">
      <c r="A39" s="1148" t="s">
        <v>59</v>
      </c>
      <c r="B39" s="1149" t="s">
        <v>60</v>
      </c>
      <c r="C39" s="1150"/>
      <c r="D39" s="473"/>
      <c r="E39" s="473"/>
      <c r="F39" s="1151">
        <f>IF(ISERROR('B7-CFlow'!C42/'SB4'!F46),0,('B7-CFlow'!C42/'SB4'!F46))</f>
        <v>0</v>
      </c>
      <c r="G39" s="1151">
        <f>IF(ISERROR('B7-CFlow'!D42/'SB4'!G46),0,('B7-CFlow'!D42/'SB4'!G46))</f>
        <v>0</v>
      </c>
      <c r="H39" s="1151">
        <f>IF(ISERROR('B7-CFlow'!K42/'SB4'!H46),0,('B7-CFlow'!K42/'SB4'!H46))</f>
        <v>0</v>
      </c>
      <c r="I39" s="1152">
        <f>IF(ISERROR('B7-CFlow'!L42/'SB4'!I46),0,('B7-CFlow'!L42/'SB4'!I46))</f>
        <v>0</v>
      </c>
      <c r="J39" s="1153">
        <f>IF(ISERROR('B7-CFlow'!M42/'SB4'!J46),0,('B7-CFlow'!M42/'SB4'!J46))</f>
        <v>0</v>
      </c>
    </row>
    <row r="40" spans="1:12" x14ac:dyDescent="0.25">
      <c r="A40" s="158"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9" t="s">
        <v>1599</v>
      </c>
      <c r="B42" s="48"/>
      <c r="C42" s="48"/>
      <c r="D42" s="48"/>
      <c r="E42" s="48"/>
      <c r="F42" s="48"/>
      <c r="G42" s="48"/>
      <c r="H42" s="48"/>
      <c r="I42" s="48"/>
      <c r="J42" s="48"/>
    </row>
    <row r="43" spans="1:12" x14ac:dyDescent="0.25">
      <c r="A43" s="346" t="s">
        <v>62</v>
      </c>
      <c r="B43" s="347"/>
      <c r="C43" s="347"/>
      <c r="D43" s="347"/>
      <c r="E43" s="347"/>
      <c r="F43" s="347"/>
      <c r="G43" s="347"/>
      <c r="H43" s="347"/>
      <c r="I43" s="347"/>
      <c r="J43" s="347"/>
    </row>
    <row r="44" spans="1:12" x14ac:dyDescent="0.25">
      <c r="A44" s="347" t="s">
        <v>63</v>
      </c>
      <c r="B44" s="347"/>
      <c r="C44" s="231"/>
      <c r="D44" s="231"/>
      <c r="E44" s="231"/>
      <c r="F44" s="231"/>
      <c r="G44" s="231"/>
      <c r="H44" s="231"/>
      <c r="I44" s="231"/>
      <c r="J44" s="231"/>
      <c r="K44" s="48"/>
      <c r="L44" s="48"/>
    </row>
    <row r="45" spans="1:12" x14ac:dyDescent="0.25">
      <c r="A45" s="347" t="s">
        <v>64</v>
      </c>
      <c r="B45" s="347"/>
      <c r="C45" s="231"/>
      <c r="D45" s="231"/>
      <c r="E45" s="231"/>
      <c r="F45" s="231"/>
      <c r="G45" s="231"/>
      <c r="H45" s="231"/>
      <c r="I45" s="231"/>
      <c r="J45" s="231"/>
      <c r="K45" s="48"/>
      <c r="L45" s="48"/>
    </row>
    <row r="46" spans="1:12" x14ac:dyDescent="0.25">
      <c r="A46" s="347" t="s">
        <v>65</v>
      </c>
      <c r="B46" s="347"/>
      <c r="C46" s="231"/>
      <c r="D46" s="231"/>
      <c r="E46" s="231"/>
      <c r="F46" s="231"/>
      <c r="G46" s="231"/>
      <c r="H46" s="231"/>
      <c r="I46" s="231"/>
      <c r="J46" s="231"/>
      <c r="K46" s="48"/>
      <c r="L46" s="48"/>
    </row>
    <row r="47" spans="1:12" x14ac:dyDescent="0.25">
      <c r="A47" s="347" t="s">
        <v>66</v>
      </c>
      <c r="B47" s="347"/>
      <c r="E47" s="86"/>
      <c r="F47" s="815">
        <v>0.4</v>
      </c>
      <c r="G47" s="348">
        <f>$F$47</f>
        <v>0.4</v>
      </c>
      <c r="H47" s="348">
        <f>$F$47</f>
        <v>0.4</v>
      </c>
      <c r="I47" s="348">
        <f>$F$47</f>
        <v>0.4</v>
      </c>
      <c r="J47" s="348">
        <f>$F$47</f>
        <v>0.4</v>
      </c>
      <c r="K47" s="347" t="s">
        <v>1331</v>
      </c>
      <c r="L47" s="48"/>
    </row>
    <row r="48" spans="1:12" x14ac:dyDescent="0.25">
      <c r="A48" s="5" t="s">
        <v>1631</v>
      </c>
      <c r="B48" s="347"/>
      <c r="C48" s="231"/>
      <c r="D48" s="231"/>
      <c r="E48" s="231"/>
      <c r="F48" s="231"/>
      <c r="G48" s="231"/>
      <c r="H48" s="231"/>
      <c r="I48" s="231"/>
      <c r="J48" s="231"/>
      <c r="K48" s="48"/>
      <c r="L48" s="48"/>
    </row>
    <row r="49" spans="1:12" x14ac:dyDescent="0.25">
      <c r="A49" s="5" t="s">
        <v>613</v>
      </c>
      <c r="B49" s="347"/>
      <c r="C49" s="231"/>
      <c r="D49" s="231"/>
      <c r="E49" s="231"/>
      <c r="F49" s="231"/>
      <c r="G49" s="231"/>
      <c r="H49" s="231"/>
      <c r="I49" s="231"/>
      <c r="J49" s="231"/>
      <c r="K49" s="48"/>
      <c r="L49" s="48"/>
    </row>
    <row r="50" spans="1:12" x14ac:dyDescent="0.25">
      <c r="A50" s="347"/>
      <c r="B50" s="347"/>
      <c r="C50" s="349"/>
      <c r="D50" s="349"/>
      <c r="E50" s="349"/>
      <c r="F50" s="349"/>
      <c r="G50" s="349"/>
      <c r="H50" s="349"/>
      <c r="I50" s="349"/>
      <c r="J50" s="349"/>
      <c r="K50" s="48"/>
      <c r="L50" s="48"/>
    </row>
    <row r="51" spans="1:12" x14ac:dyDescent="0.25">
      <c r="A51" s="347"/>
      <c r="B51" s="347"/>
      <c r="C51" s="350"/>
      <c r="D51" s="350"/>
      <c r="E51" s="350"/>
      <c r="F51" s="350"/>
      <c r="G51" s="350"/>
      <c r="H51" s="350"/>
      <c r="I51" s="350"/>
      <c r="J51" s="350"/>
      <c r="K51" s="48"/>
      <c r="L51" s="48"/>
    </row>
    <row r="52" spans="1:12" x14ac:dyDescent="0.25">
      <c r="A52" s="347"/>
      <c r="B52" s="347"/>
      <c r="C52" s="351"/>
      <c r="D52" s="351"/>
      <c r="E52" s="351"/>
      <c r="F52" s="351"/>
      <c r="G52" s="351"/>
      <c r="H52" s="351"/>
      <c r="I52" s="351"/>
      <c r="J52" s="351"/>
      <c r="K52" s="48"/>
      <c r="L52" s="48"/>
    </row>
    <row r="53" spans="1:12" x14ac:dyDescent="0.25">
      <c r="A53" s="48"/>
      <c r="B53" s="48"/>
      <c r="C53" s="352"/>
      <c r="D53" s="352"/>
      <c r="E53" s="352"/>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7"/>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M261"/>
  <sheetViews>
    <sheetView showGridLines="0" topLeftCell="A4" zoomScaleNormal="100" workbookViewId="0">
      <selection activeCell="H22" sqref="H22:I32"/>
    </sheetView>
  </sheetViews>
  <sheetFormatPr defaultRowHeight="11.25" customHeight="1" x14ac:dyDescent="0.25"/>
  <cols>
    <col min="1" max="1" width="33.5703125" style="185" customWidth="1"/>
    <col min="2" max="2" width="5.7109375" style="185" customWidth="1"/>
    <col min="3" max="3" width="24" style="185" customWidth="1"/>
    <col min="4" max="4" width="9.7109375" style="185" customWidth="1"/>
    <col min="5" max="11" width="9.28515625" style="185" customWidth="1"/>
    <col min="12" max="16384" width="9.140625" style="185"/>
  </cols>
  <sheetData>
    <row r="1" spans="1:13" s="255" customFormat="1" ht="12.75" x14ac:dyDescent="0.2">
      <c r="A1" s="254" t="str">
        <f>muni&amp;" - "&amp;ADJB5&amp;" - "&amp;Date</f>
        <v>LIM354 Polokwane - Supporting Table SB5 Adjustments Budget - social, economic and demographic statistics and assumptions - 25 February 2016</v>
      </c>
      <c r="B1" s="254"/>
      <c r="C1" s="254"/>
      <c r="D1" s="254"/>
      <c r="E1" s="254"/>
      <c r="F1" s="254"/>
      <c r="G1" s="254"/>
      <c r="H1" s="254"/>
      <c r="I1" s="254"/>
      <c r="J1" s="254"/>
      <c r="K1" s="254"/>
    </row>
    <row r="2" spans="1:13" ht="51.75" customHeight="1" x14ac:dyDescent="0.25">
      <c r="A2" s="1358" t="s">
        <v>67</v>
      </c>
      <c r="B2" s="1360" t="s">
        <v>1514</v>
      </c>
      <c r="C2" s="1358" t="s">
        <v>20</v>
      </c>
      <c r="D2" s="1358" t="str">
        <f>Head44</f>
        <v>2001 Census</v>
      </c>
      <c r="E2" s="1358" t="s">
        <v>68</v>
      </c>
      <c r="F2" s="1358" t="str">
        <f>Head45</f>
        <v>2011 Census</v>
      </c>
      <c r="G2" s="1232" t="str">
        <f>Head1B</f>
        <v>2012/13</v>
      </c>
      <c r="H2" s="1233" t="str">
        <f>Head1A</f>
        <v>2013/14</v>
      </c>
      <c r="I2" s="1234" t="str">
        <f>Head1</f>
        <v>2014/15</v>
      </c>
      <c r="J2" s="1235" t="str">
        <f>Head2</f>
        <v>Budget Year 2015/16</v>
      </c>
      <c r="K2" s="1356" t="str">
        <f>Head3</f>
        <v>2015/16 Medium Term Revenue &amp; Expenditure Framework</v>
      </c>
      <c r="L2" s="1356"/>
      <c r="M2" s="1357"/>
    </row>
    <row r="3" spans="1:13" ht="27" customHeight="1" x14ac:dyDescent="0.25">
      <c r="A3" s="1359"/>
      <c r="B3" s="1361"/>
      <c r="C3" s="1359"/>
      <c r="D3" s="1359"/>
      <c r="E3" s="1359"/>
      <c r="F3" s="1359"/>
      <c r="G3" s="1236" t="str">
        <f t="shared" ref="G3:M3" si="0">Head5A</f>
        <v>Outcome</v>
      </c>
      <c r="H3" s="1237" t="str">
        <f t="shared" si="0"/>
        <v>Outcome</v>
      </c>
      <c r="I3" s="1238" t="str">
        <f t="shared" si="0"/>
        <v>Outcome</v>
      </c>
      <c r="J3" s="1239" t="str">
        <f>Head6</f>
        <v>Original Budget</v>
      </c>
      <c r="K3" s="1240" t="str">
        <f t="shared" si="0"/>
        <v>Outcome</v>
      </c>
      <c r="L3" s="1237" t="str">
        <f t="shared" si="0"/>
        <v>Outcome</v>
      </c>
      <c r="M3" s="1241" t="str">
        <f t="shared" si="0"/>
        <v>Outcome</v>
      </c>
    </row>
    <row r="4" spans="1:13" ht="11.25" customHeight="1" x14ac:dyDescent="0.25">
      <c r="A4" s="353" t="s">
        <v>69</v>
      </c>
      <c r="B4" s="1051"/>
      <c r="C4" s="354"/>
      <c r="D4" s="355"/>
      <c r="E4" s="355"/>
      <c r="F4" s="356"/>
      <c r="G4" s="356"/>
      <c r="H4" s="357"/>
      <c r="I4" s="1097"/>
      <c r="J4" s="356"/>
      <c r="K4" s="357"/>
    </row>
    <row r="5" spans="1:13" ht="11.25" customHeight="1" x14ac:dyDescent="0.25">
      <c r="A5" s="358" t="s">
        <v>70</v>
      </c>
      <c r="B5" s="1052"/>
      <c r="C5" s="368"/>
      <c r="D5" s="369"/>
      <c r="E5" s="369"/>
      <c r="F5" s="369"/>
      <c r="G5" s="369"/>
      <c r="H5" s="1050"/>
      <c r="I5" s="1047"/>
      <c r="J5" s="369"/>
      <c r="K5" s="369"/>
    </row>
    <row r="6" spans="1:13" ht="11.25" customHeight="1" x14ac:dyDescent="0.25">
      <c r="A6" s="359" t="s">
        <v>71</v>
      </c>
      <c r="B6" s="1052"/>
      <c r="C6" s="368"/>
      <c r="D6" s="369"/>
      <c r="E6" s="369"/>
      <c r="F6" s="369"/>
      <c r="G6" s="369"/>
      <c r="H6" s="1050"/>
      <c r="I6" s="1047"/>
      <c r="J6" s="369"/>
      <c r="K6" s="369"/>
    </row>
    <row r="7" spans="1:13" ht="11.25" customHeight="1" x14ac:dyDescent="0.25">
      <c r="A7" s="359" t="s">
        <v>72</v>
      </c>
      <c r="B7" s="1052"/>
      <c r="C7" s="368"/>
      <c r="D7" s="369"/>
      <c r="E7" s="369"/>
      <c r="F7" s="369"/>
      <c r="G7" s="369"/>
      <c r="H7" s="1050"/>
      <c r="I7" s="1047"/>
      <c r="J7" s="369"/>
      <c r="K7" s="369"/>
    </row>
    <row r="8" spans="1:13" ht="11.25" customHeight="1" x14ac:dyDescent="0.25">
      <c r="A8" s="359" t="s">
        <v>73</v>
      </c>
      <c r="B8" s="1052"/>
      <c r="C8" s="368"/>
      <c r="D8" s="369"/>
      <c r="E8" s="369"/>
      <c r="F8" s="369"/>
      <c r="G8" s="369"/>
      <c r="H8" s="1050"/>
      <c r="I8" s="1047"/>
      <c r="J8" s="369"/>
      <c r="K8" s="369"/>
    </row>
    <row r="9" spans="1:13" ht="11.25" customHeight="1" x14ac:dyDescent="0.25">
      <c r="A9" s="359" t="s">
        <v>74</v>
      </c>
      <c r="B9" s="1052"/>
      <c r="C9" s="368"/>
      <c r="D9" s="369"/>
      <c r="E9" s="369"/>
      <c r="F9" s="369"/>
      <c r="G9" s="369"/>
      <c r="H9" s="1050"/>
      <c r="I9" s="1047"/>
      <c r="J9" s="369"/>
      <c r="K9" s="369"/>
    </row>
    <row r="10" spans="1:13" ht="11.25" customHeight="1" x14ac:dyDescent="0.25">
      <c r="A10" s="360" t="s">
        <v>75</v>
      </c>
      <c r="B10" s="1053"/>
      <c r="C10" s="1095"/>
      <c r="D10" s="1096"/>
      <c r="E10" s="1096"/>
      <c r="F10" s="1096"/>
      <c r="G10" s="1096"/>
      <c r="H10" s="1099"/>
      <c r="I10" s="1098"/>
      <c r="J10" s="1096"/>
      <c r="K10" s="1096"/>
    </row>
    <row r="11" spans="1:13" ht="5.0999999999999996" customHeight="1" x14ac:dyDescent="0.25">
      <c r="A11" s="359"/>
      <c r="B11" s="1054"/>
      <c r="C11" s="361"/>
      <c r="D11" s="362"/>
      <c r="E11" s="362"/>
      <c r="F11" s="363"/>
      <c r="G11" s="363"/>
      <c r="H11" s="364"/>
      <c r="I11" s="365"/>
      <c r="J11" s="363"/>
      <c r="K11" s="366"/>
    </row>
    <row r="12" spans="1:13" ht="11.25" customHeight="1" x14ac:dyDescent="0.25">
      <c r="A12" s="367" t="s">
        <v>1535</v>
      </c>
      <c r="B12" s="1054" t="s">
        <v>1521</v>
      </c>
      <c r="C12" s="361"/>
      <c r="D12" s="362"/>
      <c r="E12" s="362"/>
      <c r="F12" s="363"/>
      <c r="G12" s="363"/>
      <c r="H12" s="364"/>
      <c r="I12" s="365"/>
      <c r="J12" s="363"/>
      <c r="K12" s="366"/>
    </row>
    <row r="13" spans="1:13" ht="11.25" customHeight="1" x14ac:dyDescent="0.25">
      <c r="A13" s="359" t="s">
        <v>83</v>
      </c>
      <c r="B13" s="1052"/>
      <c r="C13" s="368"/>
      <c r="D13" s="369"/>
      <c r="E13" s="369"/>
      <c r="F13" s="370"/>
      <c r="G13" s="370"/>
      <c r="H13" s="371"/>
      <c r="I13" s="372"/>
      <c r="J13" s="370"/>
      <c r="K13" s="373"/>
    </row>
    <row r="14" spans="1:13" ht="11.25" customHeight="1" x14ac:dyDescent="0.25">
      <c r="A14" s="1043" t="s">
        <v>1503</v>
      </c>
      <c r="B14" s="1052"/>
      <c r="C14" s="368"/>
      <c r="D14" s="369"/>
      <c r="E14" s="369"/>
      <c r="F14" s="370"/>
      <c r="G14" s="370"/>
      <c r="H14" s="371"/>
      <c r="I14" s="372"/>
      <c r="J14" s="370"/>
      <c r="K14" s="373"/>
    </row>
    <row r="15" spans="1:13" ht="11.25" customHeight="1" x14ac:dyDescent="0.25">
      <c r="A15" s="1043" t="s">
        <v>1504</v>
      </c>
      <c r="B15" s="1052"/>
      <c r="C15" s="368"/>
      <c r="D15" s="369"/>
      <c r="E15" s="369"/>
      <c r="F15" s="370"/>
      <c r="G15" s="370"/>
      <c r="H15" s="371"/>
      <c r="I15" s="372"/>
      <c r="J15" s="370"/>
      <c r="K15" s="373"/>
    </row>
    <row r="16" spans="1:13" ht="11.25" customHeight="1" x14ac:dyDescent="0.25">
      <c r="A16" s="1043" t="s">
        <v>1505</v>
      </c>
      <c r="B16" s="1052"/>
      <c r="C16" s="368"/>
      <c r="D16" s="369"/>
      <c r="E16" s="369"/>
      <c r="F16" s="370"/>
      <c r="G16" s="370"/>
      <c r="H16" s="371"/>
      <c r="I16" s="372"/>
      <c r="J16" s="370"/>
      <c r="K16" s="373"/>
    </row>
    <row r="17" spans="1:11" ht="11.25" customHeight="1" x14ac:dyDescent="0.25">
      <c r="A17" s="1043" t="s">
        <v>1506</v>
      </c>
      <c r="B17" s="1052"/>
      <c r="C17" s="368"/>
      <c r="D17" s="369"/>
      <c r="E17" s="369"/>
      <c r="F17" s="370"/>
      <c r="G17" s="370"/>
      <c r="H17" s="371"/>
      <c r="I17" s="372"/>
      <c r="J17" s="370"/>
      <c r="K17" s="373"/>
    </row>
    <row r="18" spans="1:11" ht="11.25" customHeight="1" x14ac:dyDescent="0.25">
      <c r="A18" s="1043" t="s">
        <v>1507</v>
      </c>
      <c r="B18" s="1052"/>
      <c r="C18" s="368"/>
      <c r="D18" s="369"/>
      <c r="E18" s="369"/>
      <c r="F18" s="370"/>
      <c r="G18" s="370"/>
      <c r="H18" s="371"/>
      <c r="I18" s="372"/>
      <c r="J18" s="370"/>
      <c r="K18" s="373"/>
    </row>
    <row r="19" spans="1:11" ht="11.25" customHeight="1" x14ac:dyDescent="0.25">
      <c r="A19" s="1043" t="s">
        <v>1508</v>
      </c>
      <c r="B19" s="1052"/>
      <c r="C19" s="368"/>
      <c r="D19" s="369"/>
      <c r="E19" s="369"/>
      <c r="F19" s="370"/>
      <c r="G19" s="370"/>
      <c r="H19" s="371"/>
      <c r="I19" s="372"/>
      <c r="J19" s="370"/>
      <c r="K19" s="373"/>
    </row>
    <row r="20" spans="1:11" ht="11.25" customHeight="1" x14ac:dyDescent="0.25">
      <c r="A20" s="1043" t="s">
        <v>1509</v>
      </c>
      <c r="B20" s="1052"/>
      <c r="C20" s="368"/>
      <c r="D20" s="369"/>
      <c r="E20" s="369"/>
      <c r="F20" s="370"/>
      <c r="G20" s="370"/>
      <c r="H20" s="371"/>
      <c r="I20" s="372"/>
      <c r="J20" s="370"/>
      <c r="K20" s="373"/>
    </row>
    <row r="21" spans="1:11" ht="11.25" customHeight="1" x14ac:dyDescent="0.25">
      <c r="A21" s="1043" t="s">
        <v>1510</v>
      </c>
      <c r="B21" s="1052"/>
      <c r="C21" s="368"/>
      <c r="D21" s="369"/>
      <c r="E21" s="369"/>
      <c r="F21" s="370"/>
      <c r="G21" s="370"/>
      <c r="H21" s="371"/>
      <c r="I21" s="372"/>
      <c r="J21" s="370"/>
      <c r="K21" s="373"/>
    </row>
    <row r="22" spans="1:11" ht="11.25" customHeight="1" x14ac:dyDescent="0.25">
      <c r="A22" s="1043" t="s">
        <v>1511</v>
      </c>
      <c r="B22" s="1052"/>
      <c r="C22" s="368"/>
      <c r="D22" s="369"/>
      <c r="E22" s="369"/>
      <c r="F22" s="370"/>
      <c r="G22" s="370"/>
      <c r="H22" s="373"/>
      <c r="I22" s="1049"/>
      <c r="J22" s="370"/>
      <c r="K22" s="373"/>
    </row>
    <row r="23" spans="1:11" ht="11.25" customHeight="1" x14ac:dyDescent="0.25">
      <c r="A23" s="1043" t="s">
        <v>1512</v>
      </c>
      <c r="B23" s="1052"/>
      <c r="C23" s="1047"/>
      <c r="D23" s="369"/>
      <c r="E23" s="369"/>
      <c r="F23" s="369"/>
      <c r="G23" s="369"/>
      <c r="H23" s="1050"/>
      <c r="I23" s="1047"/>
      <c r="J23" s="369"/>
      <c r="K23" s="1050"/>
    </row>
    <row r="24" spans="1:11" ht="11.25" customHeight="1" x14ac:dyDescent="0.25">
      <c r="A24" s="1043" t="s">
        <v>1513</v>
      </c>
      <c r="B24" s="1052"/>
      <c r="C24" s="1047"/>
      <c r="D24" s="369"/>
      <c r="E24" s="369"/>
      <c r="F24" s="369"/>
      <c r="G24" s="369"/>
      <c r="H24" s="1050"/>
      <c r="I24" s="1047"/>
      <c r="J24" s="369"/>
      <c r="K24" s="1050"/>
    </row>
    <row r="25" spans="1:11" ht="6" customHeight="1" x14ac:dyDescent="0.25">
      <c r="A25" s="1043"/>
      <c r="B25" s="1052"/>
      <c r="C25" s="1048"/>
      <c r="D25" s="375"/>
      <c r="E25" s="375"/>
      <c r="F25" s="376"/>
      <c r="G25" s="376"/>
      <c r="H25" s="377"/>
      <c r="I25" s="378"/>
      <c r="J25" s="376"/>
      <c r="K25" s="379"/>
    </row>
    <row r="26" spans="1:11" ht="12.75" customHeight="1" x14ac:dyDescent="0.25">
      <c r="A26" s="1043"/>
      <c r="B26" s="1052"/>
      <c r="C26" s="1048"/>
      <c r="D26" s="375"/>
      <c r="E26" s="375"/>
      <c r="F26" s="376"/>
      <c r="G26" s="376"/>
      <c r="H26" s="377"/>
      <c r="I26" s="378"/>
      <c r="J26" s="376"/>
      <c r="K26" s="379"/>
    </row>
    <row r="27" spans="1:11" ht="11.25" customHeight="1" x14ac:dyDescent="0.25">
      <c r="A27" s="367" t="s">
        <v>1536</v>
      </c>
      <c r="B27" s="1052"/>
      <c r="C27" s="374"/>
      <c r="D27" s="375"/>
      <c r="E27" s="375"/>
      <c r="F27" s="376"/>
      <c r="G27" s="376"/>
      <c r="H27" s="377"/>
      <c r="I27" s="378"/>
      <c r="J27" s="376"/>
      <c r="K27" s="379"/>
    </row>
    <row r="28" spans="1:11" ht="11.25" customHeight="1" x14ac:dyDescent="0.25">
      <c r="A28" s="1043" t="s">
        <v>1515</v>
      </c>
      <c r="B28" s="1052">
        <v>13</v>
      </c>
      <c r="C28" s="380"/>
      <c r="D28" s="381"/>
      <c r="E28" s="381"/>
      <c r="F28" s="381"/>
      <c r="G28" s="381"/>
      <c r="H28" s="1046"/>
      <c r="I28" s="1044"/>
      <c r="J28" s="381"/>
      <c r="K28" s="1046"/>
    </row>
    <row r="29" spans="1:11" ht="11.25" customHeight="1" x14ac:dyDescent="0.25">
      <c r="A29" s="816" t="s">
        <v>84</v>
      </c>
      <c r="B29" s="1055">
        <v>2</v>
      </c>
      <c r="C29" s="380"/>
      <c r="D29" s="381"/>
      <c r="E29" s="381"/>
      <c r="F29" s="382"/>
      <c r="G29" s="382"/>
      <c r="H29" s="383"/>
      <c r="I29" s="1045"/>
      <c r="J29" s="382"/>
      <c r="K29" s="383"/>
    </row>
    <row r="30" spans="1:11" ht="5.0999999999999996" customHeight="1" x14ac:dyDescent="0.25">
      <c r="A30" s="360"/>
      <c r="B30" s="1053"/>
      <c r="C30" s="384"/>
      <c r="D30" s="385"/>
      <c r="E30" s="385"/>
      <c r="F30" s="386"/>
      <c r="G30" s="386"/>
      <c r="H30" s="387"/>
      <c r="I30" s="388"/>
      <c r="J30" s="386"/>
      <c r="K30" s="389"/>
    </row>
    <row r="31" spans="1:11" ht="11.25" customHeight="1" x14ac:dyDescent="0.25">
      <c r="A31" s="367" t="s">
        <v>85</v>
      </c>
      <c r="B31" s="1052"/>
      <c r="C31" s="374"/>
      <c r="D31" s="375"/>
      <c r="E31" s="375"/>
      <c r="F31" s="376"/>
      <c r="G31" s="376"/>
      <c r="H31" s="377"/>
      <c r="I31" s="378"/>
      <c r="J31" s="376"/>
      <c r="K31" s="379"/>
    </row>
    <row r="32" spans="1:11" ht="11.25" customHeight="1" x14ac:dyDescent="0.25">
      <c r="A32" s="816" t="s">
        <v>86</v>
      </c>
      <c r="B32" s="1055"/>
      <c r="C32" s="380"/>
      <c r="D32" s="381"/>
      <c r="E32" s="381"/>
      <c r="F32" s="109"/>
      <c r="G32" s="109"/>
      <c r="H32" s="390"/>
      <c r="I32" s="391"/>
      <c r="J32" s="109"/>
      <c r="K32" s="110"/>
    </row>
    <row r="33" spans="1:11" ht="11.25" customHeight="1" x14ac:dyDescent="0.25">
      <c r="A33" s="816" t="s">
        <v>87</v>
      </c>
      <c r="B33" s="1055"/>
      <c r="C33" s="380"/>
      <c r="D33" s="381"/>
      <c r="E33" s="381"/>
      <c r="F33" s="109"/>
      <c r="G33" s="109"/>
      <c r="H33" s="390"/>
      <c r="I33" s="391"/>
      <c r="J33" s="109"/>
      <c r="K33" s="110"/>
    </row>
    <row r="34" spans="1:11" ht="11.25" customHeight="1" x14ac:dyDescent="0.25">
      <c r="A34" s="816" t="s">
        <v>88</v>
      </c>
      <c r="B34" s="1055"/>
      <c r="C34" s="380"/>
      <c r="D34" s="381"/>
      <c r="E34" s="381"/>
      <c r="F34" s="109"/>
      <c r="G34" s="109"/>
      <c r="H34" s="390"/>
      <c r="I34" s="391"/>
      <c r="J34" s="109"/>
      <c r="K34" s="110"/>
    </row>
    <row r="35" spans="1:11" ht="11.25" customHeight="1" x14ac:dyDescent="0.25">
      <c r="A35" s="816" t="s">
        <v>89</v>
      </c>
      <c r="B35" s="1055"/>
      <c r="C35" s="380"/>
      <c r="D35" s="381"/>
      <c r="E35" s="381"/>
      <c r="F35" s="109"/>
      <c r="G35" s="109"/>
      <c r="H35" s="390"/>
      <c r="I35" s="391"/>
      <c r="J35" s="109"/>
      <c r="K35" s="110"/>
    </row>
    <row r="36" spans="1:11" ht="11.25" customHeight="1" x14ac:dyDescent="0.25">
      <c r="A36" s="816" t="s">
        <v>90</v>
      </c>
      <c r="B36" s="1056"/>
      <c r="C36" s="392"/>
      <c r="D36" s="393"/>
      <c r="E36" s="393"/>
      <c r="F36" s="394"/>
      <c r="G36" s="394"/>
      <c r="H36" s="395"/>
      <c r="I36" s="396"/>
      <c r="J36" s="394"/>
      <c r="K36" s="397"/>
    </row>
    <row r="37" spans="1:11" ht="5.0999999999999996" customHeight="1" x14ac:dyDescent="0.25">
      <c r="A37" s="367"/>
      <c r="B37" s="1052"/>
      <c r="C37" s="374"/>
      <c r="D37" s="375"/>
      <c r="E37" s="375"/>
      <c r="F37" s="376"/>
      <c r="G37" s="376"/>
      <c r="H37" s="377"/>
      <c r="I37" s="378"/>
      <c r="J37" s="376"/>
      <c r="K37" s="379"/>
    </row>
    <row r="38" spans="1:11" ht="11.25" customHeight="1" x14ac:dyDescent="0.25">
      <c r="A38" s="367" t="s">
        <v>1516</v>
      </c>
      <c r="B38" s="1052">
        <v>3</v>
      </c>
      <c r="C38" s="374"/>
      <c r="D38" s="375"/>
      <c r="E38" s="375"/>
      <c r="F38" s="376"/>
      <c r="G38" s="376"/>
      <c r="H38" s="377"/>
      <c r="I38" s="378"/>
      <c r="J38" s="376"/>
      <c r="K38" s="379"/>
    </row>
    <row r="39" spans="1:11" ht="11.25" customHeight="1" x14ac:dyDescent="0.25">
      <c r="A39" s="816" t="s">
        <v>91</v>
      </c>
      <c r="B39" s="1055"/>
      <c r="C39" s="380"/>
      <c r="D39" s="381"/>
      <c r="E39" s="381"/>
      <c r="F39" s="398"/>
      <c r="G39" s="398"/>
      <c r="H39" s="399"/>
      <c r="I39" s="400"/>
      <c r="J39" s="398"/>
      <c r="K39" s="401"/>
    </row>
    <row r="40" spans="1:11" ht="11.25" customHeight="1" x14ac:dyDescent="0.25">
      <c r="A40" s="816" t="s">
        <v>92</v>
      </c>
      <c r="B40" s="1055"/>
      <c r="C40" s="392"/>
      <c r="D40" s="393"/>
      <c r="E40" s="393"/>
      <c r="F40" s="402"/>
      <c r="G40" s="402"/>
      <c r="H40" s="403"/>
      <c r="I40" s="404"/>
      <c r="J40" s="402"/>
      <c r="K40" s="405"/>
    </row>
    <row r="41" spans="1:11" ht="11.25" customHeight="1" x14ac:dyDescent="0.25">
      <c r="A41" s="406" t="s">
        <v>1202</v>
      </c>
      <c r="B41" s="1052"/>
      <c r="C41" s="361">
        <f t="shared" ref="C41:K41" si="1">SUM(C39:C40)</f>
        <v>0</v>
      </c>
      <c r="D41" s="362">
        <f t="shared" si="1"/>
        <v>0</v>
      </c>
      <c r="E41" s="362">
        <f t="shared" si="1"/>
        <v>0</v>
      </c>
      <c r="F41" s="407">
        <f t="shared" si="1"/>
        <v>0</v>
      </c>
      <c r="G41" s="407">
        <f t="shared" si="1"/>
        <v>0</v>
      </c>
      <c r="H41" s="408">
        <f t="shared" si="1"/>
        <v>0</v>
      </c>
      <c r="I41" s="409">
        <f t="shared" si="1"/>
        <v>0</v>
      </c>
      <c r="J41" s="407">
        <f t="shared" si="1"/>
        <v>0</v>
      </c>
      <c r="K41" s="410">
        <f t="shared" si="1"/>
        <v>0</v>
      </c>
    </row>
    <row r="42" spans="1:11" ht="11.25" customHeight="1" x14ac:dyDescent="0.25">
      <c r="A42" s="816" t="s">
        <v>1517</v>
      </c>
      <c r="B42" s="1055">
        <v>4</v>
      </c>
      <c r="C42" s="380"/>
      <c r="D42" s="381"/>
      <c r="E42" s="381"/>
      <c r="F42" s="398"/>
      <c r="G42" s="398"/>
      <c r="H42" s="399"/>
      <c r="I42" s="400"/>
      <c r="J42" s="398"/>
      <c r="K42" s="401"/>
    </row>
    <row r="43" spans="1:11" ht="11.25" customHeight="1" x14ac:dyDescent="0.25">
      <c r="A43" s="816" t="s">
        <v>93</v>
      </c>
      <c r="B43" s="1055"/>
      <c r="C43" s="380"/>
      <c r="D43" s="381"/>
      <c r="E43" s="381"/>
      <c r="F43" s="398"/>
      <c r="G43" s="398"/>
      <c r="H43" s="399"/>
      <c r="I43" s="400"/>
      <c r="J43" s="398"/>
      <c r="K43" s="401"/>
    </row>
    <row r="44" spans="1:11" ht="11.25" customHeight="1" x14ac:dyDescent="0.25">
      <c r="A44" s="816" t="s">
        <v>1518</v>
      </c>
      <c r="B44" s="1055">
        <v>5</v>
      </c>
      <c r="C44" s="380"/>
      <c r="D44" s="381"/>
      <c r="E44" s="381"/>
      <c r="F44" s="398"/>
      <c r="G44" s="398"/>
      <c r="H44" s="399"/>
      <c r="I44" s="400"/>
      <c r="J44" s="398"/>
      <c r="K44" s="401"/>
    </row>
    <row r="45" spans="1:11" ht="11.25" customHeight="1" x14ac:dyDescent="0.25">
      <c r="A45" s="411" t="s">
        <v>94</v>
      </c>
      <c r="B45" s="1053"/>
      <c r="C45" s="412">
        <f t="shared" ref="C45:K45" si="2">SUM(C42:C44)</f>
        <v>0</v>
      </c>
      <c r="D45" s="413">
        <f t="shared" si="2"/>
        <v>0</v>
      </c>
      <c r="E45" s="413">
        <f t="shared" si="2"/>
        <v>0</v>
      </c>
      <c r="F45" s="414">
        <f t="shared" si="2"/>
        <v>0</v>
      </c>
      <c r="G45" s="414">
        <f t="shared" si="2"/>
        <v>0</v>
      </c>
      <c r="H45" s="415">
        <f t="shared" si="2"/>
        <v>0</v>
      </c>
      <c r="I45" s="416">
        <f t="shared" si="2"/>
        <v>0</v>
      </c>
      <c r="J45" s="414">
        <f t="shared" si="2"/>
        <v>0</v>
      </c>
      <c r="K45" s="417">
        <f t="shared" si="2"/>
        <v>0</v>
      </c>
    </row>
    <row r="46" spans="1:11" ht="5.0999999999999996" customHeight="1" x14ac:dyDescent="0.25">
      <c r="A46" s="418"/>
      <c r="B46" s="1052"/>
      <c r="C46" s="361"/>
      <c r="D46" s="362"/>
      <c r="E46" s="362"/>
      <c r="F46" s="419"/>
      <c r="G46" s="419"/>
      <c r="H46" s="420"/>
      <c r="I46" s="421"/>
      <c r="J46" s="419"/>
      <c r="K46" s="422"/>
    </row>
    <row r="47" spans="1:11" ht="11.25" customHeight="1" x14ac:dyDescent="0.25">
      <c r="A47" s="423" t="s">
        <v>1519</v>
      </c>
      <c r="B47" s="1052">
        <v>6</v>
      </c>
      <c r="C47" s="424"/>
      <c r="D47" s="425"/>
      <c r="E47" s="425"/>
      <c r="F47" s="426"/>
      <c r="G47" s="426"/>
      <c r="H47" s="427"/>
      <c r="I47" s="428"/>
      <c r="J47" s="429"/>
      <c r="K47" s="430"/>
    </row>
    <row r="48" spans="1:11" ht="11.25" customHeight="1" x14ac:dyDescent="0.25">
      <c r="A48" s="418" t="s">
        <v>95</v>
      </c>
      <c r="B48" s="1055"/>
      <c r="C48" s="431"/>
      <c r="D48" s="432"/>
      <c r="E48" s="432"/>
      <c r="F48" s="433"/>
      <c r="G48" s="433"/>
      <c r="H48" s="434"/>
      <c r="I48" s="435"/>
      <c r="J48" s="433"/>
      <c r="K48" s="436"/>
    </row>
    <row r="49" spans="1:13" ht="11.25" customHeight="1" x14ac:dyDescent="0.25">
      <c r="A49" s="418" t="s">
        <v>96</v>
      </c>
      <c r="B49" s="1055"/>
      <c r="C49" s="431"/>
      <c r="D49" s="432"/>
      <c r="E49" s="432"/>
      <c r="F49" s="433"/>
      <c r="G49" s="433"/>
      <c r="H49" s="434"/>
      <c r="I49" s="435"/>
      <c r="J49" s="433"/>
      <c r="K49" s="436"/>
    </row>
    <row r="50" spans="1:13" ht="11.25" customHeight="1" x14ac:dyDescent="0.25">
      <c r="A50" s="418" t="s">
        <v>97</v>
      </c>
      <c r="B50" s="1055"/>
      <c r="C50" s="437"/>
      <c r="D50" s="438"/>
      <c r="E50" s="438"/>
      <c r="F50" s="433"/>
      <c r="G50" s="433"/>
      <c r="H50" s="434"/>
      <c r="I50" s="435"/>
      <c r="J50" s="433"/>
      <c r="K50" s="436"/>
    </row>
    <row r="51" spans="1:13" ht="11.25" customHeight="1" x14ac:dyDescent="0.25">
      <c r="A51" s="418" t="s">
        <v>98</v>
      </c>
      <c r="B51" s="1055"/>
      <c r="C51" s="431"/>
      <c r="D51" s="432"/>
      <c r="E51" s="432"/>
      <c r="F51" s="439"/>
      <c r="G51" s="439"/>
      <c r="H51" s="440"/>
      <c r="I51" s="441"/>
      <c r="J51" s="439"/>
      <c r="K51" s="442"/>
    </row>
    <row r="52" spans="1:13" ht="11.25" customHeight="1" x14ac:dyDescent="0.25">
      <c r="A52" s="418" t="s">
        <v>99</v>
      </c>
      <c r="B52" s="1055"/>
      <c r="C52" s="431"/>
      <c r="D52" s="432"/>
      <c r="E52" s="432"/>
      <c r="F52" s="439"/>
      <c r="G52" s="439"/>
      <c r="H52" s="440"/>
      <c r="I52" s="441"/>
      <c r="J52" s="439"/>
      <c r="K52" s="442"/>
    </row>
    <row r="53" spans="1:13" ht="11.25" customHeight="1" x14ac:dyDescent="0.25">
      <c r="A53" s="418" t="s">
        <v>100</v>
      </c>
      <c r="B53" s="1055"/>
      <c r="C53" s="431"/>
      <c r="D53" s="432"/>
      <c r="E53" s="432"/>
      <c r="F53" s="439"/>
      <c r="G53" s="439"/>
      <c r="H53" s="440"/>
      <c r="I53" s="441"/>
      <c r="J53" s="439"/>
      <c r="K53" s="442"/>
    </row>
    <row r="54" spans="1:13" ht="13.5" customHeight="1" x14ac:dyDescent="0.25">
      <c r="A54" s="443"/>
      <c r="B54" s="1052"/>
      <c r="C54" s="361"/>
      <c r="D54" s="362"/>
      <c r="E54" s="362"/>
      <c r="F54" s="426"/>
      <c r="G54" s="426"/>
      <c r="H54" s="444"/>
      <c r="I54" s="445"/>
      <c r="J54" s="426"/>
      <c r="K54" s="446"/>
    </row>
    <row r="55" spans="1:13" ht="13.5" customHeight="1" x14ac:dyDescent="0.25">
      <c r="A55" s="423" t="s">
        <v>1520</v>
      </c>
      <c r="B55" s="1052">
        <v>7</v>
      </c>
      <c r="C55" s="361"/>
      <c r="D55" s="362"/>
      <c r="E55" s="362"/>
      <c r="F55" s="426"/>
      <c r="G55" s="426"/>
      <c r="H55" s="444"/>
      <c r="I55" s="445"/>
      <c r="J55" s="426"/>
      <c r="K55" s="446"/>
    </row>
    <row r="56" spans="1:13" ht="11.25" customHeight="1" x14ac:dyDescent="0.25">
      <c r="A56" s="418" t="s">
        <v>101</v>
      </c>
      <c r="B56" s="1055"/>
      <c r="C56" s="431"/>
      <c r="D56" s="432"/>
      <c r="E56" s="432"/>
      <c r="F56" s="433" t="s">
        <v>102</v>
      </c>
      <c r="G56" s="433" t="s">
        <v>102</v>
      </c>
      <c r="H56" s="434" t="s">
        <v>102</v>
      </c>
      <c r="I56" s="435" t="s">
        <v>102</v>
      </c>
      <c r="J56" s="433" t="s">
        <v>102</v>
      </c>
      <c r="K56" s="436" t="s">
        <v>102</v>
      </c>
    </row>
    <row r="57" spans="1:13" ht="11.25" customHeight="1" x14ac:dyDescent="0.25">
      <c r="A57" s="418" t="s">
        <v>103</v>
      </c>
      <c r="B57" s="1055"/>
      <c r="C57" s="431"/>
      <c r="D57" s="432"/>
      <c r="E57" s="432"/>
      <c r="F57" s="433" t="s">
        <v>102</v>
      </c>
      <c r="G57" s="433" t="s">
        <v>102</v>
      </c>
      <c r="H57" s="434" t="s">
        <v>102</v>
      </c>
      <c r="I57" s="435" t="s">
        <v>102</v>
      </c>
      <c r="J57" s="433" t="s">
        <v>102</v>
      </c>
      <c r="K57" s="436" t="s">
        <v>102</v>
      </c>
    </row>
    <row r="58" spans="1:13" ht="11.25" customHeight="1" x14ac:dyDescent="0.25">
      <c r="A58" s="418" t="s">
        <v>104</v>
      </c>
      <c r="B58" s="1055"/>
      <c r="C58" s="431"/>
      <c r="D58" s="432"/>
      <c r="E58" s="432"/>
      <c r="F58" s="433" t="s">
        <v>102</v>
      </c>
      <c r="G58" s="433" t="s">
        <v>102</v>
      </c>
      <c r="H58" s="434" t="s">
        <v>102</v>
      </c>
      <c r="I58" s="435" t="s">
        <v>102</v>
      </c>
      <c r="J58" s="433" t="s">
        <v>102</v>
      </c>
      <c r="K58" s="436" t="s">
        <v>102</v>
      </c>
    </row>
    <row r="59" spans="1:13" ht="11.25" customHeight="1" x14ac:dyDescent="0.25">
      <c r="A59" s="418" t="s">
        <v>105</v>
      </c>
      <c r="B59" s="1055"/>
      <c r="C59" s="431"/>
      <c r="D59" s="432"/>
      <c r="E59" s="432"/>
      <c r="F59" s="433" t="s">
        <v>102</v>
      </c>
      <c r="G59" s="433" t="s">
        <v>102</v>
      </c>
      <c r="H59" s="434" t="s">
        <v>102</v>
      </c>
      <c r="I59" s="435" t="s">
        <v>102</v>
      </c>
      <c r="J59" s="433" t="s">
        <v>102</v>
      </c>
      <c r="K59" s="436" t="s">
        <v>102</v>
      </c>
    </row>
    <row r="60" spans="1:13" ht="11.25" customHeight="1" x14ac:dyDescent="0.25">
      <c r="A60" s="418" t="s">
        <v>106</v>
      </c>
      <c r="B60" s="1055"/>
      <c r="C60" s="431"/>
      <c r="D60" s="432"/>
      <c r="E60" s="432"/>
      <c r="F60" s="433" t="s">
        <v>102</v>
      </c>
      <c r="G60" s="433" t="s">
        <v>102</v>
      </c>
      <c r="H60" s="434" t="s">
        <v>102</v>
      </c>
      <c r="I60" s="435" t="s">
        <v>102</v>
      </c>
      <c r="J60" s="433" t="s">
        <v>102</v>
      </c>
      <c r="K60" s="436" t="s">
        <v>102</v>
      </c>
    </row>
    <row r="61" spans="1:13" ht="5.0999999999999996" customHeight="1" x14ac:dyDescent="0.25">
      <c r="A61" s="447"/>
      <c r="B61" s="1057"/>
      <c r="C61" s="448"/>
      <c r="D61" s="449"/>
      <c r="E61" s="449"/>
      <c r="F61" s="450"/>
      <c r="G61" s="450"/>
      <c r="H61" s="451"/>
      <c r="I61" s="452"/>
      <c r="J61" s="453"/>
      <c r="K61" s="454"/>
    </row>
    <row r="62" spans="1:13" s="1155" customFormat="1" ht="18.75" customHeight="1" x14ac:dyDescent="0.3">
      <c r="A62" s="1154" t="s">
        <v>1643</v>
      </c>
      <c r="B62" s="58"/>
      <c r="C62" s="5"/>
      <c r="D62" s="5"/>
      <c r="E62" s="5"/>
      <c r="F62" s="5"/>
      <c r="G62" s="84"/>
      <c r="H62" s="84"/>
      <c r="I62" s="84"/>
      <c r="J62" s="84"/>
      <c r="K62" s="84"/>
      <c r="L62" s="84"/>
      <c r="M62" s="84"/>
    </row>
    <row r="63" spans="1:13" s="1155" customFormat="1" ht="24.95" customHeight="1" x14ac:dyDescent="0.25">
      <c r="A63" s="1362" t="s">
        <v>1632</v>
      </c>
      <c r="B63" s="1156"/>
      <c r="C63" s="1157"/>
      <c r="D63" s="1158"/>
      <c r="E63" s="1159" t="str">
        <f>Head1B</f>
        <v>2012/13</v>
      </c>
      <c r="F63" s="1160" t="str">
        <f>Head1A</f>
        <v>2013/14</v>
      </c>
      <c r="G63" s="1161" t="str">
        <f>Head1</f>
        <v>2014/15</v>
      </c>
      <c r="H63" s="1341" t="str">
        <f>Head2</f>
        <v>Budget Year 2015/16</v>
      </c>
      <c r="I63" s="1342"/>
      <c r="J63" s="1363"/>
      <c r="K63" s="1341" t="str">
        <f>Head3</f>
        <v>2015/16 Medium Term Revenue &amp; Expenditure Framework</v>
      </c>
      <c r="L63" s="1342"/>
      <c r="M63" s="1363"/>
    </row>
    <row r="64" spans="1:13" s="1155" customFormat="1" ht="24.95" customHeight="1" x14ac:dyDescent="0.25">
      <c r="A64" s="1362"/>
      <c r="B64" s="1162" t="s">
        <v>1514</v>
      </c>
      <c r="C64" s="1163"/>
      <c r="D64" s="1164"/>
      <c r="E64" s="1165" t="str">
        <f>Head5A</f>
        <v>Outcome</v>
      </c>
      <c r="F64" s="1166" t="str">
        <f>Head5A</f>
        <v>Outcome</v>
      </c>
      <c r="G64" s="1167" t="str">
        <f>Head5A</f>
        <v>Outcome</v>
      </c>
      <c r="H64" s="1168" t="str">
        <f>Head6</f>
        <v>Original Budget</v>
      </c>
      <c r="I64" s="1166" t="str">
        <f>Head7</f>
        <v>Adjusted Budget</v>
      </c>
      <c r="J64" s="1167" t="str">
        <f>Head8</f>
        <v>Full Year Forecast</v>
      </c>
      <c r="K64" s="1168" t="str">
        <f>Head9</f>
        <v>Budget Year 2015/16</v>
      </c>
      <c r="L64" s="1166" t="str">
        <f>Head10</f>
        <v>Budget Year +1 2016/17</v>
      </c>
      <c r="M64" s="1167" t="str">
        <f>Head11</f>
        <v>Budget Year +2 2017/18</v>
      </c>
    </row>
    <row r="65" spans="1:13" s="1155" customFormat="1" ht="11.25" customHeight="1" x14ac:dyDescent="0.25">
      <c r="A65" s="5"/>
      <c r="B65" s="137"/>
      <c r="C65" s="1169" t="s">
        <v>1633</v>
      </c>
      <c r="D65" s="1170"/>
      <c r="E65" s="1171"/>
      <c r="F65" s="1172"/>
      <c r="G65" s="1173"/>
      <c r="H65" s="1174"/>
      <c r="I65" s="1175"/>
      <c r="J65" s="1176"/>
      <c r="K65" s="1177"/>
      <c r="L65" s="1175"/>
      <c r="M65" s="1178"/>
    </row>
    <row r="66" spans="1:13" s="1155" customFormat="1" ht="11.25" customHeight="1" x14ac:dyDescent="0.25">
      <c r="A66" s="5"/>
      <c r="B66" s="137"/>
      <c r="C66" s="1179" t="s">
        <v>636</v>
      </c>
      <c r="D66" s="1180"/>
      <c r="E66" s="718"/>
      <c r="F66" s="258"/>
      <c r="G66" s="1181"/>
      <c r="H66" s="1182"/>
      <c r="I66" s="132"/>
      <c r="J66" s="925"/>
      <c r="K66" s="1183"/>
      <c r="L66" s="132"/>
      <c r="M66" s="1184"/>
    </row>
    <row r="67" spans="1:13" s="5" customFormat="1" ht="11.25" customHeight="1" x14ac:dyDescent="0.25">
      <c r="B67" s="137"/>
      <c r="C67" s="1185" t="s">
        <v>1194</v>
      </c>
      <c r="D67" s="1180"/>
      <c r="E67" s="1186"/>
      <c r="F67" s="1187"/>
      <c r="G67" s="1188"/>
      <c r="H67" s="1189"/>
      <c r="I67" s="1187"/>
      <c r="J67" s="1190"/>
      <c r="K67" s="1186"/>
      <c r="L67" s="1187"/>
      <c r="M67" s="1188"/>
    </row>
    <row r="68" spans="1:13" s="5" customFormat="1" ht="11.25" customHeight="1" x14ac:dyDescent="0.25">
      <c r="B68" s="137"/>
      <c r="C68" s="1185" t="s">
        <v>1195</v>
      </c>
      <c r="D68" s="1180"/>
      <c r="E68" s="1186"/>
      <c r="F68" s="1187"/>
      <c r="G68" s="1188"/>
      <c r="H68" s="1189"/>
      <c r="I68" s="1187"/>
      <c r="J68" s="1190"/>
      <c r="K68" s="1186"/>
      <c r="L68" s="1187"/>
      <c r="M68" s="1188"/>
    </row>
    <row r="69" spans="1:13" s="5" customFormat="1" ht="11.25" customHeight="1" x14ac:dyDescent="0.25">
      <c r="B69" s="1191">
        <v>8</v>
      </c>
      <c r="C69" s="1185" t="s">
        <v>1196</v>
      </c>
      <c r="D69" s="1180"/>
      <c r="E69" s="1186"/>
      <c r="F69" s="1187"/>
      <c r="G69" s="1188"/>
      <c r="H69" s="1189"/>
      <c r="I69" s="1187"/>
      <c r="J69" s="1190"/>
      <c r="K69" s="1186"/>
      <c r="L69" s="1187"/>
      <c r="M69" s="1188"/>
    </row>
    <row r="70" spans="1:13" s="5" customFormat="1" ht="11.25" customHeight="1" x14ac:dyDescent="0.25">
      <c r="B70" s="1191">
        <v>10</v>
      </c>
      <c r="C70" s="1185" t="s">
        <v>1197</v>
      </c>
      <c r="D70" s="1180"/>
      <c r="E70" s="1186"/>
      <c r="F70" s="1187"/>
      <c r="G70" s="1188"/>
      <c r="H70" s="1189"/>
      <c r="I70" s="1187"/>
      <c r="J70" s="1190"/>
      <c r="K70" s="1186"/>
      <c r="L70" s="1187"/>
      <c r="M70" s="1188"/>
    </row>
    <row r="71" spans="1:13" s="5" customFormat="1" ht="11.25" customHeight="1" x14ac:dyDescent="0.25">
      <c r="B71" s="1191"/>
      <c r="C71" s="1231" t="s">
        <v>1264</v>
      </c>
      <c r="D71" s="1180"/>
      <c r="E71" s="1192">
        <f>SUM(E67:E70)</f>
        <v>0</v>
      </c>
      <c r="F71" s="715">
        <f t="shared" ref="F71:M71" si="3">SUM(F67:F70)</f>
        <v>0</v>
      </c>
      <c r="G71" s="1193">
        <f t="shared" si="3"/>
        <v>0</v>
      </c>
      <c r="H71" s="1194">
        <f t="shared" si="3"/>
        <v>0</v>
      </c>
      <c r="I71" s="715">
        <f t="shared" si="3"/>
        <v>0</v>
      </c>
      <c r="J71" s="1195">
        <f t="shared" si="3"/>
        <v>0</v>
      </c>
      <c r="K71" s="1192">
        <f t="shared" si="3"/>
        <v>0</v>
      </c>
      <c r="L71" s="715">
        <f t="shared" si="3"/>
        <v>0</v>
      </c>
      <c r="M71" s="1193">
        <f t="shared" si="3"/>
        <v>0</v>
      </c>
    </row>
    <row r="72" spans="1:13" s="5" customFormat="1" ht="11.25" customHeight="1" x14ac:dyDescent="0.25">
      <c r="B72" s="1191">
        <v>9</v>
      </c>
      <c r="C72" s="1185" t="s">
        <v>1198</v>
      </c>
      <c r="D72" s="1180"/>
      <c r="E72" s="1186"/>
      <c r="F72" s="1187"/>
      <c r="G72" s="1188"/>
      <c r="H72" s="1189"/>
      <c r="I72" s="1187"/>
      <c r="J72" s="1190"/>
      <c r="K72" s="1186"/>
      <c r="L72" s="1187"/>
      <c r="M72" s="1188"/>
    </row>
    <row r="73" spans="1:13" s="5" customFormat="1" ht="11.25" customHeight="1" x14ac:dyDescent="0.25">
      <c r="B73" s="1191">
        <v>10</v>
      </c>
      <c r="C73" s="1185" t="s">
        <v>1199</v>
      </c>
      <c r="D73" s="1180"/>
      <c r="E73" s="1186"/>
      <c r="F73" s="1187"/>
      <c r="G73" s="1188"/>
      <c r="H73" s="1189"/>
      <c r="I73" s="1187"/>
      <c r="J73" s="1190"/>
      <c r="K73" s="1186"/>
      <c r="L73" s="1187"/>
      <c r="M73" s="1188"/>
    </row>
    <row r="74" spans="1:13" s="5" customFormat="1" ht="11.25" customHeight="1" x14ac:dyDescent="0.25">
      <c r="B74" s="137"/>
      <c r="C74" s="1185" t="s">
        <v>1201</v>
      </c>
      <c r="D74" s="1180"/>
      <c r="E74" s="1186"/>
      <c r="F74" s="1187"/>
      <c r="G74" s="1188"/>
      <c r="H74" s="1189"/>
      <c r="I74" s="1187"/>
      <c r="J74" s="1190"/>
      <c r="K74" s="1186"/>
      <c r="L74" s="1187"/>
      <c r="M74" s="1188"/>
    </row>
    <row r="75" spans="1:13" s="5" customFormat="1" ht="11.25" customHeight="1" x14ac:dyDescent="0.25">
      <c r="B75" s="137"/>
      <c r="C75" s="1231" t="s">
        <v>1634</v>
      </c>
      <c r="D75" s="1180"/>
      <c r="E75" s="1196">
        <f>SUM(E72:E74)</f>
        <v>0</v>
      </c>
      <c r="F75" s="930">
        <f t="shared" ref="F75:M75" si="4">SUM(F72:F74)</f>
        <v>0</v>
      </c>
      <c r="G75" s="1197">
        <f t="shared" si="4"/>
        <v>0</v>
      </c>
      <c r="H75" s="1198">
        <f t="shared" si="4"/>
        <v>0</v>
      </c>
      <c r="I75" s="930">
        <f t="shared" si="4"/>
        <v>0</v>
      </c>
      <c r="J75" s="1199">
        <f t="shared" si="4"/>
        <v>0</v>
      </c>
      <c r="K75" s="1196">
        <f t="shared" si="4"/>
        <v>0</v>
      </c>
      <c r="L75" s="930">
        <f t="shared" si="4"/>
        <v>0</v>
      </c>
      <c r="M75" s="1197">
        <f t="shared" si="4"/>
        <v>0</v>
      </c>
    </row>
    <row r="76" spans="1:13" s="5" customFormat="1" ht="11.25" customHeight="1" x14ac:dyDescent="0.25">
      <c r="B76" s="137"/>
      <c r="C76" s="1200" t="s">
        <v>1202</v>
      </c>
      <c r="D76" s="1180"/>
      <c r="E76" s="1201">
        <f>E71+E75</f>
        <v>0</v>
      </c>
      <c r="F76" s="932">
        <f t="shared" ref="F76:M76" si="5">F71+F75</f>
        <v>0</v>
      </c>
      <c r="G76" s="1202">
        <f t="shared" si="5"/>
        <v>0</v>
      </c>
      <c r="H76" s="1203">
        <f t="shared" si="5"/>
        <v>0</v>
      </c>
      <c r="I76" s="932">
        <f t="shared" si="5"/>
        <v>0</v>
      </c>
      <c r="J76" s="1204">
        <f t="shared" si="5"/>
        <v>0</v>
      </c>
      <c r="K76" s="1201">
        <f t="shared" si="5"/>
        <v>0</v>
      </c>
      <c r="L76" s="932">
        <f t="shared" si="5"/>
        <v>0</v>
      </c>
      <c r="M76" s="1202">
        <f t="shared" si="5"/>
        <v>0</v>
      </c>
    </row>
    <row r="77" spans="1:13" s="5" customFormat="1" ht="11.25" customHeight="1" x14ac:dyDescent="0.25">
      <c r="B77" s="137"/>
      <c r="C77" s="1179" t="s">
        <v>637</v>
      </c>
      <c r="D77" s="1180"/>
      <c r="E77" s="1205"/>
      <c r="F77" s="928"/>
      <c r="G77" s="1206"/>
      <c r="H77" s="1207"/>
      <c r="I77" s="928"/>
      <c r="J77" s="1206"/>
      <c r="K77" s="1205"/>
      <c r="L77" s="928"/>
      <c r="M77" s="1208"/>
    </row>
    <row r="78" spans="1:13" s="5" customFormat="1" ht="11.25" customHeight="1" x14ac:dyDescent="0.25">
      <c r="B78" s="137"/>
      <c r="C78" s="1185" t="s">
        <v>1203</v>
      </c>
      <c r="D78" s="1180"/>
      <c r="E78" s="1186"/>
      <c r="F78" s="1187"/>
      <c r="G78" s="1188"/>
      <c r="H78" s="1189"/>
      <c r="I78" s="1187"/>
      <c r="J78" s="1190"/>
      <c r="K78" s="1186"/>
      <c r="L78" s="1187"/>
      <c r="M78" s="1188"/>
    </row>
    <row r="79" spans="1:13" s="5" customFormat="1" ht="11.25" customHeight="1" x14ac:dyDescent="0.25">
      <c r="B79" s="137"/>
      <c r="C79" s="1185" t="s">
        <v>1204</v>
      </c>
      <c r="D79" s="1180"/>
      <c r="E79" s="1186"/>
      <c r="F79" s="1187"/>
      <c r="G79" s="1188"/>
      <c r="H79" s="1189"/>
      <c r="I79" s="1187"/>
      <c r="J79" s="1190"/>
      <c r="K79" s="1186"/>
      <c r="L79" s="1187"/>
      <c r="M79" s="1188"/>
    </row>
    <row r="80" spans="1:13" s="5" customFormat="1" ht="11.25" customHeight="1" x14ac:dyDescent="0.25">
      <c r="B80" s="137"/>
      <c r="C80" s="1185" t="s">
        <v>1205</v>
      </c>
      <c r="D80" s="1180"/>
      <c r="E80" s="1186"/>
      <c r="F80" s="1187"/>
      <c r="G80" s="1188"/>
      <c r="H80" s="1189"/>
      <c r="I80" s="1187"/>
      <c r="J80" s="1190"/>
      <c r="K80" s="1186"/>
      <c r="L80" s="1187"/>
      <c r="M80" s="1188"/>
    </row>
    <row r="81" spans="2:13" s="5" customFormat="1" ht="11.25" customHeight="1" x14ac:dyDescent="0.25">
      <c r="B81" s="137"/>
      <c r="C81" s="1185" t="s">
        <v>299</v>
      </c>
      <c r="D81" s="1180"/>
      <c r="E81" s="1186"/>
      <c r="F81" s="1187"/>
      <c r="G81" s="1188"/>
      <c r="H81" s="1189"/>
      <c r="I81" s="1187"/>
      <c r="J81" s="1190"/>
      <c r="K81" s="1186"/>
      <c r="L81" s="1187"/>
      <c r="M81" s="1188"/>
    </row>
    <row r="82" spans="2:13" s="5" customFormat="1" ht="11.25" customHeight="1" x14ac:dyDescent="0.25">
      <c r="B82" s="137"/>
      <c r="C82" s="1185" t="s">
        <v>301</v>
      </c>
      <c r="D82" s="1180"/>
      <c r="E82" s="1186"/>
      <c r="F82" s="1187"/>
      <c r="G82" s="1188"/>
      <c r="H82" s="1189"/>
      <c r="I82" s="1187"/>
      <c r="J82" s="1190"/>
      <c r="K82" s="1186"/>
      <c r="L82" s="1187"/>
      <c r="M82" s="1188"/>
    </row>
    <row r="83" spans="2:13" s="5" customFormat="1" ht="11.25" customHeight="1" x14ac:dyDescent="0.25">
      <c r="B83" s="137"/>
      <c r="C83" s="1231" t="s">
        <v>1264</v>
      </c>
      <c r="D83" s="1180"/>
      <c r="E83" s="1192">
        <f>SUM(E78:E82)</f>
        <v>0</v>
      </c>
      <c r="F83" s="715">
        <f t="shared" ref="F83:M83" si="6">SUM(F78:F82)</f>
        <v>0</v>
      </c>
      <c r="G83" s="1193">
        <f t="shared" si="6"/>
        <v>0</v>
      </c>
      <c r="H83" s="1194">
        <f t="shared" si="6"/>
        <v>0</v>
      </c>
      <c r="I83" s="715">
        <f t="shared" si="6"/>
        <v>0</v>
      </c>
      <c r="J83" s="1195">
        <f t="shared" si="6"/>
        <v>0</v>
      </c>
      <c r="K83" s="1192">
        <f t="shared" si="6"/>
        <v>0</v>
      </c>
      <c r="L83" s="715">
        <f t="shared" si="6"/>
        <v>0</v>
      </c>
      <c r="M83" s="1193">
        <f t="shared" si="6"/>
        <v>0</v>
      </c>
    </row>
    <row r="84" spans="2:13" s="5" customFormat="1" ht="11.25" customHeight="1" x14ac:dyDescent="0.25">
      <c r="B84" s="137"/>
      <c r="C84" s="1185" t="s">
        <v>300</v>
      </c>
      <c r="D84" s="1180"/>
      <c r="E84" s="1186"/>
      <c r="F84" s="1187"/>
      <c r="G84" s="1188"/>
      <c r="H84" s="1189"/>
      <c r="I84" s="1187"/>
      <c r="J84" s="1190"/>
      <c r="K84" s="1186"/>
      <c r="L84" s="1187"/>
      <c r="M84" s="1188"/>
    </row>
    <row r="85" spans="2:13" s="5" customFormat="1" ht="11.25" customHeight="1" x14ac:dyDescent="0.25">
      <c r="B85" s="137"/>
      <c r="C85" s="1185" t="s">
        <v>302</v>
      </c>
      <c r="D85" s="1180"/>
      <c r="E85" s="1186"/>
      <c r="F85" s="1187"/>
      <c r="G85" s="1188"/>
      <c r="H85" s="1189"/>
      <c r="I85" s="1187"/>
      <c r="J85" s="1190"/>
      <c r="K85" s="1186"/>
      <c r="L85" s="1187"/>
      <c r="M85" s="1188"/>
    </row>
    <row r="86" spans="2:13" s="5" customFormat="1" ht="11.25" customHeight="1" x14ac:dyDescent="0.25">
      <c r="B86" s="137"/>
      <c r="C86" s="1185" t="s">
        <v>1206</v>
      </c>
      <c r="D86" s="1180"/>
      <c r="E86" s="1186"/>
      <c r="F86" s="1187"/>
      <c r="G86" s="1188"/>
      <c r="H86" s="1189"/>
      <c r="I86" s="1187"/>
      <c r="J86" s="1190"/>
      <c r="K86" s="1186"/>
      <c r="L86" s="1187"/>
      <c r="M86" s="1188"/>
    </row>
    <row r="87" spans="2:13" s="5" customFormat="1" ht="11.25" customHeight="1" x14ac:dyDescent="0.25">
      <c r="B87" s="137"/>
      <c r="C87" s="1231" t="s">
        <v>1634</v>
      </c>
      <c r="D87" s="1180"/>
      <c r="E87" s="1196">
        <f>SUM(E84:E86)</f>
        <v>0</v>
      </c>
      <c r="F87" s="930">
        <f t="shared" ref="F87:M87" si="7">SUM(F84:F86)</f>
        <v>0</v>
      </c>
      <c r="G87" s="1197">
        <f t="shared" si="7"/>
        <v>0</v>
      </c>
      <c r="H87" s="1198">
        <f t="shared" si="7"/>
        <v>0</v>
      </c>
      <c r="I87" s="930">
        <f t="shared" si="7"/>
        <v>0</v>
      </c>
      <c r="J87" s="1199">
        <f t="shared" si="7"/>
        <v>0</v>
      </c>
      <c r="K87" s="1196">
        <f t="shared" si="7"/>
        <v>0</v>
      </c>
      <c r="L87" s="930">
        <f t="shared" si="7"/>
        <v>0</v>
      </c>
      <c r="M87" s="1197">
        <f t="shared" si="7"/>
        <v>0</v>
      </c>
    </row>
    <row r="88" spans="2:13" s="5" customFormat="1" ht="11.25" customHeight="1" x14ac:dyDescent="0.25">
      <c r="B88" s="137"/>
      <c r="C88" s="1200" t="s">
        <v>1202</v>
      </c>
      <c r="D88" s="1180"/>
      <c r="E88" s="1201">
        <f>E83+E87</f>
        <v>0</v>
      </c>
      <c r="F88" s="932">
        <f t="shared" ref="F88:M88" si="8">F83+F87</f>
        <v>0</v>
      </c>
      <c r="G88" s="1202">
        <f t="shared" si="8"/>
        <v>0</v>
      </c>
      <c r="H88" s="1203">
        <f t="shared" si="8"/>
        <v>0</v>
      </c>
      <c r="I88" s="932">
        <f t="shared" si="8"/>
        <v>0</v>
      </c>
      <c r="J88" s="1204">
        <f t="shared" si="8"/>
        <v>0</v>
      </c>
      <c r="K88" s="1201">
        <f t="shared" si="8"/>
        <v>0</v>
      </c>
      <c r="L88" s="932">
        <f t="shared" si="8"/>
        <v>0</v>
      </c>
      <c r="M88" s="1202">
        <f t="shared" si="8"/>
        <v>0</v>
      </c>
    </row>
    <row r="89" spans="2:13" s="5" customFormat="1" ht="11.25" customHeight="1" x14ac:dyDescent="0.25">
      <c r="B89" s="137"/>
      <c r="C89" s="1179" t="s">
        <v>638</v>
      </c>
      <c r="D89" s="1180"/>
      <c r="E89" s="1205"/>
      <c r="F89" s="928"/>
      <c r="G89" s="1206"/>
      <c r="H89" s="1207"/>
      <c r="I89" s="928"/>
      <c r="J89" s="1206"/>
      <c r="K89" s="1205"/>
      <c r="L89" s="928"/>
      <c r="M89" s="1208"/>
    </row>
    <row r="90" spans="2:13" s="5" customFormat="1" ht="11.25" customHeight="1" x14ac:dyDescent="0.25">
      <c r="B90" s="137"/>
      <c r="C90" s="1185" t="s">
        <v>1635</v>
      </c>
      <c r="D90" s="1180"/>
      <c r="E90" s="1186"/>
      <c r="F90" s="1187"/>
      <c r="G90" s="1188"/>
      <c r="H90" s="1189"/>
      <c r="I90" s="1187"/>
      <c r="J90" s="1190"/>
      <c r="K90" s="1186"/>
      <c r="L90" s="1187"/>
      <c r="M90" s="1188"/>
    </row>
    <row r="91" spans="2:13" s="5" customFormat="1" ht="11.25" customHeight="1" x14ac:dyDescent="0.25">
      <c r="B91" s="137"/>
      <c r="C91" s="1185" t="s">
        <v>1636</v>
      </c>
      <c r="D91" s="1180"/>
      <c r="E91" s="1186"/>
      <c r="F91" s="1187"/>
      <c r="G91" s="1188"/>
      <c r="H91" s="1189"/>
      <c r="I91" s="1187"/>
      <c r="J91" s="1190"/>
      <c r="K91" s="1186"/>
      <c r="L91" s="1187"/>
      <c r="M91" s="1188"/>
    </row>
    <row r="92" spans="2:13" s="5" customFormat="1" ht="11.25" customHeight="1" x14ac:dyDescent="0.25">
      <c r="B92" s="137"/>
      <c r="C92" s="1231" t="s">
        <v>1264</v>
      </c>
      <c r="D92" s="1180"/>
      <c r="E92" s="1192">
        <f>SUM(E90:E91)</f>
        <v>0</v>
      </c>
      <c r="F92" s="715">
        <f t="shared" ref="F92:M92" si="9">SUM(F90:F91)</f>
        <v>0</v>
      </c>
      <c r="G92" s="1193">
        <f t="shared" si="9"/>
        <v>0</v>
      </c>
      <c r="H92" s="1194">
        <f t="shared" si="9"/>
        <v>0</v>
      </c>
      <c r="I92" s="715">
        <f t="shared" si="9"/>
        <v>0</v>
      </c>
      <c r="J92" s="1195">
        <f t="shared" si="9"/>
        <v>0</v>
      </c>
      <c r="K92" s="1192">
        <f t="shared" si="9"/>
        <v>0</v>
      </c>
      <c r="L92" s="715">
        <f t="shared" si="9"/>
        <v>0</v>
      </c>
      <c r="M92" s="1193">
        <f t="shared" si="9"/>
        <v>0</v>
      </c>
    </row>
    <row r="93" spans="2:13" s="5" customFormat="1" ht="11.25" customHeight="1" x14ac:dyDescent="0.25">
      <c r="B93" s="137"/>
      <c r="C93" s="1185" t="s">
        <v>1207</v>
      </c>
      <c r="D93" s="1180"/>
      <c r="E93" s="1186"/>
      <c r="F93" s="1187"/>
      <c r="G93" s="1188"/>
      <c r="H93" s="1189"/>
      <c r="I93" s="1187"/>
      <c r="J93" s="1190"/>
      <c r="K93" s="1186"/>
      <c r="L93" s="1187"/>
      <c r="M93" s="1188"/>
    </row>
    <row r="94" spans="2:13" s="5" customFormat="1" ht="11.25" customHeight="1" x14ac:dyDescent="0.25">
      <c r="B94" s="137"/>
      <c r="C94" s="1185" t="s">
        <v>1208</v>
      </c>
      <c r="D94" s="1180"/>
      <c r="E94" s="1186"/>
      <c r="F94" s="1187"/>
      <c r="G94" s="1188"/>
      <c r="H94" s="1189"/>
      <c r="I94" s="1187"/>
      <c r="J94" s="1190"/>
      <c r="K94" s="1186"/>
      <c r="L94" s="1187"/>
      <c r="M94" s="1188"/>
    </row>
    <row r="95" spans="2:13" s="5" customFormat="1" ht="11.25" customHeight="1" x14ac:dyDescent="0.25">
      <c r="B95" s="137"/>
      <c r="C95" s="1185" t="s">
        <v>1209</v>
      </c>
      <c r="D95" s="1180"/>
      <c r="E95" s="1186"/>
      <c r="F95" s="1187"/>
      <c r="G95" s="1188"/>
      <c r="H95" s="1189"/>
      <c r="I95" s="1187"/>
      <c r="J95" s="1190"/>
      <c r="K95" s="1186"/>
      <c r="L95" s="1187"/>
      <c r="M95" s="1188"/>
    </row>
    <row r="96" spans="2:13" s="5" customFormat="1" ht="11.25" customHeight="1" x14ac:dyDescent="0.25">
      <c r="B96" s="137"/>
      <c r="C96" s="1231" t="s">
        <v>1634</v>
      </c>
      <c r="D96" s="1180"/>
      <c r="E96" s="1196">
        <f>SUM(E93:E95)</f>
        <v>0</v>
      </c>
      <c r="F96" s="930">
        <f t="shared" ref="F96:M96" si="10">SUM(F93:F95)</f>
        <v>0</v>
      </c>
      <c r="G96" s="1197">
        <f t="shared" si="10"/>
        <v>0</v>
      </c>
      <c r="H96" s="1198">
        <f t="shared" si="10"/>
        <v>0</v>
      </c>
      <c r="I96" s="930">
        <f t="shared" si="10"/>
        <v>0</v>
      </c>
      <c r="J96" s="1199">
        <f t="shared" si="10"/>
        <v>0</v>
      </c>
      <c r="K96" s="1196">
        <f t="shared" si="10"/>
        <v>0</v>
      </c>
      <c r="L96" s="930">
        <f t="shared" si="10"/>
        <v>0</v>
      </c>
      <c r="M96" s="1197">
        <f t="shared" si="10"/>
        <v>0</v>
      </c>
    </row>
    <row r="97" spans="1:13" s="5" customFormat="1" ht="11.25" customHeight="1" x14ac:dyDescent="0.25">
      <c r="B97" s="137"/>
      <c r="C97" s="1200" t="s">
        <v>1202</v>
      </c>
      <c r="D97" s="1180"/>
      <c r="E97" s="1201">
        <f>E92+E96</f>
        <v>0</v>
      </c>
      <c r="F97" s="932">
        <f t="shared" ref="F97:M97" si="11">F92+F96</f>
        <v>0</v>
      </c>
      <c r="G97" s="1202">
        <f t="shared" si="11"/>
        <v>0</v>
      </c>
      <c r="H97" s="1203">
        <f t="shared" si="11"/>
        <v>0</v>
      </c>
      <c r="I97" s="932">
        <f t="shared" si="11"/>
        <v>0</v>
      </c>
      <c r="J97" s="1204">
        <f t="shared" si="11"/>
        <v>0</v>
      </c>
      <c r="K97" s="1201">
        <f t="shared" si="11"/>
        <v>0</v>
      </c>
      <c r="L97" s="932">
        <f t="shared" si="11"/>
        <v>0</v>
      </c>
      <c r="M97" s="1202">
        <f t="shared" si="11"/>
        <v>0</v>
      </c>
    </row>
    <row r="98" spans="1:13" s="5" customFormat="1" ht="11.25" customHeight="1" x14ac:dyDescent="0.25">
      <c r="B98" s="137"/>
      <c r="C98" s="1179" t="s">
        <v>639</v>
      </c>
      <c r="D98" s="1180"/>
      <c r="E98" s="1205"/>
      <c r="F98" s="928"/>
      <c r="G98" s="1206"/>
      <c r="H98" s="1207"/>
      <c r="I98" s="928"/>
      <c r="J98" s="1206"/>
      <c r="K98" s="1205"/>
      <c r="L98" s="928"/>
      <c r="M98" s="1208"/>
    </row>
    <row r="99" spans="1:13" s="5" customFormat="1" ht="11.25" customHeight="1" x14ac:dyDescent="0.25">
      <c r="B99" s="137"/>
      <c r="C99" s="1185" t="s">
        <v>1637</v>
      </c>
      <c r="D99" s="1180"/>
      <c r="E99" s="1209"/>
      <c r="F99" s="1210"/>
      <c r="G99" s="1211"/>
      <c r="H99" s="1212"/>
      <c r="I99" s="1210"/>
      <c r="J99" s="1213"/>
      <c r="K99" s="1209"/>
      <c r="L99" s="1210"/>
      <c r="M99" s="1211"/>
    </row>
    <row r="100" spans="1:13" s="5" customFormat="1" ht="11.25" customHeight="1" x14ac:dyDescent="0.25">
      <c r="B100" s="137"/>
      <c r="C100" s="1231" t="s">
        <v>1264</v>
      </c>
      <c r="D100" s="1180"/>
      <c r="E100" s="1205">
        <f>SUM(E99)</f>
        <v>0</v>
      </c>
      <c r="F100" s="928">
        <f t="shared" ref="F100:M100" si="12">SUM(F99)</f>
        <v>0</v>
      </c>
      <c r="G100" s="1208">
        <f t="shared" si="12"/>
        <v>0</v>
      </c>
      <c r="H100" s="1207">
        <f t="shared" si="12"/>
        <v>0</v>
      </c>
      <c r="I100" s="928">
        <f t="shared" si="12"/>
        <v>0</v>
      </c>
      <c r="J100" s="1206">
        <f t="shared" si="12"/>
        <v>0</v>
      </c>
      <c r="K100" s="1205">
        <f t="shared" si="12"/>
        <v>0</v>
      </c>
      <c r="L100" s="928">
        <f t="shared" si="12"/>
        <v>0</v>
      </c>
      <c r="M100" s="1208">
        <f t="shared" si="12"/>
        <v>0</v>
      </c>
    </row>
    <row r="101" spans="1:13" s="5" customFormat="1" ht="11.25" customHeight="1" x14ac:dyDescent="0.25">
      <c r="B101" s="137"/>
      <c r="C101" s="1185" t="s">
        <v>1211</v>
      </c>
      <c r="D101" s="1180"/>
      <c r="E101" s="1186"/>
      <c r="F101" s="1187"/>
      <c r="G101" s="1188"/>
      <c r="H101" s="1189"/>
      <c r="I101" s="1187"/>
      <c r="J101" s="1190"/>
      <c r="K101" s="1186"/>
      <c r="L101" s="1187"/>
      <c r="M101" s="1188"/>
    </row>
    <row r="102" spans="1:13" s="5" customFormat="1" ht="11.25" customHeight="1" x14ac:dyDescent="0.25">
      <c r="B102" s="137"/>
      <c r="C102" s="1185" t="s">
        <v>1212</v>
      </c>
      <c r="D102" s="1180"/>
      <c r="E102" s="1186"/>
      <c r="F102" s="1187"/>
      <c r="G102" s="1188"/>
      <c r="H102" s="1189"/>
      <c r="I102" s="1187"/>
      <c r="J102" s="1190"/>
      <c r="K102" s="1186"/>
      <c r="L102" s="1187"/>
      <c r="M102" s="1188"/>
    </row>
    <row r="103" spans="1:13" s="5" customFormat="1" ht="11.25" customHeight="1" x14ac:dyDescent="0.25">
      <c r="B103" s="137"/>
      <c r="C103" s="1185" t="s">
        <v>1213</v>
      </c>
      <c r="D103" s="1180"/>
      <c r="E103" s="1186"/>
      <c r="F103" s="1187"/>
      <c r="G103" s="1188"/>
      <c r="H103" s="1189"/>
      <c r="I103" s="1187"/>
      <c r="J103" s="1190"/>
      <c r="K103" s="1186"/>
      <c r="L103" s="1187"/>
      <c r="M103" s="1188"/>
    </row>
    <row r="104" spans="1:13" s="5" customFormat="1" ht="11.25" customHeight="1" x14ac:dyDescent="0.25">
      <c r="B104" s="137"/>
      <c r="C104" s="1185" t="s">
        <v>1214</v>
      </c>
      <c r="D104" s="1180"/>
      <c r="E104" s="1186"/>
      <c r="F104" s="1187"/>
      <c r="G104" s="1188"/>
      <c r="H104" s="1189"/>
      <c r="I104" s="1187"/>
      <c r="J104" s="1190"/>
      <c r="K104" s="1186"/>
      <c r="L104" s="1187"/>
      <c r="M104" s="1188"/>
    </row>
    <row r="105" spans="1:13" s="5" customFormat="1" ht="11.25" customHeight="1" x14ac:dyDescent="0.25">
      <c r="B105" s="137"/>
      <c r="C105" s="1185" t="s">
        <v>1215</v>
      </c>
      <c r="D105" s="1180"/>
      <c r="E105" s="1186"/>
      <c r="F105" s="1187"/>
      <c r="G105" s="1188"/>
      <c r="H105" s="1189"/>
      <c r="I105" s="1187"/>
      <c r="J105" s="1190"/>
      <c r="K105" s="1186"/>
      <c r="L105" s="1187"/>
      <c r="M105" s="1188"/>
    </row>
    <row r="106" spans="1:13" s="5" customFormat="1" ht="11.25" customHeight="1" x14ac:dyDescent="0.25">
      <c r="B106" s="137"/>
      <c r="C106" s="1231" t="s">
        <v>1634</v>
      </c>
      <c r="D106" s="1180"/>
      <c r="E106" s="1196">
        <f t="shared" ref="E106:M106" si="13">SUM(E101:E105)</f>
        <v>0</v>
      </c>
      <c r="F106" s="930">
        <f t="shared" si="13"/>
        <v>0</v>
      </c>
      <c r="G106" s="1197">
        <f t="shared" si="13"/>
        <v>0</v>
      </c>
      <c r="H106" s="1198">
        <f t="shared" si="13"/>
        <v>0</v>
      </c>
      <c r="I106" s="930">
        <f t="shared" si="13"/>
        <v>0</v>
      </c>
      <c r="J106" s="1199">
        <f t="shared" si="13"/>
        <v>0</v>
      </c>
      <c r="K106" s="1196">
        <f t="shared" si="13"/>
        <v>0</v>
      </c>
      <c r="L106" s="930">
        <f t="shared" si="13"/>
        <v>0</v>
      </c>
      <c r="M106" s="1197">
        <f t="shared" si="13"/>
        <v>0</v>
      </c>
    </row>
    <row r="107" spans="1:13" s="5" customFormat="1" ht="11.25" customHeight="1" x14ac:dyDescent="0.25">
      <c r="B107" s="137"/>
      <c r="C107" s="1200" t="s">
        <v>1202</v>
      </c>
      <c r="D107" s="1180"/>
      <c r="E107" s="1201">
        <f>E100+E106</f>
        <v>0</v>
      </c>
      <c r="F107" s="932">
        <f t="shared" ref="F107:M107" si="14">F100+F106</f>
        <v>0</v>
      </c>
      <c r="G107" s="1202">
        <f t="shared" si="14"/>
        <v>0</v>
      </c>
      <c r="H107" s="1203">
        <f t="shared" si="14"/>
        <v>0</v>
      </c>
      <c r="I107" s="932">
        <f t="shared" si="14"/>
        <v>0</v>
      </c>
      <c r="J107" s="1204">
        <f t="shared" si="14"/>
        <v>0</v>
      </c>
      <c r="K107" s="1201">
        <f t="shared" si="14"/>
        <v>0</v>
      </c>
      <c r="L107" s="932">
        <f t="shared" si="14"/>
        <v>0</v>
      </c>
      <c r="M107" s="1202">
        <f t="shared" si="14"/>
        <v>0</v>
      </c>
    </row>
    <row r="108" spans="1:13" s="5" customFormat="1" ht="5.0999999999999996" customHeight="1" x14ac:dyDescent="0.25">
      <c r="B108" s="137"/>
      <c r="C108" s="1214"/>
      <c r="D108" s="1215"/>
      <c r="E108" s="1216"/>
      <c r="F108" s="273"/>
      <c r="G108" s="1217"/>
      <c r="H108" s="1218"/>
      <c r="I108" s="273"/>
      <c r="J108" s="1219"/>
      <c r="K108" s="1216"/>
      <c r="L108" s="273"/>
      <c r="M108" s="1217"/>
    </row>
    <row r="109" spans="1:13" s="5" customFormat="1" ht="24.95" customHeight="1" x14ac:dyDescent="0.25">
      <c r="A109" s="1362" t="s">
        <v>1638</v>
      </c>
      <c r="B109" s="1156"/>
      <c r="C109" s="1157"/>
      <c r="D109" s="1158"/>
      <c r="E109" s="1159" t="str">
        <f>Head1B</f>
        <v>2012/13</v>
      </c>
      <c r="F109" s="1160" t="str">
        <f>Head1A</f>
        <v>2013/14</v>
      </c>
      <c r="G109" s="1161" t="str">
        <f>Head1</f>
        <v>2014/15</v>
      </c>
      <c r="H109" s="1341" t="str">
        <f>Head2</f>
        <v>Budget Year 2015/16</v>
      </c>
      <c r="I109" s="1342"/>
      <c r="J109" s="1363"/>
      <c r="K109" s="1341" t="str">
        <f>Head3</f>
        <v>2015/16 Medium Term Revenue &amp; Expenditure Framework</v>
      </c>
      <c r="L109" s="1342"/>
      <c r="M109" s="1363"/>
    </row>
    <row r="110" spans="1:13" s="5" customFormat="1" ht="24.95" customHeight="1" x14ac:dyDescent="0.25">
      <c r="A110" s="1362"/>
      <c r="B110" s="1162" t="s">
        <v>1514</v>
      </c>
      <c r="C110" s="1163"/>
      <c r="D110" s="1164"/>
      <c r="E110" s="1165" t="str">
        <f>Head5A</f>
        <v>Outcome</v>
      </c>
      <c r="F110" s="1166" t="str">
        <f>Head5A</f>
        <v>Outcome</v>
      </c>
      <c r="G110" s="1167" t="str">
        <f>Head5A</f>
        <v>Outcome</v>
      </c>
      <c r="H110" s="1168" t="str">
        <f>Head6</f>
        <v>Original Budget</v>
      </c>
      <c r="I110" s="1166" t="str">
        <f>Head7</f>
        <v>Adjusted Budget</v>
      </c>
      <c r="J110" s="1167" t="str">
        <f>Head8</f>
        <v>Full Year Forecast</v>
      </c>
      <c r="K110" s="1168" t="str">
        <f>Head9</f>
        <v>Budget Year 2015/16</v>
      </c>
      <c r="L110" s="1166" t="str">
        <f>Head10</f>
        <v>Budget Year +1 2016/17</v>
      </c>
      <c r="M110" s="1167" t="str">
        <f>Head11</f>
        <v>Budget Year +2 2017/18</v>
      </c>
    </row>
    <row r="111" spans="1:13" s="5" customFormat="1" ht="11.25" customHeight="1" x14ac:dyDescent="0.25">
      <c r="B111" s="137"/>
      <c r="C111" s="1169" t="s">
        <v>1633</v>
      </c>
      <c r="D111" s="1180"/>
      <c r="E111" s="1171"/>
      <c r="F111" s="1172"/>
      <c r="G111" s="1173"/>
      <c r="H111" s="1174"/>
      <c r="I111" s="1175"/>
      <c r="J111" s="1176"/>
      <c r="K111" s="1177"/>
      <c r="L111" s="1175"/>
      <c r="M111" s="1178"/>
    </row>
    <row r="112" spans="1:13" s="5" customFormat="1" ht="11.25" customHeight="1" x14ac:dyDescent="0.25">
      <c r="B112" s="137"/>
      <c r="C112" s="1179" t="s">
        <v>636</v>
      </c>
      <c r="D112" s="1180"/>
      <c r="E112" s="718"/>
      <c r="F112" s="258"/>
      <c r="G112" s="1181"/>
      <c r="H112" s="1182"/>
      <c r="I112" s="132"/>
      <c r="J112" s="925"/>
      <c r="K112" s="1183"/>
      <c r="L112" s="132"/>
      <c r="M112" s="1184"/>
    </row>
    <row r="113" spans="2:13" s="5" customFormat="1" ht="11.25" customHeight="1" x14ac:dyDescent="0.25">
      <c r="B113" s="137"/>
      <c r="C113" s="1185" t="s">
        <v>1194</v>
      </c>
      <c r="D113" s="1180"/>
      <c r="E113" s="1186"/>
      <c r="F113" s="1187"/>
      <c r="G113" s="1188"/>
      <c r="H113" s="1189"/>
      <c r="I113" s="1187"/>
      <c r="J113" s="1190"/>
      <c r="K113" s="1186"/>
      <c r="L113" s="1187"/>
      <c r="M113" s="1188"/>
    </row>
    <row r="114" spans="2:13" s="5" customFormat="1" ht="11.25" customHeight="1" x14ac:dyDescent="0.25">
      <c r="B114" s="137"/>
      <c r="C114" s="1185" t="s">
        <v>1195</v>
      </c>
      <c r="D114" s="1180"/>
      <c r="E114" s="1186"/>
      <c r="F114" s="1187"/>
      <c r="G114" s="1188"/>
      <c r="H114" s="1189"/>
      <c r="I114" s="1187"/>
      <c r="J114" s="1190"/>
      <c r="K114" s="1186"/>
      <c r="L114" s="1187"/>
      <c r="M114" s="1188"/>
    </row>
    <row r="115" spans="2:13" s="5" customFormat="1" ht="11.25" customHeight="1" x14ac:dyDescent="0.25">
      <c r="B115" s="1191">
        <v>8</v>
      </c>
      <c r="C115" s="1185" t="s">
        <v>1196</v>
      </c>
      <c r="D115" s="1180"/>
      <c r="E115" s="1186"/>
      <c r="F115" s="1187"/>
      <c r="G115" s="1188"/>
      <c r="H115" s="1189"/>
      <c r="I115" s="1187"/>
      <c r="J115" s="1190"/>
      <c r="K115" s="1186"/>
      <c r="L115" s="1187"/>
      <c r="M115" s="1188"/>
    </row>
    <row r="116" spans="2:13" s="5" customFormat="1" ht="11.25" customHeight="1" x14ac:dyDescent="0.25">
      <c r="B116" s="1191">
        <v>10</v>
      </c>
      <c r="C116" s="1185" t="s">
        <v>1197</v>
      </c>
      <c r="D116" s="1180"/>
      <c r="E116" s="1186"/>
      <c r="F116" s="1187"/>
      <c r="G116" s="1188"/>
      <c r="H116" s="1189"/>
      <c r="I116" s="1187"/>
      <c r="J116" s="1190"/>
      <c r="K116" s="1186"/>
      <c r="L116" s="1187"/>
      <c r="M116" s="1188"/>
    </row>
    <row r="117" spans="2:13" s="5" customFormat="1" ht="11.25" customHeight="1" x14ac:dyDescent="0.25">
      <c r="B117" s="1191"/>
      <c r="C117" s="1231" t="s">
        <v>1264</v>
      </c>
      <c r="D117" s="1180"/>
      <c r="E117" s="1192">
        <f>SUM(E113:E116)</f>
        <v>0</v>
      </c>
      <c r="F117" s="715">
        <f t="shared" ref="F117:M117" si="15">SUM(F113:F116)</f>
        <v>0</v>
      </c>
      <c r="G117" s="1193">
        <f t="shared" si="15"/>
        <v>0</v>
      </c>
      <c r="H117" s="1194">
        <f t="shared" si="15"/>
        <v>0</v>
      </c>
      <c r="I117" s="715">
        <f t="shared" si="15"/>
        <v>0</v>
      </c>
      <c r="J117" s="1195">
        <f t="shared" si="15"/>
        <v>0</v>
      </c>
      <c r="K117" s="1192">
        <f t="shared" si="15"/>
        <v>0</v>
      </c>
      <c r="L117" s="715">
        <f t="shared" si="15"/>
        <v>0</v>
      </c>
      <c r="M117" s="1193">
        <f t="shared" si="15"/>
        <v>0</v>
      </c>
    </row>
    <row r="118" spans="2:13" s="5" customFormat="1" ht="11.25" customHeight="1" x14ac:dyDescent="0.25">
      <c r="B118" s="1191">
        <v>9</v>
      </c>
      <c r="C118" s="1185" t="s">
        <v>1198</v>
      </c>
      <c r="D118" s="1180"/>
      <c r="E118" s="1186"/>
      <c r="F118" s="1187"/>
      <c r="G118" s="1188"/>
      <c r="H118" s="1189"/>
      <c r="I118" s="1187"/>
      <c r="J118" s="1190"/>
      <c r="K118" s="1186"/>
      <c r="L118" s="1187"/>
      <c r="M118" s="1188"/>
    </row>
    <row r="119" spans="2:13" s="5" customFormat="1" ht="11.25" customHeight="1" x14ac:dyDescent="0.25">
      <c r="B119" s="1191">
        <v>10</v>
      </c>
      <c r="C119" s="1185" t="s">
        <v>1199</v>
      </c>
      <c r="D119" s="1180"/>
      <c r="E119" s="1186"/>
      <c r="F119" s="1187"/>
      <c r="G119" s="1188"/>
      <c r="H119" s="1189"/>
      <c r="I119" s="1187"/>
      <c r="J119" s="1190"/>
      <c r="K119" s="1186"/>
      <c r="L119" s="1187"/>
      <c r="M119" s="1188"/>
    </row>
    <row r="120" spans="2:13" s="5" customFormat="1" ht="11.25" customHeight="1" x14ac:dyDescent="0.25">
      <c r="B120" s="137"/>
      <c r="C120" s="1185" t="s">
        <v>1201</v>
      </c>
      <c r="D120" s="1180"/>
      <c r="E120" s="1186"/>
      <c r="F120" s="1187"/>
      <c r="G120" s="1188"/>
      <c r="H120" s="1189"/>
      <c r="I120" s="1187"/>
      <c r="J120" s="1190"/>
      <c r="K120" s="1186"/>
      <c r="L120" s="1187"/>
      <c r="M120" s="1188"/>
    </row>
    <row r="121" spans="2:13" s="5" customFormat="1" ht="11.25" customHeight="1" x14ac:dyDescent="0.25">
      <c r="B121" s="137"/>
      <c r="C121" s="1231" t="s">
        <v>1634</v>
      </c>
      <c r="D121" s="1180"/>
      <c r="E121" s="1196">
        <f>SUM(E118:E120)</f>
        <v>0</v>
      </c>
      <c r="F121" s="930">
        <f t="shared" ref="F121:M121" si="16">SUM(F118:F120)</f>
        <v>0</v>
      </c>
      <c r="G121" s="1197">
        <f t="shared" si="16"/>
        <v>0</v>
      </c>
      <c r="H121" s="1198">
        <f t="shared" si="16"/>
        <v>0</v>
      </c>
      <c r="I121" s="930">
        <f t="shared" si="16"/>
        <v>0</v>
      </c>
      <c r="J121" s="1199">
        <f t="shared" si="16"/>
        <v>0</v>
      </c>
      <c r="K121" s="1196">
        <f t="shared" si="16"/>
        <v>0</v>
      </c>
      <c r="L121" s="930">
        <f t="shared" si="16"/>
        <v>0</v>
      </c>
      <c r="M121" s="1197">
        <f t="shared" si="16"/>
        <v>0</v>
      </c>
    </row>
    <row r="122" spans="2:13" s="5" customFormat="1" ht="11.25" customHeight="1" x14ac:dyDescent="0.25">
      <c r="B122" s="137"/>
      <c r="C122" s="1200" t="s">
        <v>1202</v>
      </c>
      <c r="D122" s="1180"/>
      <c r="E122" s="1201">
        <f>E117+E121</f>
        <v>0</v>
      </c>
      <c r="F122" s="932">
        <f t="shared" ref="F122:M122" si="17">F117+F121</f>
        <v>0</v>
      </c>
      <c r="G122" s="1202">
        <f t="shared" si="17"/>
        <v>0</v>
      </c>
      <c r="H122" s="1203">
        <f t="shared" si="17"/>
        <v>0</v>
      </c>
      <c r="I122" s="932">
        <f t="shared" si="17"/>
        <v>0</v>
      </c>
      <c r="J122" s="1204">
        <f t="shared" si="17"/>
        <v>0</v>
      </c>
      <c r="K122" s="1201">
        <f t="shared" si="17"/>
        <v>0</v>
      </c>
      <c r="L122" s="932">
        <f t="shared" si="17"/>
        <v>0</v>
      </c>
      <c r="M122" s="1202">
        <f t="shared" si="17"/>
        <v>0</v>
      </c>
    </row>
    <row r="123" spans="2:13" s="5" customFormat="1" ht="11.25" customHeight="1" x14ac:dyDescent="0.25">
      <c r="B123" s="137"/>
      <c r="C123" s="1179" t="s">
        <v>637</v>
      </c>
      <c r="D123" s="1180"/>
      <c r="E123" s="1205"/>
      <c r="F123" s="928"/>
      <c r="G123" s="1206"/>
      <c r="H123" s="1207"/>
      <c r="I123" s="928"/>
      <c r="J123" s="1206"/>
      <c r="K123" s="1205"/>
      <c r="L123" s="928"/>
      <c r="M123" s="1208"/>
    </row>
    <row r="124" spans="2:13" s="5" customFormat="1" ht="11.25" customHeight="1" x14ac:dyDescent="0.25">
      <c r="B124" s="137"/>
      <c r="C124" s="1185" t="s">
        <v>1203</v>
      </c>
      <c r="D124" s="1180"/>
      <c r="E124" s="1186"/>
      <c r="F124" s="1187"/>
      <c r="G124" s="1188"/>
      <c r="H124" s="1189"/>
      <c r="I124" s="1187"/>
      <c r="J124" s="1190"/>
      <c r="K124" s="1186"/>
      <c r="L124" s="1187"/>
      <c r="M124" s="1188"/>
    </row>
    <row r="125" spans="2:13" s="5" customFormat="1" ht="11.25" customHeight="1" x14ac:dyDescent="0.25">
      <c r="B125" s="137"/>
      <c r="C125" s="1185" t="s">
        <v>1204</v>
      </c>
      <c r="D125" s="1180"/>
      <c r="E125" s="1186"/>
      <c r="F125" s="1187"/>
      <c r="G125" s="1188"/>
      <c r="H125" s="1189"/>
      <c r="I125" s="1187"/>
      <c r="J125" s="1190"/>
      <c r="K125" s="1186"/>
      <c r="L125" s="1187"/>
      <c r="M125" s="1188"/>
    </row>
    <row r="126" spans="2:13" s="5" customFormat="1" ht="11.25" customHeight="1" x14ac:dyDescent="0.25">
      <c r="B126" s="137"/>
      <c r="C126" s="1185" t="s">
        <v>1205</v>
      </c>
      <c r="D126" s="1180"/>
      <c r="E126" s="1186"/>
      <c r="F126" s="1187"/>
      <c r="G126" s="1188"/>
      <c r="H126" s="1189"/>
      <c r="I126" s="1187"/>
      <c r="J126" s="1190"/>
      <c r="K126" s="1186"/>
      <c r="L126" s="1187"/>
      <c r="M126" s="1188"/>
    </row>
    <row r="127" spans="2:13" s="5" customFormat="1" ht="11.25" customHeight="1" x14ac:dyDescent="0.25">
      <c r="B127" s="137"/>
      <c r="C127" s="1185" t="s">
        <v>299</v>
      </c>
      <c r="D127" s="1180"/>
      <c r="E127" s="1186"/>
      <c r="F127" s="1187"/>
      <c r="G127" s="1188"/>
      <c r="H127" s="1189"/>
      <c r="I127" s="1187"/>
      <c r="J127" s="1190"/>
      <c r="K127" s="1186"/>
      <c r="L127" s="1187"/>
      <c r="M127" s="1188"/>
    </row>
    <row r="128" spans="2:13" s="5" customFormat="1" ht="11.25" customHeight="1" x14ac:dyDescent="0.25">
      <c r="B128" s="137"/>
      <c r="C128" s="1185" t="s">
        <v>301</v>
      </c>
      <c r="D128" s="1180"/>
      <c r="E128" s="1186"/>
      <c r="F128" s="1187"/>
      <c r="G128" s="1188"/>
      <c r="H128" s="1189"/>
      <c r="I128" s="1187"/>
      <c r="J128" s="1190"/>
      <c r="K128" s="1186"/>
      <c r="L128" s="1187"/>
      <c r="M128" s="1188"/>
    </row>
    <row r="129" spans="2:13" s="5" customFormat="1" ht="11.25" customHeight="1" x14ac:dyDescent="0.25">
      <c r="B129" s="137"/>
      <c r="C129" s="1231" t="s">
        <v>1264</v>
      </c>
      <c r="D129" s="1180"/>
      <c r="E129" s="1192">
        <f>SUM(E124:E128)</f>
        <v>0</v>
      </c>
      <c r="F129" s="715">
        <f t="shared" ref="F129:M129" si="18">SUM(F124:F128)</f>
        <v>0</v>
      </c>
      <c r="G129" s="1193">
        <f t="shared" si="18"/>
        <v>0</v>
      </c>
      <c r="H129" s="1194">
        <f t="shared" si="18"/>
        <v>0</v>
      </c>
      <c r="I129" s="715">
        <f t="shared" si="18"/>
        <v>0</v>
      </c>
      <c r="J129" s="1195">
        <f t="shared" si="18"/>
        <v>0</v>
      </c>
      <c r="K129" s="1192">
        <f t="shared" si="18"/>
        <v>0</v>
      </c>
      <c r="L129" s="715">
        <f t="shared" si="18"/>
        <v>0</v>
      </c>
      <c r="M129" s="1193">
        <f t="shared" si="18"/>
        <v>0</v>
      </c>
    </row>
    <row r="130" spans="2:13" s="5" customFormat="1" ht="11.25" customHeight="1" x14ac:dyDescent="0.25">
      <c r="B130" s="137"/>
      <c r="C130" s="1185" t="s">
        <v>300</v>
      </c>
      <c r="D130" s="1180"/>
      <c r="E130" s="1186"/>
      <c r="F130" s="1187"/>
      <c r="G130" s="1188"/>
      <c r="H130" s="1189"/>
      <c r="I130" s="1187"/>
      <c r="J130" s="1190"/>
      <c r="K130" s="1186"/>
      <c r="L130" s="1187"/>
      <c r="M130" s="1188"/>
    </row>
    <row r="131" spans="2:13" s="5" customFormat="1" ht="11.25" customHeight="1" x14ac:dyDescent="0.25">
      <c r="B131" s="137"/>
      <c r="C131" s="1185" t="s">
        <v>302</v>
      </c>
      <c r="D131" s="1180"/>
      <c r="E131" s="1186"/>
      <c r="F131" s="1187"/>
      <c r="G131" s="1188"/>
      <c r="H131" s="1189"/>
      <c r="I131" s="1187"/>
      <c r="J131" s="1190"/>
      <c r="K131" s="1186"/>
      <c r="L131" s="1187"/>
      <c r="M131" s="1188"/>
    </row>
    <row r="132" spans="2:13" s="5" customFormat="1" ht="11.25" customHeight="1" x14ac:dyDescent="0.25">
      <c r="B132" s="137"/>
      <c r="C132" s="1185" t="s">
        <v>1206</v>
      </c>
      <c r="D132" s="1180"/>
      <c r="E132" s="1186"/>
      <c r="F132" s="1187"/>
      <c r="G132" s="1188"/>
      <c r="H132" s="1189"/>
      <c r="I132" s="1187"/>
      <c r="J132" s="1190"/>
      <c r="K132" s="1186"/>
      <c r="L132" s="1187"/>
      <c r="M132" s="1188"/>
    </row>
    <row r="133" spans="2:13" s="5" customFormat="1" ht="11.25" customHeight="1" x14ac:dyDescent="0.25">
      <c r="B133" s="137"/>
      <c r="C133" s="1231" t="s">
        <v>1634</v>
      </c>
      <c r="D133" s="1180"/>
      <c r="E133" s="1196">
        <f>SUM(E130:E132)</f>
        <v>0</v>
      </c>
      <c r="F133" s="930">
        <f t="shared" ref="F133:M133" si="19">SUM(F130:F132)</f>
        <v>0</v>
      </c>
      <c r="G133" s="1197">
        <f t="shared" si="19"/>
        <v>0</v>
      </c>
      <c r="H133" s="1198">
        <f t="shared" si="19"/>
        <v>0</v>
      </c>
      <c r="I133" s="930">
        <f t="shared" si="19"/>
        <v>0</v>
      </c>
      <c r="J133" s="1199">
        <f t="shared" si="19"/>
        <v>0</v>
      </c>
      <c r="K133" s="1196">
        <f t="shared" si="19"/>
        <v>0</v>
      </c>
      <c r="L133" s="930">
        <f t="shared" si="19"/>
        <v>0</v>
      </c>
      <c r="M133" s="1197">
        <f t="shared" si="19"/>
        <v>0</v>
      </c>
    </row>
    <row r="134" spans="2:13" s="5" customFormat="1" ht="11.25" customHeight="1" x14ac:dyDescent="0.25">
      <c r="B134" s="137"/>
      <c r="C134" s="1200" t="s">
        <v>1202</v>
      </c>
      <c r="D134" s="1180"/>
      <c r="E134" s="1201">
        <f>E129+E133</f>
        <v>0</v>
      </c>
      <c r="F134" s="932">
        <f t="shared" ref="F134:M134" si="20">F129+F133</f>
        <v>0</v>
      </c>
      <c r="G134" s="1202">
        <f t="shared" si="20"/>
        <v>0</v>
      </c>
      <c r="H134" s="1203">
        <f t="shared" si="20"/>
        <v>0</v>
      </c>
      <c r="I134" s="932">
        <f t="shared" si="20"/>
        <v>0</v>
      </c>
      <c r="J134" s="1204">
        <f t="shared" si="20"/>
        <v>0</v>
      </c>
      <c r="K134" s="1201">
        <f t="shared" si="20"/>
        <v>0</v>
      </c>
      <c r="L134" s="932">
        <f t="shared" si="20"/>
        <v>0</v>
      </c>
      <c r="M134" s="1202">
        <f t="shared" si="20"/>
        <v>0</v>
      </c>
    </row>
    <row r="135" spans="2:13" s="5" customFormat="1" ht="11.25" customHeight="1" x14ac:dyDescent="0.25">
      <c r="B135" s="137"/>
      <c r="C135" s="1179" t="s">
        <v>638</v>
      </c>
      <c r="D135" s="1180"/>
      <c r="E135" s="1205"/>
      <c r="F135" s="928"/>
      <c r="G135" s="1206"/>
      <c r="H135" s="1207"/>
      <c r="I135" s="928"/>
      <c r="J135" s="1206"/>
      <c r="K135" s="1205"/>
      <c r="L135" s="928"/>
      <c r="M135" s="1208"/>
    </row>
    <row r="136" spans="2:13" s="5" customFormat="1" ht="11.25" customHeight="1" x14ac:dyDescent="0.25">
      <c r="B136" s="137"/>
      <c r="C136" s="1185" t="s">
        <v>1635</v>
      </c>
      <c r="D136" s="1180"/>
      <c r="E136" s="1186"/>
      <c r="F136" s="1187"/>
      <c r="G136" s="1188"/>
      <c r="H136" s="1189"/>
      <c r="I136" s="1187"/>
      <c r="J136" s="1190"/>
      <c r="K136" s="1186"/>
      <c r="L136" s="1187"/>
      <c r="M136" s="1188"/>
    </row>
    <row r="137" spans="2:13" s="5" customFormat="1" ht="11.25" customHeight="1" x14ac:dyDescent="0.25">
      <c r="B137" s="137"/>
      <c r="C137" s="1185" t="s">
        <v>1636</v>
      </c>
      <c r="D137" s="1180"/>
      <c r="E137" s="1186"/>
      <c r="F137" s="1187"/>
      <c r="G137" s="1188"/>
      <c r="H137" s="1189"/>
      <c r="I137" s="1187"/>
      <c r="J137" s="1190"/>
      <c r="K137" s="1186"/>
      <c r="L137" s="1187"/>
      <c r="M137" s="1188"/>
    </row>
    <row r="138" spans="2:13" s="5" customFormat="1" ht="11.25" customHeight="1" x14ac:dyDescent="0.25">
      <c r="B138" s="137"/>
      <c r="C138" s="1231" t="s">
        <v>1264</v>
      </c>
      <c r="D138" s="1180"/>
      <c r="E138" s="1192">
        <f>SUM(E136:E137)</f>
        <v>0</v>
      </c>
      <c r="F138" s="715">
        <f t="shared" ref="F138:M138" si="21">SUM(F136:F137)</f>
        <v>0</v>
      </c>
      <c r="G138" s="1193">
        <f t="shared" si="21"/>
        <v>0</v>
      </c>
      <c r="H138" s="1194">
        <f t="shared" si="21"/>
        <v>0</v>
      </c>
      <c r="I138" s="715">
        <f t="shared" si="21"/>
        <v>0</v>
      </c>
      <c r="J138" s="1195">
        <f t="shared" si="21"/>
        <v>0</v>
      </c>
      <c r="K138" s="1192">
        <f t="shared" si="21"/>
        <v>0</v>
      </c>
      <c r="L138" s="715">
        <f t="shared" si="21"/>
        <v>0</v>
      </c>
      <c r="M138" s="1193">
        <f t="shared" si="21"/>
        <v>0</v>
      </c>
    </row>
    <row r="139" spans="2:13" s="5" customFormat="1" ht="11.25" customHeight="1" x14ac:dyDescent="0.25">
      <c r="B139" s="137"/>
      <c r="C139" s="1185" t="s">
        <v>1207</v>
      </c>
      <c r="D139" s="1180"/>
      <c r="E139" s="1186"/>
      <c r="F139" s="1187"/>
      <c r="G139" s="1188"/>
      <c r="H139" s="1189"/>
      <c r="I139" s="1187"/>
      <c r="J139" s="1190"/>
      <c r="K139" s="1186"/>
      <c r="L139" s="1187"/>
      <c r="M139" s="1188"/>
    </row>
    <row r="140" spans="2:13" s="5" customFormat="1" ht="11.25" customHeight="1" x14ac:dyDescent="0.25">
      <c r="B140" s="137"/>
      <c r="C140" s="1185" t="s">
        <v>1208</v>
      </c>
      <c r="D140" s="1180"/>
      <c r="E140" s="1186"/>
      <c r="F140" s="1187"/>
      <c r="G140" s="1188"/>
      <c r="H140" s="1189"/>
      <c r="I140" s="1187"/>
      <c r="J140" s="1190"/>
      <c r="K140" s="1186"/>
      <c r="L140" s="1187"/>
      <c r="M140" s="1188"/>
    </row>
    <row r="141" spans="2:13" s="5" customFormat="1" ht="11.25" customHeight="1" x14ac:dyDescent="0.25">
      <c r="B141" s="137"/>
      <c r="C141" s="1185" t="s">
        <v>1209</v>
      </c>
      <c r="D141" s="1180"/>
      <c r="E141" s="1186"/>
      <c r="F141" s="1187"/>
      <c r="G141" s="1188"/>
      <c r="H141" s="1189"/>
      <c r="I141" s="1187"/>
      <c r="J141" s="1190"/>
      <c r="K141" s="1186"/>
      <c r="L141" s="1187"/>
      <c r="M141" s="1188"/>
    </row>
    <row r="142" spans="2:13" s="5" customFormat="1" ht="11.25" customHeight="1" x14ac:dyDescent="0.25">
      <c r="B142" s="137"/>
      <c r="C142" s="1231" t="s">
        <v>1634</v>
      </c>
      <c r="D142" s="1180"/>
      <c r="E142" s="1196">
        <f>SUM(E139:E141)</f>
        <v>0</v>
      </c>
      <c r="F142" s="930">
        <f t="shared" ref="F142:M142" si="22">SUM(F139:F141)</f>
        <v>0</v>
      </c>
      <c r="G142" s="1197">
        <f t="shared" si="22"/>
        <v>0</v>
      </c>
      <c r="H142" s="1198">
        <f t="shared" si="22"/>
        <v>0</v>
      </c>
      <c r="I142" s="930">
        <f t="shared" si="22"/>
        <v>0</v>
      </c>
      <c r="J142" s="1199">
        <f t="shared" si="22"/>
        <v>0</v>
      </c>
      <c r="K142" s="1196">
        <f t="shared" si="22"/>
        <v>0</v>
      </c>
      <c r="L142" s="930">
        <f t="shared" si="22"/>
        <v>0</v>
      </c>
      <c r="M142" s="1197">
        <f t="shared" si="22"/>
        <v>0</v>
      </c>
    </row>
    <row r="143" spans="2:13" s="5" customFormat="1" ht="11.25" customHeight="1" x14ac:dyDescent="0.25">
      <c r="B143" s="137"/>
      <c r="C143" s="1200" t="s">
        <v>1202</v>
      </c>
      <c r="D143" s="1180"/>
      <c r="E143" s="1201">
        <f>E138+E142</f>
        <v>0</v>
      </c>
      <c r="F143" s="932">
        <f t="shared" ref="F143:M143" si="23">F138+F142</f>
        <v>0</v>
      </c>
      <c r="G143" s="1202">
        <f t="shared" si="23"/>
        <v>0</v>
      </c>
      <c r="H143" s="1203">
        <f t="shared" si="23"/>
        <v>0</v>
      </c>
      <c r="I143" s="932">
        <f t="shared" si="23"/>
        <v>0</v>
      </c>
      <c r="J143" s="1204">
        <f t="shared" si="23"/>
        <v>0</v>
      </c>
      <c r="K143" s="1201">
        <f t="shared" si="23"/>
        <v>0</v>
      </c>
      <c r="L143" s="932">
        <f t="shared" si="23"/>
        <v>0</v>
      </c>
      <c r="M143" s="1202">
        <f t="shared" si="23"/>
        <v>0</v>
      </c>
    </row>
    <row r="144" spans="2:13" s="5" customFormat="1" ht="11.25" customHeight="1" x14ac:dyDescent="0.25">
      <c r="B144" s="137"/>
      <c r="C144" s="1179" t="s">
        <v>639</v>
      </c>
      <c r="D144" s="1180"/>
      <c r="E144" s="1205"/>
      <c r="F144" s="928"/>
      <c r="G144" s="1206"/>
      <c r="H144" s="1207"/>
      <c r="I144" s="928"/>
      <c r="J144" s="1206"/>
      <c r="K144" s="1205"/>
      <c r="L144" s="928"/>
      <c r="M144" s="1208"/>
    </row>
    <row r="145" spans="1:13" s="5" customFormat="1" ht="11.25" customHeight="1" x14ac:dyDescent="0.25">
      <c r="B145" s="137"/>
      <c r="C145" s="1185" t="s">
        <v>1637</v>
      </c>
      <c r="D145" s="1180"/>
      <c r="E145" s="1209"/>
      <c r="F145" s="1210"/>
      <c r="G145" s="1211"/>
      <c r="H145" s="1212"/>
      <c r="I145" s="1210"/>
      <c r="J145" s="1213"/>
      <c r="K145" s="1209"/>
      <c r="L145" s="1210"/>
      <c r="M145" s="1211"/>
    </row>
    <row r="146" spans="1:13" s="5" customFormat="1" ht="11.25" customHeight="1" x14ac:dyDescent="0.25">
      <c r="B146" s="137"/>
      <c r="C146" s="1231" t="s">
        <v>1264</v>
      </c>
      <c r="D146" s="1180"/>
      <c r="E146" s="1205">
        <f>SUM(E145)</f>
        <v>0</v>
      </c>
      <c r="F146" s="928">
        <f t="shared" ref="F146:M146" si="24">SUM(F145)</f>
        <v>0</v>
      </c>
      <c r="G146" s="1208">
        <f t="shared" si="24"/>
        <v>0</v>
      </c>
      <c r="H146" s="1207">
        <f t="shared" si="24"/>
        <v>0</v>
      </c>
      <c r="I146" s="928">
        <f t="shared" si="24"/>
        <v>0</v>
      </c>
      <c r="J146" s="1206">
        <f t="shared" si="24"/>
        <v>0</v>
      </c>
      <c r="K146" s="1205">
        <f t="shared" si="24"/>
        <v>0</v>
      </c>
      <c r="L146" s="928">
        <f t="shared" si="24"/>
        <v>0</v>
      </c>
      <c r="M146" s="1208">
        <f t="shared" si="24"/>
        <v>0</v>
      </c>
    </row>
    <row r="147" spans="1:13" s="5" customFormat="1" ht="11.25" customHeight="1" x14ac:dyDescent="0.25">
      <c r="B147" s="137"/>
      <c r="C147" s="1185" t="s">
        <v>1211</v>
      </c>
      <c r="D147" s="1180"/>
      <c r="E147" s="1186"/>
      <c r="F147" s="1187"/>
      <c r="G147" s="1188"/>
      <c r="H147" s="1189"/>
      <c r="I147" s="1187"/>
      <c r="J147" s="1190"/>
      <c r="K147" s="1186"/>
      <c r="L147" s="1187"/>
      <c r="M147" s="1188"/>
    </row>
    <row r="148" spans="1:13" s="5" customFormat="1" ht="11.25" customHeight="1" x14ac:dyDescent="0.25">
      <c r="B148" s="137"/>
      <c r="C148" s="1185" t="s">
        <v>1212</v>
      </c>
      <c r="D148" s="1180"/>
      <c r="E148" s="1186"/>
      <c r="F148" s="1187"/>
      <c r="G148" s="1188"/>
      <c r="H148" s="1189"/>
      <c r="I148" s="1187"/>
      <c r="J148" s="1190"/>
      <c r="K148" s="1186"/>
      <c r="L148" s="1187"/>
      <c r="M148" s="1188"/>
    </row>
    <row r="149" spans="1:13" s="5" customFormat="1" ht="11.25" customHeight="1" x14ac:dyDescent="0.25">
      <c r="B149" s="137"/>
      <c r="C149" s="1185" t="s">
        <v>1213</v>
      </c>
      <c r="D149" s="1180"/>
      <c r="E149" s="1186"/>
      <c r="F149" s="1187"/>
      <c r="G149" s="1188"/>
      <c r="H149" s="1189"/>
      <c r="I149" s="1187"/>
      <c r="J149" s="1190"/>
      <c r="K149" s="1186"/>
      <c r="L149" s="1187"/>
      <c r="M149" s="1188"/>
    </row>
    <row r="150" spans="1:13" s="5" customFormat="1" ht="11.25" customHeight="1" x14ac:dyDescent="0.25">
      <c r="B150" s="137"/>
      <c r="C150" s="1185" t="s">
        <v>1214</v>
      </c>
      <c r="D150" s="1180"/>
      <c r="E150" s="1186"/>
      <c r="F150" s="1187"/>
      <c r="G150" s="1188"/>
      <c r="H150" s="1189"/>
      <c r="I150" s="1187"/>
      <c r="J150" s="1190"/>
      <c r="K150" s="1186"/>
      <c r="L150" s="1187"/>
      <c r="M150" s="1188"/>
    </row>
    <row r="151" spans="1:13" s="5" customFormat="1" ht="11.25" customHeight="1" x14ac:dyDescent="0.25">
      <c r="B151" s="137"/>
      <c r="C151" s="1185" t="s">
        <v>1215</v>
      </c>
      <c r="D151" s="1180"/>
      <c r="E151" s="1186"/>
      <c r="F151" s="1187"/>
      <c r="G151" s="1188"/>
      <c r="H151" s="1189"/>
      <c r="I151" s="1187"/>
      <c r="J151" s="1190"/>
      <c r="K151" s="1186"/>
      <c r="L151" s="1187"/>
      <c r="M151" s="1188"/>
    </row>
    <row r="152" spans="1:13" s="5" customFormat="1" ht="11.25" customHeight="1" x14ac:dyDescent="0.25">
      <c r="B152" s="137"/>
      <c r="C152" s="1231" t="s">
        <v>1634</v>
      </c>
      <c r="D152" s="1180"/>
      <c r="E152" s="1196">
        <f t="shared" ref="E152:M152" si="25">SUM(E147:E151)</f>
        <v>0</v>
      </c>
      <c r="F152" s="930">
        <f t="shared" si="25"/>
        <v>0</v>
      </c>
      <c r="G152" s="1197">
        <f t="shared" si="25"/>
        <v>0</v>
      </c>
      <c r="H152" s="1198">
        <f t="shared" si="25"/>
        <v>0</v>
      </c>
      <c r="I152" s="930">
        <f t="shared" si="25"/>
        <v>0</v>
      </c>
      <c r="J152" s="1199">
        <f t="shared" si="25"/>
        <v>0</v>
      </c>
      <c r="K152" s="1196">
        <f t="shared" si="25"/>
        <v>0</v>
      </c>
      <c r="L152" s="930">
        <f t="shared" si="25"/>
        <v>0</v>
      </c>
      <c r="M152" s="1197">
        <f t="shared" si="25"/>
        <v>0</v>
      </c>
    </row>
    <row r="153" spans="1:13" s="5" customFormat="1" ht="11.25" customHeight="1" x14ac:dyDescent="0.25">
      <c r="B153" s="137"/>
      <c r="C153" s="1200" t="s">
        <v>1202</v>
      </c>
      <c r="D153" s="1180"/>
      <c r="E153" s="1201">
        <f>E146+E152</f>
        <v>0</v>
      </c>
      <c r="F153" s="932">
        <f t="shared" ref="F153:M153" si="26">F146+F152</f>
        <v>0</v>
      </c>
      <c r="G153" s="1202">
        <f t="shared" si="26"/>
        <v>0</v>
      </c>
      <c r="H153" s="1203">
        <f t="shared" si="26"/>
        <v>0</v>
      </c>
      <c r="I153" s="932">
        <f t="shared" si="26"/>
        <v>0</v>
      </c>
      <c r="J153" s="1204">
        <f t="shared" si="26"/>
        <v>0</v>
      </c>
      <c r="K153" s="1201">
        <f t="shared" si="26"/>
        <v>0</v>
      </c>
      <c r="L153" s="932">
        <f t="shared" si="26"/>
        <v>0</v>
      </c>
      <c r="M153" s="1202">
        <f t="shared" si="26"/>
        <v>0</v>
      </c>
    </row>
    <row r="154" spans="1:13" s="5" customFormat="1" ht="5.0999999999999996" customHeight="1" x14ac:dyDescent="0.25">
      <c r="B154" s="137"/>
      <c r="C154" s="1214"/>
      <c r="D154" s="1215"/>
      <c r="E154" s="1216"/>
      <c r="F154" s="273"/>
      <c r="G154" s="1217"/>
      <c r="H154" s="1218"/>
      <c r="I154" s="273"/>
      <c r="J154" s="1219"/>
      <c r="K154" s="1216"/>
      <c r="L154" s="273"/>
      <c r="M154" s="1217"/>
    </row>
    <row r="155" spans="1:13" s="5" customFormat="1" ht="24.95" customHeight="1" x14ac:dyDescent="0.25">
      <c r="A155" s="1362" t="s">
        <v>1639</v>
      </c>
      <c r="B155" s="1156"/>
      <c r="C155" s="1157"/>
      <c r="D155" s="1158"/>
      <c r="E155" s="1159" t="str">
        <f>Head1B</f>
        <v>2012/13</v>
      </c>
      <c r="F155" s="1160" t="str">
        <f>Head1A</f>
        <v>2013/14</v>
      </c>
      <c r="G155" s="1161" t="str">
        <f>Head1</f>
        <v>2014/15</v>
      </c>
      <c r="H155" s="1341" t="str">
        <f>Head2</f>
        <v>Budget Year 2015/16</v>
      </c>
      <c r="I155" s="1342"/>
      <c r="J155" s="1363"/>
      <c r="K155" s="1341" t="str">
        <f>Head3</f>
        <v>2015/16 Medium Term Revenue &amp; Expenditure Framework</v>
      </c>
      <c r="L155" s="1342"/>
      <c r="M155" s="1363"/>
    </row>
    <row r="156" spans="1:13" s="5" customFormat="1" ht="24.95" customHeight="1" x14ac:dyDescent="0.25">
      <c r="A156" s="1362"/>
      <c r="B156" s="1162" t="s">
        <v>1514</v>
      </c>
      <c r="C156" s="1163"/>
      <c r="D156" s="1164"/>
      <c r="E156" s="1165" t="str">
        <f>Head5A</f>
        <v>Outcome</v>
      </c>
      <c r="F156" s="1166" t="str">
        <f>Head5A</f>
        <v>Outcome</v>
      </c>
      <c r="G156" s="1167" t="str">
        <f>Head5A</f>
        <v>Outcome</v>
      </c>
      <c r="H156" s="1168" t="str">
        <f>Head6</f>
        <v>Original Budget</v>
      </c>
      <c r="I156" s="1166" t="str">
        <f>Head7</f>
        <v>Adjusted Budget</v>
      </c>
      <c r="J156" s="1167" t="str">
        <f>Head8</f>
        <v>Full Year Forecast</v>
      </c>
      <c r="K156" s="1168" t="str">
        <f>Head9</f>
        <v>Budget Year 2015/16</v>
      </c>
      <c r="L156" s="1166" t="str">
        <f>Head10</f>
        <v>Budget Year +1 2016/17</v>
      </c>
      <c r="M156" s="1167" t="str">
        <f>Head11</f>
        <v>Budget Year +2 2017/18</v>
      </c>
    </row>
    <row r="157" spans="1:13" s="5" customFormat="1" ht="11.25" customHeight="1" x14ac:dyDescent="0.25">
      <c r="B157" s="137"/>
      <c r="C157" s="1169" t="s">
        <v>1633</v>
      </c>
      <c r="D157" s="1180"/>
      <c r="E157" s="1171"/>
      <c r="F157" s="1172"/>
      <c r="G157" s="1173"/>
      <c r="H157" s="1174"/>
      <c r="I157" s="1175"/>
      <c r="J157" s="1176"/>
      <c r="K157" s="1177"/>
      <c r="L157" s="1175"/>
      <c r="M157" s="1178"/>
    </row>
    <row r="158" spans="1:13" s="5" customFormat="1" ht="11.25" customHeight="1" x14ac:dyDescent="0.25">
      <c r="A158" s="1220" t="s">
        <v>1640</v>
      </c>
      <c r="B158" s="137"/>
      <c r="C158" s="1179" t="s">
        <v>636</v>
      </c>
      <c r="D158" s="1180"/>
      <c r="E158" s="718"/>
      <c r="F158" s="258"/>
      <c r="G158" s="1181"/>
      <c r="H158" s="1182"/>
      <c r="I158" s="132"/>
      <c r="J158" s="925"/>
      <c r="K158" s="1183"/>
      <c r="L158" s="132"/>
      <c r="M158" s="1184"/>
    </row>
    <row r="159" spans="1:13" s="5" customFormat="1" ht="11.25" customHeight="1" x14ac:dyDescent="0.25">
      <c r="B159" s="137"/>
      <c r="C159" s="1185" t="s">
        <v>1194</v>
      </c>
      <c r="D159" s="1180"/>
      <c r="E159" s="1186"/>
      <c r="F159" s="1187"/>
      <c r="G159" s="1188"/>
      <c r="H159" s="1189"/>
      <c r="I159" s="1187"/>
      <c r="J159" s="1190"/>
      <c r="K159" s="1186"/>
      <c r="L159" s="1187"/>
      <c r="M159" s="1188"/>
    </row>
    <row r="160" spans="1:13" s="5" customFormat="1" ht="11.25" customHeight="1" x14ac:dyDescent="0.25">
      <c r="B160" s="137"/>
      <c r="C160" s="1185" t="s">
        <v>1195</v>
      </c>
      <c r="D160" s="1180"/>
      <c r="E160" s="1186"/>
      <c r="F160" s="1187"/>
      <c r="G160" s="1188"/>
      <c r="H160" s="1189"/>
      <c r="I160" s="1187"/>
      <c r="J160" s="1190"/>
      <c r="K160" s="1186"/>
      <c r="L160" s="1187"/>
      <c r="M160" s="1188"/>
    </row>
    <row r="161" spans="1:13" s="5" customFormat="1" ht="11.25" customHeight="1" x14ac:dyDescent="0.25">
      <c r="B161" s="1191">
        <v>8</v>
      </c>
      <c r="C161" s="1185" t="s">
        <v>1196</v>
      </c>
      <c r="D161" s="1180"/>
      <c r="E161" s="1186"/>
      <c r="F161" s="1187"/>
      <c r="G161" s="1188"/>
      <c r="H161" s="1189"/>
      <c r="I161" s="1187"/>
      <c r="J161" s="1190"/>
      <c r="K161" s="1186"/>
      <c r="L161" s="1187"/>
      <c r="M161" s="1188"/>
    </row>
    <row r="162" spans="1:13" s="5" customFormat="1" ht="11.25" customHeight="1" x14ac:dyDescent="0.25">
      <c r="B162" s="1191">
        <v>10</v>
      </c>
      <c r="C162" s="1185" t="s">
        <v>1197</v>
      </c>
      <c r="D162" s="1180"/>
      <c r="E162" s="1186"/>
      <c r="F162" s="1187"/>
      <c r="G162" s="1188"/>
      <c r="H162" s="1189"/>
      <c r="I162" s="1187"/>
      <c r="J162" s="1190"/>
      <c r="K162" s="1186"/>
      <c r="L162" s="1187"/>
      <c r="M162" s="1188"/>
    </row>
    <row r="163" spans="1:13" s="5" customFormat="1" ht="11.25" customHeight="1" x14ac:dyDescent="0.25">
      <c r="B163" s="1191"/>
      <c r="C163" s="1231" t="s">
        <v>1264</v>
      </c>
      <c r="D163" s="1180"/>
      <c r="E163" s="1192">
        <f>SUM(E159:E162)</f>
        <v>0</v>
      </c>
      <c r="F163" s="715">
        <f t="shared" ref="F163:M163" si="27">SUM(F159:F162)</f>
        <v>0</v>
      </c>
      <c r="G163" s="1193">
        <f t="shared" si="27"/>
        <v>0</v>
      </c>
      <c r="H163" s="1194">
        <f t="shared" si="27"/>
        <v>0</v>
      </c>
      <c r="I163" s="715">
        <f t="shared" si="27"/>
        <v>0</v>
      </c>
      <c r="J163" s="1195">
        <f t="shared" si="27"/>
        <v>0</v>
      </c>
      <c r="K163" s="1192">
        <f t="shared" si="27"/>
        <v>0</v>
      </c>
      <c r="L163" s="715">
        <f t="shared" si="27"/>
        <v>0</v>
      </c>
      <c r="M163" s="1193">
        <f t="shared" si="27"/>
        <v>0</v>
      </c>
    </row>
    <row r="164" spans="1:13" s="5" customFormat="1" ht="11.25" customHeight="1" x14ac:dyDescent="0.25">
      <c r="B164" s="1191">
        <v>9</v>
      </c>
      <c r="C164" s="1185" t="s">
        <v>1198</v>
      </c>
      <c r="D164" s="1180"/>
      <c r="E164" s="1186"/>
      <c r="F164" s="1187"/>
      <c r="G164" s="1188"/>
      <c r="H164" s="1189"/>
      <c r="I164" s="1187"/>
      <c r="J164" s="1190"/>
      <c r="K164" s="1186"/>
      <c r="L164" s="1187"/>
      <c r="M164" s="1188"/>
    </row>
    <row r="165" spans="1:13" s="5" customFormat="1" ht="11.25" customHeight="1" x14ac:dyDescent="0.25">
      <c r="B165" s="1191">
        <v>10</v>
      </c>
      <c r="C165" s="1185" t="s">
        <v>1199</v>
      </c>
      <c r="D165" s="1180"/>
      <c r="E165" s="1186"/>
      <c r="F165" s="1187"/>
      <c r="G165" s="1188"/>
      <c r="H165" s="1189"/>
      <c r="I165" s="1187"/>
      <c r="J165" s="1190"/>
      <c r="K165" s="1186"/>
      <c r="L165" s="1187"/>
      <c r="M165" s="1188"/>
    </row>
    <row r="166" spans="1:13" s="5" customFormat="1" ht="11.25" customHeight="1" x14ac:dyDescent="0.25">
      <c r="B166" s="137"/>
      <c r="C166" s="1185" t="s">
        <v>1201</v>
      </c>
      <c r="D166" s="1180"/>
      <c r="E166" s="1186"/>
      <c r="F166" s="1187"/>
      <c r="G166" s="1188"/>
      <c r="H166" s="1189"/>
      <c r="I166" s="1187"/>
      <c r="J166" s="1190"/>
      <c r="K166" s="1186"/>
      <c r="L166" s="1187"/>
      <c r="M166" s="1188"/>
    </row>
    <row r="167" spans="1:13" s="5" customFormat="1" ht="11.25" customHeight="1" x14ac:dyDescent="0.25">
      <c r="B167" s="137"/>
      <c r="C167" s="1231" t="s">
        <v>1634</v>
      </c>
      <c r="D167" s="1180"/>
      <c r="E167" s="1196">
        <f>SUM(E164:E166)</f>
        <v>0</v>
      </c>
      <c r="F167" s="930">
        <f t="shared" ref="F167:M167" si="28">SUM(F164:F166)</f>
        <v>0</v>
      </c>
      <c r="G167" s="1197">
        <f t="shared" si="28"/>
        <v>0</v>
      </c>
      <c r="H167" s="1198">
        <f t="shared" si="28"/>
        <v>0</v>
      </c>
      <c r="I167" s="930">
        <f t="shared" si="28"/>
        <v>0</v>
      </c>
      <c r="J167" s="1199">
        <f t="shared" si="28"/>
        <v>0</v>
      </c>
      <c r="K167" s="1196">
        <f t="shared" si="28"/>
        <v>0</v>
      </c>
      <c r="L167" s="930">
        <f t="shared" si="28"/>
        <v>0</v>
      </c>
      <c r="M167" s="1197">
        <f t="shared" si="28"/>
        <v>0</v>
      </c>
    </row>
    <row r="168" spans="1:13" s="5" customFormat="1" ht="11.25" customHeight="1" x14ac:dyDescent="0.25">
      <c r="B168" s="137"/>
      <c r="C168" s="1200" t="s">
        <v>1202</v>
      </c>
      <c r="D168" s="1180"/>
      <c r="E168" s="1201">
        <f>E163+E167</f>
        <v>0</v>
      </c>
      <c r="F168" s="932">
        <f t="shared" ref="F168:M168" si="29">F163+F167</f>
        <v>0</v>
      </c>
      <c r="G168" s="1202">
        <f t="shared" si="29"/>
        <v>0</v>
      </c>
      <c r="H168" s="1203">
        <f t="shared" si="29"/>
        <v>0</v>
      </c>
      <c r="I168" s="932">
        <f t="shared" si="29"/>
        <v>0</v>
      </c>
      <c r="J168" s="1204">
        <f t="shared" si="29"/>
        <v>0</v>
      </c>
      <c r="K168" s="1201">
        <f t="shared" si="29"/>
        <v>0</v>
      </c>
      <c r="L168" s="932">
        <f t="shared" si="29"/>
        <v>0</v>
      </c>
      <c r="M168" s="1202">
        <f t="shared" si="29"/>
        <v>0</v>
      </c>
    </row>
    <row r="169" spans="1:13" s="5" customFormat="1" ht="11.25" customHeight="1" x14ac:dyDescent="0.25">
      <c r="A169" s="1220" t="s">
        <v>1640</v>
      </c>
      <c r="B169" s="137"/>
      <c r="C169" s="1179" t="s">
        <v>637</v>
      </c>
      <c r="D169" s="1180"/>
      <c r="E169" s="1205"/>
      <c r="F169" s="928"/>
      <c r="G169" s="1206"/>
      <c r="H169" s="1207"/>
      <c r="I169" s="928"/>
      <c r="J169" s="1206"/>
      <c r="K169" s="1205"/>
      <c r="L169" s="928"/>
      <c r="M169" s="1208"/>
    </row>
    <row r="170" spans="1:13" s="5" customFormat="1" ht="11.25" customHeight="1" x14ac:dyDescent="0.25">
      <c r="B170" s="137"/>
      <c r="C170" s="1185" t="s">
        <v>1203</v>
      </c>
      <c r="D170" s="1180"/>
      <c r="E170" s="1186"/>
      <c r="F170" s="1187"/>
      <c r="G170" s="1188"/>
      <c r="H170" s="1189"/>
      <c r="I170" s="1187"/>
      <c r="J170" s="1190"/>
      <c r="K170" s="1186"/>
      <c r="L170" s="1187"/>
      <c r="M170" s="1188"/>
    </row>
    <row r="171" spans="1:13" s="5" customFormat="1" ht="11.25" customHeight="1" x14ac:dyDescent="0.25">
      <c r="B171" s="137"/>
      <c r="C171" s="1185" t="s">
        <v>1204</v>
      </c>
      <c r="D171" s="1180"/>
      <c r="E171" s="1186"/>
      <c r="F171" s="1187"/>
      <c r="G171" s="1188"/>
      <c r="H171" s="1189"/>
      <c r="I171" s="1187"/>
      <c r="J171" s="1190"/>
      <c r="K171" s="1186"/>
      <c r="L171" s="1187"/>
      <c r="M171" s="1188"/>
    </row>
    <row r="172" spans="1:13" s="5" customFormat="1" ht="11.25" customHeight="1" x14ac:dyDescent="0.25">
      <c r="B172" s="137"/>
      <c r="C172" s="1185" t="s">
        <v>1205</v>
      </c>
      <c r="D172" s="1180"/>
      <c r="E172" s="1186"/>
      <c r="F172" s="1187"/>
      <c r="G172" s="1188"/>
      <c r="H172" s="1189"/>
      <c r="I172" s="1187"/>
      <c r="J172" s="1190"/>
      <c r="K172" s="1186"/>
      <c r="L172" s="1187"/>
      <c r="M172" s="1188"/>
    </row>
    <row r="173" spans="1:13" s="5" customFormat="1" ht="11.25" customHeight="1" x14ac:dyDescent="0.25">
      <c r="B173" s="137"/>
      <c r="C173" s="1185" t="s">
        <v>299</v>
      </c>
      <c r="D173" s="1180"/>
      <c r="E173" s="1186"/>
      <c r="F173" s="1187"/>
      <c r="G173" s="1188"/>
      <c r="H173" s="1189"/>
      <c r="I173" s="1187"/>
      <c r="J173" s="1190"/>
      <c r="K173" s="1186"/>
      <c r="L173" s="1187"/>
      <c r="M173" s="1188"/>
    </row>
    <row r="174" spans="1:13" s="5" customFormat="1" ht="11.25" customHeight="1" x14ac:dyDescent="0.25">
      <c r="B174" s="137"/>
      <c r="C174" s="1185" t="s">
        <v>301</v>
      </c>
      <c r="D174" s="1180"/>
      <c r="E174" s="1186"/>
      <c r="F174" s="1187"/>
      <c r="G174" s="1188"/>
      <c r="H174" s="1189"/>
      <c r="I174" s="1187"/>
      <c r="J174" s="1190"/>
      <c r="K174" s="1186"/>
      <c r="L174" s="1187"/>
      <c r="M174" s="1188"/>
    </row>
    <row r="175" spans="1:13" s="5" customFormat="1" ht="11.25" customHeight="1" x14ac:dyDescent="0.25">
      <c r="B175" s="137"/>
      <c r="C175" s="1231" t="s">
        <v>1264</v>
      </c>
      <c r="D175" s="1180"/>
      <c r="E175" s="1192">
        <f>SUM(E170:E174)</f>
        <v>0</v>
      </c>
      <c r="F175" s="715">
        <f t="shared" ref="F175:M175" si="30">SUM(F170:F174)</f>
        <v>0</v>
      </c>
      <c r="G175" s="1193">
        <f t="shared" si="30"/>
        <v>0</v>
      </c>
      <c r="H175" s="1194">
        <f t="shared" si="30"/>
        <v>0</v>
      </c>
      <c r="I175" s="715">
        <f t="shared" si="30"/>
        <v>0</v>
      </c>
      <c r="J175" s="1195">
        <f t="shared" si="30"/>
        <v>0</v>
      </c>
      <c r="K175" s="1192">
        <f t="shared" si="30"/>
        <v>0</v>
      </c>
      <c r="L175" s="715">
        <f t="shared" si="30"/>
        <v>0</v>
      </c>
      <c r="M175" s="1193">
        <f t="shared" si="30"/>
        <v>0</v>
      </c>
    </row>
    <row r="176" spans="1:13" s="5" customFormat="1" ht="11.25" customHeight="1" x14ac:dyDescent="0.25">
      <c r="B176" s="137"/>
      <c r="C176" s="1185" t="s">
        <v>300</v>
      </c>
      <c r="D176" s="1180"/>
      <c r="E176" s="1186"/>
      <c r="F176" s="1187"/>
      <c r="G176" s="1188"/>
      <c r="H176" s="1189"/>
      <c r="I176" s="1187"/>
      <c r="J176" s="1190"/>
      <c r="K176" s="1186"/>
      <c r="L176" s="1187"/>
      <c r="M176" s="1188"/>
    </row>
    <row r="177" spans="1:13" s="5" customFormat="1" ht="11.25" customHeight="1" x14ac:dyDescent="0.25">
      <c r="B177" s="137"/>
      <c r="C177" s="1185" t="s">
        <v>302</v>
      </c>
      <c r="D177" s="1180"/>
      <c r="E177" s="1186"/>
      <c r="F177" s="1187"/>
      <c r="G177" s="1188"/>
      <c r="H177" s="1189"/>
      <c r="I177" s="1187"/>
      <c r="J177" s="1190"/>
      <c r="K177" s="1186"/>
      <c r="L177" s="1187"/>
      <c r="M177" s="1188"/>
    </row>
    <row r="178" spans="1:13" s="5" customFormat="1" ht="11.25" customHeight="1" x14ac:dyDescent="0.25">
      <c r="B178" s="137"/>
      <c r="C178" s="1185" t="s">
        <v>1206</v>
      </c>
      <c r="D178" s="1180"/>
      <c r="E178" s="1186"/>
      <c r="F178" s="1187"/>
      <c r="G178" s="1188"/>
      <c r="H178" s="1189"/>
      <c r="I178" s="1187"/>
      <c r="J178" s="1190"/>
      <c r="K178" s="1186"/>
      <c r="L178" s="1187"/>
      <c r="M178" s="1188"/>
    </row>
    <row r="179" spans="1:13" s="5" customFormat="1" ht="11.25" customHeight="1" x14ac:dyDescent="0.25">
      <c r="B179" s="137"/>
      <c r="C179" s="1231" t="s">
        <v>1634</v>
      </c>
      <c r="D179" s="1180"/>
      <c r="E179" s="1196">
        <f>SUM(E176:E178)</f>
        <v>0</v>
      </c>
      <c r="F179" s="930">
        <f t="shared" ref="F179:M179" si="31">SUM(F176:F178)</f>
        <v>0</v>
      </c>
      <c r="G179" s="1197">
        <f t="shared" si="31"/>
        <v>0</v>
      </c>
      <c r="H179" s="1198">
        <f t="shared" si="31"/>
        <v>0</v>
      </c>
      <c r="I179" s="930">
        <f t="shared" si="31"/>
        <v>0</v>
      </c>
      <c r="J179" s="1199">
        <f t="shared" si="31"/>
        <v>0</v>
      </c>
      <c r="K179" s="1196">
        <f t="shared" si="31"/>
        <v>0</v>
      </c>
      <c r="L179" s="930">
        <f t="shared" si="31"/>
        <v>0</v>
      </c>
      <c r="M179" s="1197">
        <f t="shared" si="31"/>
        <v>0</v>
      </c>
    </row>
    <row r="180" spans="1:13" s="5" customFormat="1" ht="11.25" customHeight="1" x14ac:dyDescent="0.25">
      <c r="B180" s="137"/>
      <c r="C180" s="1200" t="s">
        <v>1202</v>
      </c>
      <c r="D180" s="1180"/>
      <c r="E180" s="1201">
        <f>E175+E179</f>
        <v>0</v>
      </c>
      <c r="F180" s="932">
        <f t="shared" ref="F180:M180" si="32">F175+F179</f>
        <v>0</v>
      </c>
      <c r="G180" s="1202">
        <f t="shared" si="32"/>
        <v>0</v>
      </c>
      <c r="H180" s="1203">
        <f t="shared" si="32"/>
        <v>0</v>
      </c>
      <c r="I180" s="932">
        <f t="shared" si="32"/>
        <v>0</v>
      </c>
      <c r="J180" s="1204">
        <f t="shared" si="32"/>
        <v>0</v>
      </c>
      <c r="K180" s="1201">
        <f t="shared" si="32"/>
        <v>0</v>
      </c>
      <c r="L180" s="932">
        <f t="shared" si="32"/>
        <v>0</v>
      </c>
      <c r="M180" s="1202">
        <f t="shared" si="32"/>
        <v>0</v>
      </c>
    </row>
    <row r="181" spans="1:13" s="5" customFormat="1" ht="11.25" customHeight="1" x14ac:dyDescent="0.25">
      <c r="A181" s="1220" t="s">
        <v>1640</v>
      </c>
      <c r="B181" s="137"/>
      <c r="C181" s="1179" t="s">
        <v>638</v>
      </c>
      <c r="D181" s="1180"/>
      <c r="E181" s="1205"/>
      <c r="F181" s="928"/>
      <c r="G181" s="1206"/>
      <c r="H181" s="1207"/>
      <c r="I181" s="928"/>
      <c r="J181" s="1206"/>
      <c r="K181" s="1205"/>
      <c r="L181" s="928"/>
      <c r="M181" s="1208"/>
    </row>
    <row r="182" spans="1:13" s="5" customFormat="1" ht="11.25" customHeight="1" x14ac:dyDescent="0.25">
      <c r="B182" s="137"/>
      <c r="C182" s="1185" t="s">
        <v>1635</v>
      </c>
      <c r="D182" s="1180"/>
      <c r="E182" s="1186"/>
      <c r="F182" s="1187"/>
      <c r="G182" s="1188"/>
      <c r="H182" s="1189"/>
      <c r="I182" s="1187"/>
      <c r="J182" s="1190"/>
      <c r="K182" s="1186"/>
      <c r="L182" s="1187"/>
      <c r="M182" s="1188"/>
    </row>
    <row r="183" spans="1:13" s="5" customFormat="1" ht="11.25" customHeight="1" x14ac:dyDescent="0.25">
      <c r="B183" s="137"/>
      <c r="C183" s="1185" t="s">
        <v>1636</v>
      </c>
      <c r="D183" s="1180"/>
      <c r="E183" s="1186"/>
      <c r="F183" s="1187"/>
      <c r="G183" s="1188"/>
      <c r="H183" s="1189"/>
      <c r="I183" s="1187"/>
      <c r="J183" s="1190"/>
      <c r="K183" s="1186"/>
      <c r="L183" s="1187"/>
      <c r="M183" s="1188"/>
    </row>
    <row r="184" spans="1:13" s="5" customFormat="1" ht="11.25" customHeight="1" x14ac:dyDescent="0.25">
      <c r="B184" s="137"/>
      <c r="C184" s="1231" t="s">
        <v>1264</v>
      </c>
      <c r="D184" s="1180"/>
      <c r="E184" s="1192">
        <f>SUM(E182:E183)</f>
        <v>0</v>
      </c>
      <c r="F184" s="715">
        <f t="shared" ref="F184:M184" si="33">SUM(F182:F183)</f>
        <v>0</v>
      </c>
      <c r="G184" s="1193">
        <f t="shared" si="33"/>
        <v>0</v>
      </c>
      <c r="H184" s="1194">
        <f t="shared" si="33"/>
        <v>0</v>
      </c>
      <c r="I184" s="715">
        <f t="shared" si="33"/>
        <v>0</v>
      </c>
      <c r="J184" s="1195">
        <f t="shared" si="33"/>
        <v>0</v>
      </c>
      <c r="K184" s="1192">
        <f t="shared" si="33"/>
        <v>0</v>
      </c>
      <c r="L184" s="715">
        <f t="shared" si="33"/>
        <v>0</v>
      </c>
      <c r="M184" s="1193">
        <f t="shared" si="33"/>
        <v>0</v>
      </c>
    </row>
    <row r="185" spans="1:13" s="5" customFormat="1" ht="11.25" customHeight="1" x14ac:dyDescent="0.25">
      <c r="B185" s="137"/>
      <c r="C185" s="1185" t="s">
        <v>1207</v>
      </c>
      <c r="D185" s="1180"/>
      <c r="E185" s="1186"/>
      <c r="F185" s="1187"/>
      <c r="G185" s="1188"/>
      <c r="H185" s="1189"/>
      <c r="I185" s="1187"/>
      <c r="J185" s="1190"/>
      <c r="K185" s="1186"/>
      <c r="L185" s="1187"/>
      <c r="M185" s="1188"/>
    </row>
    <row r="186" spans="1:13" s="5" customFormat="1" ht="11.25" customHeight="1" x14ac:dyDescent="0.25">
      <c r="B186" s="137"/>
      <c r="C186" s="1185" t="s">
        <v>1208</v>
      </c>
      <c r="D186" s="1180"/>
      <c r="E186" s="1186"/>
      <c r="F186" s="1187"/>
      <c r="G186" s="1188"/>
      <c r="H186" s="1189"/>
      <c r="I186" s="1187"/>
      <c r="J186" s="1190"/>
      <c r="K186" s="1186"/>
      <c r="L186" s="1187"/>
      <c r="M186" s="1188"/>
    </row>
    <row r="187" spans="1:13" s="5" customFormat="1" ht="11.25" customHeight="1" x14ac:dyDescent="0.25">
      <c r="B187" s="137"/>
      <c r="C187" s="1185" t="s">
        <v>1209</v>
      </c>
      <c r="D187" s="1180"/>
      <c r="E187" s="1186"/>
      <c r="F187" s="1187"/>
      <c r="G187" s="1188"/>
      <c r="H187" s="1189"/>
      <c r="I187" s="1187"/>
      <c r="J187" s="1190"/>
      <c r="K187" s="1186"/>
      <c r="L187" s="1187"/>
      <c r="M187" s="1188"/>
    </row>
    <row r="188" spans="1:13" s="5" customFormat="1" ht="11.25" customHeight="1" x14ac:dyDescent="0.25">
      <c r="B188" s="137"/>
      <c r="C188" s="1231" t="s">
        <v>1634</v>
      </c>
      <c r="D188" s="1180"/>
      <c r="E188" s="1196">
        <f>SUM(E185:E187)</f>
        <v>0</v>
      </c>
      <c r="F188" s="930">
        <f t="shared" ref="F188:M188" si="34">SUM(F185:F187)</f>
        <v>0</v>
      </c>
      <c r="G188" s="1197">
        <f t="shared" si="34"/>
        <v>0</v>
      </c>
      <c r="H188" s="1198">
        <f t="shared" si="34"/>
        <v>0</v>
      </c>
      <c r="I188" s="930">
        <f t="shared" si="34"/>
        <v>0</v>
      </c>
      <c r="J188" s="1199">
        <f t="shared" si="34"/>
        <v>0</v>
      </c>
      <c r="K188" s="1196">
        <f t="shared" si="34"/>
        <v>0</v>
      </c>
      <c r="L188" s="930">
        <f t="shared" si="34"/>
        <v>0</v>
      </c>
      <c r="M188" s="1197">
        <f t="shared" si="34"/>
        <v>0</v>
      </c>
    </row>
    <row r="189" spans="1:13" s="5" customFormat="1" ht="11.25" customHeight="1" x14ac:dyDescent="0.25">
      <c r="B189" s="137"/>
      <c r="C189" s="1200" t="s">
        <v>1202</v>
      </c>
      <c r="D189" s="1180"/>
      <c r="E189" s="1201">
        <f>E184+E188</f>
        <v>0</v>
      </c>
      <c r="F189" s="932">
        <f t="shared" ref="F189:M189" si="35">F184+F188</f>
        <v>0</v>
      </c>
      <c r="G189" s="1202">
        <f t="shared" si="35"/>
        <v>0</v>
      </c>
      <c r="H189" s="1203">
        <f t="shared" si="35"/>
        <v>0</v>
      </c>
      <c r="I189" s="932">
        <f t="shared" si="35"/>
        <v>0</v>
      </c>
      <c r="J189" s="1204">
        <f t="shared" si="35"/>
        <v>0</v>
      </c>
      <c r="K189" s="1201">
        <f t="shared" si="35"/>
        <v>0</v>
      </c>
      <c r="L189" s="932">
        <f t="shared" si="35"/>
        <v>0</v>
      </c>
      <c r="M189" s="1202">
        <f t="shared" si="35"/>
        <v>0</v>
      </c>
    </row>
    <row r="190" spans="1:13" s="5" customFormat="1" ht="11.25" customHeight="1" x14ac:dyDescent="0.25">
      <c r="A190" s="1220" t="s">
        <v>1640</v>
      </c>
      <c r="B190" s="137"/>
      <c r="C190" s="1179" t="s">
        <v>639</v>
      </c>
      <c r="D190" s="1180"/>
      <c r="E190" s="1205"/>
      <c r="F190" s="928"/>
      <c r="G190" s="1206"/>
      <c r="H190" s="1207"/>
      <c r="I190" s="928"/>
      <c r="J190" s="1206"/>
      <c r="K190" s="1205"/>
      <c r="L190" s="928"/>
      <c r="M190" s="1208"/>
    </row>
    <row r="191" spans="1:13" s="5" customFormat="1" ht="11.25" customHeight="1" x14ac:dyDescent="0.25">
      <c r="B191" s="137"/>
      <c r="C191" s="1185" t="s">
        <v>1637</v>
      </c>
      <c r="D191" s="1180"/>
      <c r="E191" s="1209"/>
      <c r="F191" s="1210"/>
      <c r="G191" s="1211"/>
      <c r="H191" s="1212"/>
      <c r="I191" s="1210"/>
      <c r="J191" s="1213"/>
      <c r="K191" s="1209"/>
      <c r="L191" s="1210"/>
      <c r="M191" s="1211"/>
    </row>
    <row r="192" spans="1:13" s="5" customFormat="1" ht="11.25" customHeight="1" x14ac:dyDescent="0.25">
      <c r="B192" s="137"/>
      <c r="C192" s="1231" t="s">
        <v>1264</v>
      </c>
      <c r="D192" s="1180"/>
      <c r="E192" s="1205">
        <f>SUM(E191)</f>
        <v>0</v>
      </c>
      <c r="F192" s="928">
        <f t="shared" ref="F192:M192" si="36">SUM(F191)</f>
        <v>0</v>
      </c>
      <c r="G192" s="1208">
        <f t="shared" si="36"/>
        <v>0</v>
      </c>
      <c r="H192" s="1207">
        <f t="shared" si="36"/>
        <v>0</v>
      </c>
      <c r="I192" s="928">
        <f t="shared" si="36"/>
        <v>0</v>
      </c>
      <c r="J192" s="1206">
        <f t="shared" si="36"/>
        <v>0</v>
      </c>
      <c r="K192" s="1205">
        <f t="shared" si="36"/>
        <v>0</v>
      </c>
      <c r="L192" s="928">
        <f t="shared" si="36"/>
        <v>0</v>
      </c>
      <c r="M192" s="1208">
        <f t="shared" si="36"/>
        <v>0</v>
      </c>
    </row>
    <row r="193" spans="1:13" s="5" customFormat="1" ht="11.25" customHeight="1" x14ac:dyDescent="0.25">
      <c r="B193" s="137"/>
      <c r="C193" s="1185" t="s">
        <v>1211</v>
      </c>
      <c r="D193" s="1180"/>
      <c r="E193" s="1186"/>
      <c r="F193" s="1187"/>
      <c r="G193" s="1188"/>
      <c r="H193" s="1189"/>
      <c r="I193" s="1187"/>
      <c r="J193" s="1190"/>
      <c r="K193" s="1186"/>
      <c r="L193" s="1187"/>
      <c r="M193" s="1188"/>
    </row>
    <row r="194" spans="1:13" s="5" customFormat="1" ht="11.25" customHeight="1" x14ac:dyDescent="0.25">
      <c r="B194" s="137"/>
      <c r="C194" s="1185" t="s">
        <v>1212</v>
      </c>
      <c r="D194" s="1180"/>
      <c r="E194" s="1186"/>
      <c r="F194" s="1187"/>
      <c r="G194" s="1188"/>
      <c r="H194" s="1189"/>
      <c r="I194" s="1187"/>
      <c r="J194" s="1190"/>
      <c r="K194" s="1186"/>
      <c r="L194" s="1187"/>
      <c r="M194" s="1188"/>
    </row>
    <row r="195" spans="1:13" s="5" customFormat="1" ht="11.25" customHeight="1" x14ac:dyDescent="0.25">
      <c r="B195" s="137"/>
      <c r="C195" s="1185" t="s">
        <v>1213</v>
      </c>
      <c r="D195" s="1180"/>
      <c r="E195" s="1186"/>
      <c r="F195" s="1187"/>
      <c r="G195" s="1188"/>
      <c r="H195" s="1189"/>
      <c r="I195" s="1187"/>
      <c r="J195" s="1190"/>
      <c r="K195" s="1186"/>
      <c r="L195" s="1187"/>
      <c r="M195" s="1188"/>
    </row>
    <row r="196" spans="1:13" s="5" customFormat="1" ht="11.25" customHeight="1" x14ac:dyDescent="0.25">
      <c r="B196" s="137"/>
      <c r="C196" s="1185" t="s">
        <v>1214</v>
      </c>
      <c r="D196" s="1180"/>
      <c r="E196" s="1186"/>
      <c r="F196" s="1187"/>
      <c r="G196" s="1188"/>
      <c r="H196" s="1189"/>
      <c r="I196" s="1187"/>
      <c r="J196" s="1190"/>
      <c r="K196" s="1186"/>
      <c r="L196" s="1187"/>
      <c r="M196" s="1188"/>
    </row>
    <row r="197" spans="1:13" s="5" customFormat="1" ht="11.25" customHeight="1" x14ac:dyDescent="0.25">
      <c r="B197" s="137"/>
      <c r="C197" s="1185" t="s">
        <v>1215</v>
      </c>
      <c r="D197" s="1180"/>
      <c r="E197" s="1186"/>
      <c r="F197" s="1187"/>
      <c r="G197" s="1188"/>
      <c r="H197" s="1189"/>
      <c r="I197" s="1187"/>
      <c r="J197" s="1190"/>
      <c r="K197" s="1186"/>
      <c r="L197" s="1187"/>
      <c r="M197" s="1188"/>
    </row>
    <row r="198" spans="1:13" s="5" customFormat="1" ht="11.25" customHeight="1" x14ac:dyDescent="0.25">
      <c r="B198" s="137"/>
      <c r="C198" s="1231" t="s">
        <v>1634</v>
      </c>
      <c r="D198" s="1180"/>
      <c r="E198" s="1196">
        <f t="shared" ref="E198:M198" si="37">SUM(E193:E197)</f>
        <v>0</v>
      </c>
      <c r="F198" s="930">
        <f t="shared" si="37"/>
        <v>0</v>
      </c>
      <c r="G198" s="1197">
        <f t="shared" si="37"/>
        <v>0</v>
      </c>
      <c r="H198" s="1198">
        <f t="shared" si="37"/>
        <v>0</v>
      </c>
      <c r="I198" s="930">
        <f t="shared" si="37"/>
        <v>0</v>
      </c>
      <c r="J198" s="1199">
        <f t="shared" si="37"/>
        <v>0</v>
      </c>
      <c r="K198" s="1196">
        <f t="shared" si="37"/>
        <v>0</v>
      </c>
      <c r="L198" s="930">
        <f t="shared" si="37"/>
        <v>0</v>
      </c>
      <c r="M198" s="1197">
        <f t="shared" si="37"/>
        <v>0</v>
      </c>
    </row>
    <row r="199" spans="1:13" s="5" customFormat="1" ht="11.25" customHeight="1" x14ac:dyDescent="0.25">
      <c r="B199" s="137"/>
      <c r="C199" s="1200" t="s">
        <v>1202</v>
      </c>
      <c r="D199" s="1180"/>
      <c r="E199" s="1201">
        <f>E192+E198</f>
        <v>0</v>
      </c>
      <c r="F199" s="932">
        <f t="shared" ref="F199:M199" si="38">F192+F198</f>
        <v>0</v>
      </c>
      <c r="G199" s="1202">
        <f t="shared" si="38"/>
        <v>0</v>
      </c>
      <c r="H199" s="1203">
        <f t="shared" si="38"/>
        <v>0</v>
      </c>
      <c r="I199" s="932">
        <f t="shared" si="38"/>
        <v>0</v>
      </c>
      <c r="J199" s="1204">
        <f t="shared" si="38"/>
        <v>0</v>
      </c>
      <c r="K199" s="1201">
        <f t="shared" si="38"/>
        <v>0</v>
      </c>
      <c r="L199" s="932">
        <f t="shared" si="38"/>
        <v>0</v>
      </c>
      <c r="M199" s="1202">
        <f t="shared" si="38"/>
        <v>0</v>
      </c>
    </row>
    <row r="200" spans="1:13" s="5" customFormat="1" ht="5.0999999999999996" customHeight="1" x14ac:dyDescent="0.25">
      <c r="B200" s="137"/>
      <c r="C200" s="1214"/>
      <c r="D200" s="1215"/>
      <c r="E200" s="1216"/>
      <c r="F200" s="273"/>
      <c r="G200" s="1217"/>
      <c r="H200" s="1218"/>
      <c r="I200" s="273"/>
      <c r="J200" s="1219"/>
      <c r="K200" s="1216"/>
      <c r="L200" s="273"/>
      <c r="M200" s="1217"/>
    </row>
    <row r="201" spans="1:13" s="5" customFormat="1" ht="24.95" customHeight="1" x14ac:dyDescent="0.25">
      <c r="A201" s="1362" t="s">
        <v>1641</v>
      </c>
      <c r="B201" s="1156"/>
      <c r="C201" s="1157"/>
      <c r="D201" s="1158"/>
      <c r="E201" s="1159" t="str">
        <f>Head1B</f>
        <v>2012/13</v>
      </c>
      <c r="F201" s="1160" t="str">
        <f>Head1A</f>
        <v>2013/14</v>
      </c>
      <c r="G201" s="1161" t="str">
        <f>Head1</f>
        <v>2014/15</v>
      </c>
      <c r="H201" s="1341" t="str">
        <f>Head2</f>
        <v>Budget Year 2015/16</v>
      </c>
      <c r="I201" s="1342"/>
      <c r="J201" s="1363"/>
      <c r="K201" s="1341" t="str">
        <f>Head3</f>
        <v>2015/16 Medium Term Revenue &amp; Expenditure Framework</v>
      </c>
      <c r="L201" s="1342"/>
      <c r="M201" s="1363"/>
    </row>
    <row r="202" spans="1:13" s="5" customFormat="1" ht="24.95" customHeight="1" x14ac:dyDescent="0.25">
      <c r="A202" s="1362"/>
      <c r="B202" s="1162" t="s">
        <v>1514</v>
      </c>
      <c r="C202" s="1163"/>
      <c r="D202" s="1164"/>
      <c r="E202" s="1165" t="str">
        <f>Head5A</f>
        <v>Outcome</v>
      </c>
      <c r="F202" s="1166" t="str">
        <f>Head5A</f>
        <v>Outcome</v>
      </c>
      <c r="G202" s="1167" t="str">
        <f>Head5A</f>
        <v>Outcome</v>
      </c>
      <c r="H202" s="1168" t="str">
        <f>Head6</f>
        <v>Original Budget</v>
      </c>
      <c r="I202" s="1166" t="str">
        <f>Head7</f>
        <v>Adjusted Budget</v>
      </c>
      <c r="J202" s="1167" t="str">
        <f>Head8</f>
        <v>Full Year Forecast</v>
      </c>
      <c r="K202" s="1168" t="str">
        <f>Head9</f>
        <v>Budget Year 2015/16</v>
      </c>
      <c r="L202" s="1166" t="str">
        <f>Head10</f>
        <v>Budget Year +1 2016/17</v>
      </c>
      <c r="M202" s="1167" t="str">
        <f>Head11</f>
        <v>Budget Year +2 2017/18</v>
      </c>
    </row>
    <row r="203" spans="1:13" s="5" customFormat="1" ht="11.25" customHeight="1" x14ac:dyDescent="0.25">
      <c r="A203" s="1221" t="s">
        <v>1642</v>
      </c>
      <c r="B203" s="137"/>
      <c r="C203" s="1169" t="s">
        <v>1633</v>
      </c>
      <c r="D203" s="1180"/>
      <c r="E203" s="1171"/>
      <c r="F203" s="1172"/>
      <c r="G203" s="1173"/>
      <c r="H203" s="1174"/>
      <c r="I203" s="1175"/>
      <c r="J203" s="1176"/>
      <c r="K203" s="1177"/>
      <c r="L203" s="1175"/>
      <c r="M203" s="1178"/>
    </row>
    <row r="204" spans="1:13" s="5" customFormat="1" ht="11.25" customHeight="1" x14ac:dyDescent="0.25">
      <c r="A204" s="1222"/>
      <c r="B204" s="137"/>
      <c r="C204" s="1179" t="s">
        <v>636</v>
      </c>
      <c r="D204" s="1180"/>
      <c r="E204" s="718"/>
      <c r="F204" s="258"/>
      <c r="G204" s="1181"/>
      <c r="H204" s="1182"/>
      <c r="I204" s="132"/>
      <c r="J204" s="925"/>
      <c r="K204" s="1183"/>
      <c r="L204" s="132"/>
      <c r="M204" s="1184"/>
    </row>
    <row r="205" spans="1:13" s="5" customFormat="1" ht="11.25" customHeight="1" x14ac:dyDescent="0.25">
      <c r="A205" s="1222"/>
      <c r="B205" s="137"/>
      <c r="C205" s="1185" t="s">
        <v>1194</v>
      </c>
      <c r="D205" s="1180"/>
      <c r="E205" s="1186"/>
      <c r="F205" s="1187"/>
      <c r="G205" s="1188"/>
      <c r="H205" s="1189"/>
      <c r="I205" s="1187"/>
      <c r="J205" s="1190"/>
      <c r="K205" s="1186"/>
      <c r="L205" s="1187"/>
      <c r="M205" s="1188"/>
    </row>
    <row r="206" spans="1:13" s="5" customFormat="1" ht="11.25" customHeight="1" x14ac:dyDescent="0.25">
      <c r="A206" s="1222"/>
      <c r="B206" s="137"/>
      <c r="C206" s="1185" t="s">
        <v>1195</v>
      </c>
      <c r="D206" s="1180"/>
      <c r="E206" s="1186"/>
      <c r="F206" s="1187"/>
      <c r="G206" s="1188"/>
      <c r="H206" s="1189"/>
      <c r="I206" s="1187"/>
      <c r="J206" s="1190"/>
      <c r="K206" s="1186"/>
      <c r="L206" s="1187"/>
      <c r="M206" s="1188"/>
    </row>
    <row r="207" spans="1:13" s="5" customFormat="1" ht="11.25" customHeight="1" x14ac:dyDescent="0.25">
      <c r="A207" s="1222"/>
      <c r="B207" s="1191">
        <v>8</v>
      </c>
      <c r="C207" s="1185" t="s">
        <v>1196</v>
      </c>
      <c r="D207" s="1180"/>
      <c r="E207" s="1186"/>
      <c r="F207" s="1187"/>
      <c r="G207" s="1188"/>
      <c r="H207" s="1189"/>
      <c r="I207" s="1187"/>
      <c r="J207" s="1190"/>
      <c r="K207" s="1186"/>
      <c r="L207" s="1187"/>
      <c r="M207" s="1188"/>
    </row>
    <row r="208" spans="1:13" s="5" customFormat="1" ht="11.25" customHeight="1" x14ac:dyDescent="0.25">
      <c r="A208" s="1222"/>
      <c r="B208" s="1191">
        <v>10</v>
      </c>
      <c r="C208" s="1185" t="s">
        <v>1197</v>
      </c>
      <c r="D208" s="1180"/>
      <c r="E208" s="1186"/>
      <c r="F208" s="1187"/>
      <c r="G208" s="1188"/>
      <c r="H208" s="1189"/>
      <c r="I208" s="1187"/>
      <c r="J208" s="1190"/>
      <c r="K208" s="1186"/>
      <c r="L208" s="1187"/>
      <c r="M208" s="1188"/>
    </row>
    <row r="209" spans="1:13" s="5" customFormat="1" ht="11.25" customHeight="1" x14ac:dyDescent="0.25">
      <c r="A209" s="1222"/>
      <c r="B209" s="1191"/>
      <c r="C209" s="1231" t="s">
        <v>1264</v>
      </c>
      <c r="D209" s="1180"/>
      <c r="E209" s="1192">
        <f>SUM(E205:E208)</f>
        <v>0</v>
      </c>
      <c r="F209" s="715">
        <f t="shared" ref="F209:M209" si="39">SUM(F205:F208)</f>
        <v>0</v>
      </c>
      <c r="G209" s="1193">
        <f t="shared" si="39"/>
        <v>0</v>
      </c>
      <c r="H209" s="1194">
        <f t="shared" si="39"/>
        <v>0</v>
      </c>
      <c r="I209" s="715">
        <f t="shared" si="39"/>
        <v>0</v>
      </c>
      <c r="J209" s="1195">
        <f t="shared" si="39"/>
        <v>0</v>
      </c>
      <c r="K209" s="1192">
        <f t="shared" si="39"/>
        <v>0</v>
      </c>
      <c r="L209" s="715">
        <f t="shared" si="39"/>
        <v>0</v>
      </c>
      <c r="M209" s="1193">
        <f t="shared" si="39"/>
        <v>0</v>
      </c>
    </row>
    <row r="210" spans="1:13" s="5" customFormat="1" ht="11.25" customHeight="1" x14ac:dyDescent="0.25">
      <c r="A210" s="1222"/>
      <c r="B210" s="1191">
        <v>9</v>
      </c>
      <c r="C210" s="1185" t="s">
        <v>1198</v>
      </c>
      <c r="D210" s="1180"/>
      <c r="E210" s="1186"/>
      <c r="F210" s="1187"/>
      <c r="G210" s="1188"/>
      <c r="H210" s="1189"/>
      <c r="I210" s="1187"/>
      <c r="J210" s="1190"/>
      <c r="K210" s="1186"/>
      <c r="L210" s="1187"/>
      <c r="M210" s="1188"/>
    </row>
    <row r="211" spans="1:13" s="5" customFormat="1" ht="11.25" customHeight="1" x14ac:dyDescent="0.25">
      <c r="A211" s="1222"/>
      <c r="B211" s="1191">
        <v>10</v>
      </c>
      <c r="C211" s="1185" t="s">
        <v>1199</v>
      </c>
      <c r="D211" s="1180"/>
      <c r="E211" s="1186"/>
      <c r="F211" s="1187"/>
      <c r="G211" s="1188"/>
      <c r="H211" s="1189"/>
      <c r="I211" s="1187"/>
      <c r="J211" s="1190"/>
      <c r="K211" s="1186"/>
      <c r="L211" s="1187"/>
      <c r="M211" s="1188"/>
    </row>
    <row r="212" spans="1:13" s="5" customFormat="1" ht="11.25" customHeight="1" x14ac:dyDescent="0.25">
      <c r="A212" s="1222"/>
      <c r="B212" s="137"/>
      <c r="C212" s="1185" t="s">
        <v>1201</v>
      </c>
      <c r="D212" s="1180"/>
      <c r="E212" s="1186"/>
      <c r="F212" s="1187"/>
      <c r="G212" s="1188"/>
      <c r="H212" s="1189"/>
      <c r="I212" s="1187"/>
      <c r="J212" s="1190"/>
      <c r="K212" s="1186"/>
      <c r="L212" s="1187"/>
      <c r="M212" s="1188"/>
    </row>
    <row r="213" spans="1:13" s="5" customFormat="1" ht="11.25" customHeight="1" x14ac:dyDescent="0.25">
      <c r="A213" s="1222"/>
      <c r="B213" s="137"/>
      <c r="C213" s="1231" t="s">
        <v>1634</v>
      </c>
      <c r="D213" s="1180"/>
      <c r="E213" s="1196">
        <f>SUM(E210:E212)</f>
        <v>0</v>
      </c>
      <c r="F213" s="930">
        <f t="shared" ref="F213:M213" si="40">SUM(F210:F212)</f>
        <v>0</v>
      </c>
      <c r="G213" s="1197">
        <f t="shared" si="40"/>
        <v>0</v>
      </c>
      <c r="H213" s="1198">
        <f t="shared" si="40"/>
        <v>0</v>
      </c>
      <c r="I213" s="930">
        <f t="shared" si="40"/>
        <v>0</v>
      </c>
      <c r="J213" s="1199">
        <f t="shared" si="40"/>
        <v>0</v>
      </c>
      <c r="K213" s="1196">
        <f t="shared" si="40"/>
        <v>0</v>
      </c>
      <c r="L213" s="930">
        <f t="shared" si="40"/>
        <v>0</v>
      </c>
      <c r="M213" s="1197">
        <f t="shared" si="40"/>
        <v>0</v>
      </c>
    </row>
    <row r="214" spans="1:13" s="5" customFormat="1" ht="11.25" customHeight="1" x14ac:dyDescent="0.25">
      <c r="B214" s="137"/>
      <c r="C214" s="1200" t="s">
        <v>1202</v>
      </c>
      <c r="D214" s="1180"/>
      <c r="E214" s="1201">
        <f>E209+E213</f>
        <v>0</v>
      </c>
      <c r="F214" s="932">
        <f t="shared" ref="F214:M214" si="41">F209+F213</f>
        <v>0</v>
      </c>
      <c r="G214" s="1202">
        <f t="shared" si="41"/>
        <v>0</v>
      </c>
      <c r="H214" s="1203">
        <f t="shared" si="41"/>
        <v>0</v>
      </c>
      <c r="I214" s="932">
        <f t="shared" si="41"/>
        <v>0</v>
      </c>
      <c r="J214" s="1204">
        <f t="shared" si="41"/>
        <v>0</v>
      </c>
      <c r="K214" s="1201">
        <f t="shared" si="41"/>
        <v>0</v>
      </c>
      <c r="L214" s="932">
        <f t="shared" si="41"/>
        <v>0</v>
      </c>
      <c r="M214" s="1202">
        <f t="shared" si="41"/>
        <v>0</v>
      </c>
    </row>
    <row r="215" spans="1:13" s="5" customFormat="1" ht="11.25" customHeight="1" x14ac:dyDescent="0.25">
      <c r="A215" s="1221" t="s">
        <v>1642</v>
      </c>
      <c r="B215" s="137"/>
      <c r="C215" s="1179" t="s">
        <v>637</v>
      </c>
      <c r="D215" s="1180"/>
      <c r="E215" s="1205"/>
      <c r="F215" s="928"/>
      <c r="G215" s="1206"/>
      <c r="H215" s="1207"/>
      <c r="I215" s="928"/>
      <c r="J215" s="1206"/>
      <c r="K215" s="1205"/>
      <c r="L215" s="928"/>
      <c r="M215" s="1208"/>
    </row>
    <row r="216" spans="1:13" s="5" customFormat="1" ht="11.25" customHeight="1" x14ac:dyDescent="0.25">
      <c r="A216" s="1222"/>
      <c r="B216" s="137"/>
      <c r="C216" s="1185" t="s">
        <v>1203</v>
      </c>
      <c r="D216" s="1180"/>
      <c r="E216" s="1186"/>
      <c r="F216" s="1187"/>
      <c r="G216" s="1188"/>
      <c r="H216" s="1189"/>
      <c r="I216" s="1187"/>
      <c r="J216" s="1190"/>
      <c r="K216" s="1186"/>
      <c r="L216" s="1187"/>
      <c r="M216" s="1188"/>
    </row>
    <row r="217" spans="1:13" s="5" customFormat="1" ht="11.25" customHeight="1" x14ac:dyDescent="0.25">
      <c r="A217" s="1222"/>
      <c r="B217" s="137"/>
      <c r="C217" s="1185" t="s">
        <v>1204</v>
      </c>
      <c r="D217" s="1180"/>
      <c r="E217" s="1186"/>
      <c r="F217" s="1187"/>
      <c r="G217" s="1188"/>
      <c r="H217" s="1189"/>
      <c r="I217" s="1187"/>
      <c r="J217" s="1190"/>
      <c r="K217" s="1186"/>
      <c r="L217" s="1187"/>
      <c r="M217" s="1188"/>
    </row>
    <row r="218" spans="1:13" s="5" customFormat="1" ht="11.25" customHeight="1" x14ac:dyDescent="0.25">
      <c r="A218" s="1222"/>
      <c r="B218" s="137"/>
      <c r="C218" s="1185" t="s">
        <v>1205</v>
      </c>
      <c r="D218" s="1180"/>
      <c r="E218" s="1186"/>
      <c r="F218" s="1187"/>
      <c r="G218" s="1188"/>
      <c r="H218" s="1189"/>
      <c r="I218" s="1187"/>
      <c r="J218" s="1190"/>
      <c r="K218" s="1186"/>
      <c r="L218" s="1187"/>
      <c r="M218" s="1188"/>
    </row>
    <row r="219" spans="1:13" s="5" customFormat="1" ht="11.25" customHeight="1" x14ac:dyDescent="0.25">
      <c r="A219" s="1222"/>
      <c r="B219" s="137"/>
      <c r="C219" s="1185" t="s">
        <v>299</v>
      </c>
      <c r="D219" s="1180"/>
      <c r="E219" s="1186"/>
      <c r="F219" s="1187"/>
      <c r="G219" s="1188"/>
      <c r="H219" s="1189"/>
      <c r="I219" s="1187"/>
      <c r="J219" s="1190"/>
      <c r="K219" s="1186"/>
      <c r="L219" s="1187"/>
      <c r="M219" s="1188"/>
    </row>
    <row r="220" spans="1:13" s="5" customFormat="1" ht="11.25" customHeight="1" x14ac:dyDescent="0.25">
      <c r="A220" s="1222"/>
      <c r="B220" s="137"/>
      <c r="C220" s="1185" t="s">
        <v>301</v>
      </c>
      <c r="D220" s="1180"/>
      <c r="E220" s="1186"/>
      <c r="F220" s="1187"/>
      <c r="G220" s="1188"/>
      <c r="H220" s="1189"/>
      <c r="I220" s="1187"/>
      <c r="J220" s="1190"/>
      <c r="K220" s="1186"/>
      <c r="L220" s="1187"/>
      <c r="M220" s="1188"/>
    </row>
    <row r="221" spans="1:13" s="5" customFormat="1" ht="11.25" customHeight="1" x14ac:dyDescent="0.25">
      <c r="A221" s="1222"/>
      <c r="B221" s="137"/>
      <c r="C221" s="1231" t="s">
        <v>1264</v>
      </c>
      <c r="D221" s="1180"/>
      <c r="E221" s="1192">
        <f>SUM(E216:E220)</f>
        <v>0</v>
      </c>
      <c r="F221" s="715">
        <f t="shared" ref="F221:M221" si="42">SUM(F216:F220)</f>
        <v>0</v>
      </c>
      <c r="G221" s="1193">
        <f t="shared" si="42"/>
        <v>0</v>
      </c>
      <c r="H221" s="1194">
        <f t="shared" si="42"/>
        <v>0</v>
      </c>
      <c r="I221" s="715">
        <f t="shared" si="42"/>
        <v>0</v>
      </c>
      <c r="J221" s="1195">
        <f t="shared" si="42"/>
        <v>0</v>
      </c>
      <c r="K221" s="1192">
        <f t="shared" si="42"/>
        <v>0</v>
      </c>
      <c r="L221" s="715">
        <f t="shared" si="42"/>
        <v>0</v>
      </c>
      <c r="M221" s="1193">
        <f t="shared" si="42"/>
        <v>0</v>
      </c>
    </row>
    <row r="222" spans="1:13" s="5" customFormat="1" ht="11.25" customHeight="1" x14ac:dyDescent="0.25">
      <c r="A222" s="1222"/>
      <c r="B222" s="137"/>
      <c r="C222" s="1185" t="s">
        <v>300</v>
      </c>
      <c r="D222" s="1180"/>
      <c r="E222" s="1186"/>
      <c r="F222" s="1187"/>
      <c r="G222" s="1188"/>
      <c r="H222" s="1189"/>
      <c r="I222" s="1187"/>
      <c r="J222" s="1190"/>
      <c r="K222" s="1186"/>
      <c r="L222" s="1187"/>
      <c r="M222" s="1188"/>
    </row>
    <row r="223" spans="1:13" s="5" customFormat="1" ht="11.25" customHeight="1" x14ac:dyDescent="0.25">
      <c r="A223" s="1222"/>
      <c r="B223" s="137"/>
      <c r="C223" s="1185" t="s">
        <v>302</v>
      </c>
      <c r="D223" s="1180"/>
      <c r="E223" s="1186"/>
      <c r="F223" s="1187"/>
      <c r="G223" s="1188"/>
      <c r="H223" s="1189"/>
      <c r="I223" s="1187"/>
      <c r="J223" s="1190"/>
      <c r="K223" s="1186"/>
      <c r="L223" s="1187"/>
      <c r="M223" s="1188"/>
    </row>
    <row r="224" spans="1:13" s="5" customFormat="1" ht="11.25" customHeight="1" x14ac:dyDescent="0.25">
      <c r="A224" s="1222"/>
      <c r="B224" s="137"/>
      <c r="C224" s="1185" t="s">
        <v>1206</v>
      </c>
      <c r="D224" s="1180"/>
      <c r="E224" s="1186"/>
      <c r="F224" s="1187"/>
      <c r="G224" s="1188"/>
      <c r="H224" s="1189"/>
      <c r="I224" s="1187"/>
      <c r="J224" s="1190"/>
      <c r="K224" s="1186"/>
      <c r="L224" s="1187"/>
      <c r="M224" s="1188"/>
    </row>
    <row r="225" spans="1:13" s="5" customFormat="1" ht="11.25" customHeight="1" x14ac:dyDescent="0.25">
      <c r="A225" s="1222"/>
      <c r="B225" s="137"/>
      <c r="C225" s="1231" t="s">
        <v>1634</v>
      </c>
      <c r="D225" s="1180"/>
      <c r="E225" s="1196">
        <f>SUM(E222:E224)</f>
        <v>0</v>
      </c>
      <c r="F225" s="930">
        <f t="shared" ref="F225:M225" si="43">SUM(F222:F224)</f>
        <v>0</v>
      </c>
      <c r="G225" s="1197">
        <f t="shared" si="43"/>
        <v>0</v>
      </c>
      <c r="H225" s="1198">
        <f t="shared" si="43"/>
        <v>0</v>
      </c>
      <c r="I225" s="930">
        <f t="shared" si="43"/>
        <v>0</v>
      </c>
      <c r="J225" s="1199">
        <f t="shared" si="43"/>
        <v>0</v>
      </c>
      <c r="K225" s="1196">
        <f t="shared" si="43"/>
        <v>0</v>
      </c>
      <c r="L225" s="930">
        <f t="shared" si="43"/>
        <v>0</v>
      </c>
      <c r="M225" s="1197">
        <f t="shared" si="43"/>
        <v>0</v>
      </c>
    </row>
    <row r="226" spans="1:13" s="5" customFormat="1" ht="11.25" customHeight="1" x14ac:dyDescent="0.25">
      <c r="B226" s="137"/>
      <c r="C226" s="1200" t="s">
        <v>1202</v>
      </c>
      <c r="D226" s="1180"/>
      <c r="E226" s="1201">
        <f>E221+E225</f>
        <v>0</v>
      </c>
      <c r="F226" s="932">
        <f t="shared" ref="F226:M226" si="44">F221+F225</f>
        <v>0</v>
      </c>
      <c r="G226" s="1202">
        <f t="shared" si="44"/>
        <v>0</v>
      </c>
      <c r="H226" s="1203">
        <f t="shared" si="44"/>
        <v>0</v>
      </c>
      <c r="I226" s="932">
        <f t="shared" si="44"/>
        <v>0</v>
      </c>
      <c r="J226" s="1204">
        <f t="shared" si="44"/>
        <v>0</v>
      </c>
      <c r="K226" s="1201">
        <f t="shared" si="44"/>
        <v>0</v>
      </c>
      <c r="L226" s="932">
        <f t="shared" si="44"/>
        <v>0</v>
      </c>
      <c r="M226" s="1202">
        <f t="shared" si="44"/>
        <v>0</v>
      </c>
    </row>
    <row r="227" spans="1:13" s="5" customFormat="1" ht="11.25" customHeight="1" x14ac:dyDescent="0.25">
      <c r="A227" s="1221" t="s">
        <v>1642</v>
      </c>
      <c r="B227" s="137"/>
      <c r="C227" s="1179" t="s">
        <v>638</v>
      </c>
      <c r="D227" s="1180"/>
      <c r="E227" s="1205"/>
      <c r="F227" s="928"/>
      <c r="G227" s="1206"/>
      <c r="H227" s="1207"/>
      <c r="I227" s="928"/>
      <c r="J227" s="1206"/>
      <c r="K227" s="1205"/>
      <c r="L227" s="928"/>
      <c r="M227" s="1208"/>
    </row>
    <row r="228" spans="1:13" s="5" customFormat="1" ht="11.25" customHeight="1" x14ac:dyDescent="0.25">
      <c r="A228" s="1222"/>
      <c r="B228" s="137"/>
      <c r="C228" s="1185" t="s">
        <v>1635</v>
      </c>
      <c r="D228" s="1180"/>
      <c r="E228" s="1186"/>
      <c r="F228" s="1187"/>
      <c r="G228" s="1188"/>
      <c r="H228" s="1189"/>
      <c r="I228" s="1187"/>
      <c r="J228" s="1190"/>
      <c r="K228" s="1186"/>
      <c r="L228" s="1187"/>
      <c r="M228" s="1188"/>
    </row>
    <row r="229" spans="1:13" s="5" customFormat="1" ht="11.25" customHeight="1" x14ac:dyDescent="0.25">
      <c r="A229" s="1222"/>
      <c r="B229" s="137"/>
      <c r="C229" s="1185" t="s">
        <v>1636</v>
      </c>
      <c r="D229" s="1180"/>
      <c r="E229" s="1186"/>
      <c r="F229" s="1187"/>
      <c r="G229" s="1188"/>
      <c r="H229" s="1189"/>
      <c r="I229" s="1187"/>
      <c r="J229" s="1190"/>
      <c r="K229" s="1186"/>
      <c r="L229" s="1187"/>
      <c r="M229" s="1188"/>
    </row>
    <row r="230" spans="1:13" s="5" customFormat="1" ht="11.25" customHeight="1" x14ac:dyDescent="0.25">
      <c r="A230" s="1222"/>
      <c r="B230" s="137"/>
      <c r="C230" s="1231" t="s">
        <v>1264</v>
      </c>
      <c r="D230" s="1180"/>
      <c r="E230" s="1192">
        <f>SUM(E228:E229)</f>
        <v>0</v>
      </c>
      <c r="F230" s="715">
        <f t="shared" ref="F230:M230" si="45">SUM(F228:F229)</f>
        <v>0</v>
      </c>
      <c r="G230" s="1193">
        <f t="shared" si="45"/>
        <v>0</v>
      </c>
      <c r="H230" s="1194">
        <f t="shared" si="45"/>
        <v>0</v>
      </c>
      <c r="I230" s="715">
        <f t="shared" si="45"/>
        <v>0</v>
      </c>
      <c r="J230" s="1195">
        <f t="shared" si="45"/>
        <v>0</v>
      </c>
      <c r="K230" s="1192">
        <f t="shared" si="45"/>
        <v>0</v>
      </c>
      <c r="L230" s="715">
        <f t="shared" si="45"/>
        <v>0</v>
      </c>
      <c r="M230" s="1193">
        <f t="shared" si="45"/>
        <v>0</v>
      </c>
    </row>
    <row r="231" spans="1:13" s="5" customFormat="1" ht="11.25" customHeight="1" x14ac:dyDescent="0.25">
      <c r="A231" s="1222"/>
      <c r="B231" s="137"/>
      <c r="C231" s="1185" t="s">
        <v>1207</v>
      </c>
      <c r="D231" s="1180"/>
      <c r="E231" s="1186"/>
      <c r="F231" s="1187"/>
      <c r="G231" s="1188"/>
      <c r="H231" s="1189"/>
      <c r="I231" s="1187"/>
      <c r="J231" s="1190"/>
      <c r="K231" s="1186"/>
      <c r="L231" s="1187"/>
      <c r="M231" s="1188"/>
    </row>
    <row r="232" spans="1:13" s="5" customFormat="1" ht="11.25" customHeight="1" x14ac:dyDescent="0.25">
      <c r="A232" s="1222"/>
      <c r="B232" s="137"/>
      <c r="C232" s="1185" t="s">
        <v>1208</v>
      </c>
      <c r="D232" s="1180"/>
      <c r="E232" s="1186"/>
      <c r="F232" s="1187"/>
      <c r="G232" s="1188"/>
      <c r="H232" s="1189"/>
      <c r="I232" s="1187"/>
      <c r="J232" s="1190"/>
      <c r="K232" s="1186"/>
      <c r="L232" s="1187"/>
      <c r="M232" s="1188"/>
    </row>
    <row r="233" spans="1:13" s="5" customFormat="1" ht="11.25" customHeight="1" x14ac:dyDescent="0.25">
      <c r="A233" s="1222"/>
      <c r="B233" s="137"/>
      <c r="C233" s="1185" t="s">
        <v>1209</v>
      </c>
      <c r="D233" s="1180"/>
      <c r="E233" s="1186"/>
      <c r="F233" s="1187"/>
      <c r="G233" s="1188"/>
      <c r="H233" s="1189"/>
      <c r="I233" s="1187"/>
      <c r="J233" s="1190"/>
      <c r="K233" s="1186"/>
      <c r="L233" s="1187"/>
      <c r="M233" s="1188"/>
    </row>
    <row r="234" spans="1:13" s="5" customFormat="1" ht="11.25" customHeight="1" x14ac:dyDescent="0.25">
      <c r="A234" s="1222"/>
      <c r="B234" s="137"/>
      <c r="C234" s="1231" t="s">
        <v>1634</v>
      </c>
      <c r="D234" s="1180"/>
      <c r="E234" s="1196">
        <f>SUM(E231:E233)</f>
        <v>0</v>
      </c>
      <c r="F234" s="930">
        <f t="shared" ref="F234:M234" si="46">SUM(F231:F233)</f>
        <v>0</v>
      </c>
      <c r="G234" s="1197">
        <f t="shared" si="46"/>
        <v>0</v>
      </c>
      <c r="H234" s="1198">
        <f t="shared" si="46"/>
        <v>0</v>
      </c>
      <c r="I234" s="930">
        <f t="shared" si="46"/>
        <v>0</v>
      </c>
      <c r="J234" s="1199">
        <f t="shared" si="46"/>
        <v>0</v>
      </c>
      <c r="K234" s="1196">
        <f t="shared" si="46"/>
        <v>0</v>
      </c>
      <c r="L234" s="930">
        <f t="shared" si="46"/>
        <v>0</v>
      </c>
      <c r="M234" s="1197">
        <f t="shared" si="46"/>
        <v>0</v>
      </c>
    </row>
    <row r="235" spans="1:13" s="5" customFormat="1" ht="11.25" customHeight="1" x14ac:dyDescent="0.25">
      <c r="A235" s="1223"/>
      <c r="B235" s="137"/>
      <c r="C235" s="1200" t="s">
        <v>1202</v>
      </c>
      <c r="D235" s="1180"/>
      <c r="E235" s="1201">
        <f>E230+E234</f>
        <v>0</v>
      </c>
      <c r="F235" s="932">
        <f t="shared" ref="F235:M235" si="47">F230+F234</f>
        <v>0</v>
      </c>
      <c r="G235" s="1202">
        <f t="shared" si="47"/>
        <v>0</v>
      </c>
      <c r="H235" s="1203">
        <f t="shared" si="47"/>
        <v>0</v>
      </c>
      <c r="I235" s="932">
        <f t="shared" si="47"/>
        <v>0</v>
      </c>
      <c r="J235" s="1204">
        <f t="shared" si="47"/>
        <v>0</v>
      </c>
      <c r="K235" s="1201">
        <f t="shared" si="47"/>
        <v>0</v>
      </c>
      <c r="L235" s="932">
        <f t="shared" si="47"/>
        <v>0</v>
      </c>
      <c r="M235" s="1202">
        <f t="shared" si="47"/>
        <v>0</v>
      </c>
    </row>
    <row r="236" spans="1:13" s="5" customFormat="1" ht="11.25" customHeight="1" x14ac:dyDescent="0.25">
      <c r="A236" s="1221" t="s">
        <v>1642</v>
      </c>
      <c r="B236" s="137"/>
      <c r="C236" s="1179" t="s">
        <v>639</v>
      </c>
      <c r="D236" s="1180"/>
      <c r="E236" s="1205"/>
      <c r="F236" s="928"/>
      <c r="G236" s="1206"/>
      <c r="H236" s="1207"/>
      <c r="I236" s="928"/>
      <c r="J236" s="1206"/>
      <c r="K236" s="1205"/>
      <c r="L236" s="928"/>
      <c r="M236" s="1208"/>
    </row>
    <row r="237" spans="1:13" s="5" customFormat="1" ht="11.25" customHeight="1" x14ac:dyDescent="0.25">
      <c r="A237" s="1222"/>
      <c r="B237" s="137"/>
      <c r="C237" s="1185" t="s">
        <v>1637</v>
      </c>
      <c r="D237" s="1180"/>
      <c r="E237" s="1209"/>
      <c r="F237" s="1210"/>
      <c r="G237" s="1211"/>
      <c r="H237" s="1212"/>
      <c r="I237" s="1210"/>
      <c r="J237" s="1213"/>
      <c r="K237" s="1209"/>
      <c r="L237" s="1210"/>
      <c r="M237" s="1211"/>
    </row>
    <row r="238" spans="1:13" s="5" customFormat="1" ht="11.25" customHeight="1" x14ac:dyDescent="0.25">
      <c r="A238" s="1222"/>
      <c r="B238" s="137"/>
      <c r="C238" s="1231" t="s">
        <v>1264</v>
      </c>
      <c r="D238" s="1180"/>
      <c r="E238" s="1205">
        <f>SUM(E237)</f>
        <v>0</v>
      </c>
      <c r="F238" s="928">
        <f t="shared" ref="F238:M238" si="48">SUM(F237)</f>
        <v>0</v>
      </c>
      <c r="G238" s="1208">
        <f t="shared" si="48"/>
        <v>0</v>
      </c>
      <c r="H238" s="1207">
        <f t="shared" si="48"/>
        <v>0</v>
      </c>
      <c r="I238" s="928">
        <f t="shared" si="48"/>
        <v>0</v>
      </c>
      <c r="J238" s="1206">
        <f t="shared" si="48"/>
        <v>0</v>
      </c>
      <c r="K238" s="1205">
        <f t="shared" si="48"/>
        <v>0</v>
      </c>
      <c r="L238" s="928">
        <f t="shared" si="48"/>
        <v>0</v>
      </c>
      <c r="M238" s="1208">
        <f t="shared" si="48"/>
        <v>0</v>
      </c>
    </row>
    <row r="239" spans="1:13" s="5" customFormat="1" ht="11.25" customHeight="1" x14ac:dyDescent="0.25">
      <c r="A239" s="1222"/>
      <c r="B239" s="137"/>
      <c r="C239" s="1185" t="s">
        <v>1211</v>
      </c>
      <c r="D239" s="1180"/>
      <c r="E239" s="1186"/>
      <c r="F239" s="1187"/>
      <c r="G239" s="1188"/>
      <c r="H239" s="1189"/>
      <c r="I239" s="1187"/>
      <c r="J239" s="1190"/>
      <c r="K239" s="1186"/>
      <c r="L239" s="1187"/>
      <c r="M239" s="1188"/>
    </row>
    <row r="240" spans="1:13" s="5" customFormat="1" ht="11.25" customHeight="1" x14ac:dyDescent="0.25">
      <c r="A240" s="1222"/>
      <c r="B240" s="137"/>
      <c r="C240" s="1185" t="s">
        <v>1212</v>
      </c>
      <c r="D240" s="1180"/>
      <c r="E240" s="1186"/>
      <c r="F240" s="1187"/>
      <c r="G240" s="1188"/>
      <c r="H240" s="1189"/>
      <c r="I240" s="1187"/>
      <c r="J240" s="1190"/>
      <c r="K240" s="1186"/>
      <c r="L240" s="1187"/>
      <c r="M240" s="1188"/>
    </row>
    <row r="241" spans="1:13" s="5" customFormat="1" ht="11.25" customHeight="1" x14ac:dyDescent="0.25">
      <c r="A241" s="1222"/>
      <c r="B241" s="137"/>
      <c r="C241" s="1185" t="s">
        <v>1213</v>
      </c>
      <c r="D241" s="1180"/>
      <c r="E241" s="1186"/>
      <c r="F241" s="1187"/>
      <c r="G241" s="1188"/>
      <c r="H241" s="1189"/>
      <c r="I241" s="1187"/>
      <c r="J241" s="1190"/>
      <c r="K241" s="1186"/>
      <c r="L241" s="1187"/>
      <c r="M241" s="1188"/>
    </row>
    <row r="242" spans="1:13" s="5" customFormat="1" ht="11.25" customHeight="1" x14ac:dyDescent="0.25">
      <c r="A242" s="1222"/>
      <c r="B242" s="137"/>
      <c r="C242" s="1185" t="s">
        <v>1214</v>
      </c>
      <c r="D242" s="1180"/>
      <c r="E242" s="1186"/>
      <c r="F242" s="1187"/>
      <c r="G242" s="1188"/>
      <c r="H242" s="1189"/>
      <c r="I242" s="1187"/>
      <c r="J242" s="1190"/>
      <c r="K242" s="1186"/>
      <c r="L242" s="1187"/>
      <c r="M242" s="1188"/>
    </row>
    <row r="243" spans="1:13" s="5" customFormat="1" ht="11.25" customHeight="1" x14ac:dyDescent="0.25">
      <c r="A243" s="1222"/>
      <c r="B243" s="137"/>
      <c r="C243" s="1185" t="s">
        <v>1215</v>
      </c>
      <c r="D243" s="1180"/>
      <c r="E243" s="1186"/>
      <c r="F243" s="1187"/>
      <c r="G243" s="1188"/>
      <c r="H243" s="1189"/>
      <c r="I243" s="1187"/>
      <c r="J243" s="1190"/>
      <c r="K243" s="1186"/>
      <c r="L243" s="1187"/>
      <c r="M243" s="1188"/>
    </row>
    <row r="244" spans="1:13" s="5" customFormat="1" ht="11.25" customHeight="1" x14ac:dyDescent="0.25">
      <c r="A244" s="1222"/>
      <c r="B244" s="137"/>
      <c r="C244" s="1231" t="s">
        <v>1634</v>
      </c>
      <c r="D244" s="1180"/>
      <c r="E244" s="1196">
        <f t="shared" ref="E244:M244" si="49">SUM(E239:E243)</f>
        <v>0</v>
      </c>
      <c r="F244" s="930">
        <f t="shared" si="49"/>
        <v>0</v>
      </c>
      <c r="G244" s="1197">
        <f t="shared" si="49"/>
        <v>0</v>
      </c>
      <c r="H244" s="1198">
        <f t="shared" si="49"/>
        <v>0</v>
      </c>
      <c r="I244" s="930">
        <f t="shared" si="49"/>
        <v>0</v>
      </c>
      <c r="J244" s="1199">
        <f t="shared" si="49"/>
        <v>0</v>
      </c>
      <c r="K244" s="1196">
        <f t="shared" si="49"/>
        <v>0</v>
      </c>
      <c r="L244" s="930">
        <f t="shared" si="49"/>
        <v>0</v>
      </c>
      <c r="M244" s="1197">
        <f t="shared" si="49"/>
        <v>0</v>
      </c>
    </row>
    <row r="245" spans="1:13" s="5" customFormat="1" ht="11.25" customHeight="1" x14ac:dyDescent="0.25">
      <c r="B245" s="137"/>
      <c r="C245" s="1200" t="s">
        <v>1202</v>
      </c>
      <c r="D245" s="1180"/>
      <c r="E245" s="1201">
        <f>E238+E244</f>
        <v>0</v>
      </c>
      <c r="F245" s="932">
        <f t="shared" ref="F245:M245" si="50">F238+F244</f>
        <v>0</v>
      </c>
      <c r="G245" s="1202">
        <f t="shared" si="50"/>
        <v>0</v>
      </c>
      <c r="H245" s="1203">
        <f t="shared" si="50"/>
        <v>0</v>
      </c>
      <c r="I245" s="932">
        <f t="shared" si="50"/>
        <v>0</v>
      </c>
      <c r="J245" s="1204">
        <f t="shared" si="50"/>
        <v>0</v>
      </c>
      <c r="K245" s="1201">
        <f t="shared" si="50"/>
        <v>0</v>
      </c>
      <c r="L245" s="932">
        <f t="shared" si="50"/>
        <v>0</v>
      </c>
      <c r="M245" s="1202">
        <f t="shared" si="50"/>
        <v>0</v>
      </c>
    </row>
    <row r="246" spans="1:13" s="5" customFormat="1" ht="5.0999999999999996" customHeight="1" x14ac:dyDescent="0.25">
      <c r="A246" s="1163"/>
      <c r="B246" s="1162"/>
      <c r="C246" s="1224"/>
      <c r="D246" s="1225"/>
      <c r="E246" s="1226"/>
      <c r="F246" s="1227"/>
      <c r="G246" s="1228"/>
      <c r="H246" s="1229"/>
      <c r="I246" s="1227"/>
      <c r="J246" s="1230"/>
      <c r="K246" s="1226"/>
      <c r="L246" s="1227"/>
      <c r="M246" s="1228"/>
    </row>
    <row r="247" spans="1:13" s="5" customFormat="1" ht="11.25" customHeight="1" x14ac:dyDescent="0.25">
      <c r="B247" s="58"/>
    </row>
    <row r="248" spans="1:13" ht="11.25" customHeight="1" x14ac:dyDescent="0.25">
      <c r="A248" s="286" t="str">
        <f>head27a</f>
        <v>References</v>
      </c>
    </row>
    <row r="249" spans="1:13" ht="11.25" customHeight="1" x14ac:dyDescent="0.25">
      <c r="A249" s="289" t="s">
        <v>1522</v>
      </c>
    </row>
    <row r="250" spans="1:13" ht="11.25" customHeight="1" x14ac:dyDescent="0.25">
      <c r="A250" s="289" t="s">
        <v>1523</v>
      </c>
    </row>
    <row r="251" spans="1:13" ht="11.25" customHeight="1" x14ac:dyDescent="0.25">
      <c r="A251" s="289" t="s">
        <v>1524</v>
      </c>
    </row>
    <row r="252" spans="1:13" ht="11.25" customHeight="1" x14ac:dyDescent="0.25">
      <c r="A252" s="289" t="s">
        <v>1525</v>
      </c>
    </row>
    <row r="253" spans="1:13" ht="11.25" customHeight="1" x14ac:dyDescent="0.25">
      <c r="A253" s="289" t="s">
        <v>1526</v>
      </c>
    </row>
    <row r="254" spans="1:13" ht="11.25" customHeight="1" x14ac:dyDescent="0.25">
      <c r="A254" s="287" t="s">
        <v>1527</v>
      </c>
      <c r="B254" s="860"/>
      <c r="F254" s="455"/>
      <c r="G254" s="455"/>
      <c r="H254" s="455"/>
      <c r="I254" s="455"/>
      <c r="J254" s="455"/>
      <c r="K254" s="455"/>
    </row>
    <row r="255" spans="1:13" ht="11.25" customHeight="1" x14ac:dyDescent="0.25">
      <c r="A255" s="287" t="s">
        <v>1528</v>
      </c>
      <c r="F255" s="455"/>
      <c r="G255" s="455"/>
      <c r="H255" s="455"/>
      <c r="I255" s="455"/>
      <c r="J255" s="455"/>
      <c r="K255" s="455"/>
    </row>
    <row r="256" spans="1:13" ht="11.25" customHeight="1" x14ac:dyDescent="0.25">
      <c r="A256" s="851" t="s">
        <v>1529</v>
      </c>
      <c r="F256" s="455"/>
      <c r="G256" s="455"/>
      <c r="H256" s="455"/>
      <c r="I256" s="455"/>
      <c r="J256" s="455"/>
      <c r="K256" s="455"/>
    </row>
    <row r="257" spans="1:11" ht="11.25" customHeight="1" x14ac:dyDescent="0.25">
      <c r="A257" s="851" t="s">
        <v>1530</v>
      </c>
      <c r="F257" s="455"/>
      <c r="G257" s="455"/>
      <c r="H257" s="455"/>
      <c r="I257" s="455"/>
      <c r="J257" s="455"/>
      <c r="K257" s="455"/>
    </row>
    <row r="258" spans="1:11" ht="11.25" customHeight="1" x14ac:dyDescent="0.25">
      <c r="A258" s="851" t="s">
        <v>1531</v>
      </c>
      <c r="F258" s="455"/>
      <c r="G258" s="455"/>
      <c r="H258" s="455"/>
      <c r="I258" s="455"/>
      <c r="J258" s="455"/>
      <c r="K258" s="455"/>
    </row>
    <row r="259" spans="1:11" ht="11.25" customHeight="1" x14ac:dyDescent="0.25">
      <c r="A259" s="851" t="s">
        <v>1532</v>
      </c>
    </row>
    <row r="260" spans="1:11" ht="11.25" customHeight="1" x14ac:dyDescent="0.25">
      <c r="A260" s="289" t="s">
        <v>1533</v>
      </c>
      <c r="F260" s="456"/>
      <c r="G260" s="456"/>
      <c r="H260" s="456"/>
      <c r="I260" s="456"/>
      <c r="J260" s="456"/>
      <c r="K260" s="456"/>
    </row>
    <row r="261" spans="1:11" ht="11.25" customHeight="1" x14ac:dyDescent="0.25">
      <c r="A261" s="1058" t="s">
        <v>1534</v>
      </c>
      <c r="F261" s="456"/>
      <c r="G261" s="456"/>
      <c r="H261" s="456"/>
      <c r="I261" s="457"/>
      <c r="J261" s="457"/>
      <c r="K261" s="457"/>
    </row>
  </sheetData>
  <sheetProtection sheet="1" objects="1" scenarios="1"/>
  <mergeCells count="19">
    <mergeCell ref="A63:A64"/>
    <mergeCell ref="H63:J63"/>
    <mergeCell ref="K63:M63"/>
    <mergeCell ref="A109:A110"/>
    <mergeCell ref="H109:J109"/>
    <mergeCell ref="K109:M109"/>
    <mergeCell ref="A155:A156"/>
    <mergeCell ref="H155:J155"/>
    <mergeCell ref="K155:M155"/>
    <mergeCell ref="A201:A202"/>
    <mergeCell ref="H201:J201"/>
    <mergeCell ref="K201:M201"/>
    <mergeCell ref="K2:M2"/>
    <mergeCell ref="A2:A3"/>
    <mergeCell ref="B2:B3"/>
    <mergeCell ref="C2:C3"/>
    <mergeCell ref="D2:D3"/>
    <mergeCell ref="E2:E3"/>
    <mergeCell ref="F2:F3"/>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K23" sqref="K23"/>
    </sheetView>
  </sheetViews>
  <sheetFormatPr defaultRowHeight="12.75" x14ac:dyDescent="0.25"/>
  <cols>
    <col min="1" max="1" width="41.7109375" style="5" customWidth="1"/>
    <col min="2" max="2" width="3.5703125" style="58" customWidth="1"/>
    <col min="3" max="5" width="8.7109375" style="58" customWidth="1"/>
    <col min="6" max="11" width="8.7109375" style="5" customWidth="1"/>
    <col min="12" max="12" width="9.5703125" style="5" customWidth="1"/>
    <col min="13" max="13" width="10.140625" style="5" bestFit="1" customWidth="1"/>
    <col min="14" max="14" width="9.5703125" style="5" bestFit="1" customWidth="1"/>
    <col min="15" max="16384" width="9.140625" style="5"/>
  </cols>
  <sheetData>
    <row r="1" spans="1:11" ht="13.5" x14ac:dyDescent="0.25">
      <c r="A1" s="57" t="str">
        <f>muni &amp;" - "&amp;ADJB6&amp;" - "&amp;Date</f>
        <v>LIM354 Polokwane - Supporting Table SB6 Adjustments Budget - funding measurement - 25 February 2016</v>
      </c>
      <c r="C1" s="5"/>
      <c r="D1" s="5"/>
      <c r="E1" s="5"/>
    </row>
    <row r="2" spans="1:11" x14ac:dyDescent="0.25">
      <c r="A2" s="59" t="str">
        <f>desc</f>
        <v>Description</v>
      </c>
      <c r="B2" s="1358" t="str">
        <f>head27</f>
        <v>Ref</v>
      </c>
      <c r="C2" s="1358" t="s">
        <v>107</v>
      </c>
      <c r="D2" s="458" t="str">
        <f>Head1B</f>
        <v>2012/13</v>
      </c>
      <c r="E2" s="328" t="str">
        <f>Head1A</f>
        <v>2013/14</v>
      </c>
      <c r="F2" s="328" t="str">
        <f>Head1</f>
        <v>2014/15</v>
      </c>
      <c r="G2" s="459" t="str">
        <f>Head3a</f>
        <v>Medium Term Revenue and Expenditure Framework</v>
      </c>
      <c r="H2" s="170"/>
      <c r="I2" s="459"/>
      <c r="J2" s="170"/>
      <c r="K2" s="171"/>
    </row>
    <row r="3" spans="1:11" ht="38.25" x14ac:dyDescent="0.25">
      <c r="A3" s="460" t="s">
        <v>641</v>
      </c>
      <c r="B3" s="1364"/>
      <c r="C3" s="1364"/>
      <c r="D3" s="461" t="str">
        <f>Head5</f>
        <v>Audited Outcome</v>
      </c>
      <c r="E3" s="329" t="str">
        <f>Head5</f>
        <v>Audited Outcome</v>
      </c>
      <c r="F3" s="329" t="str">
        <f>Head5</f>
        <v>Audited Outcome</v>
      </c>
      <c r="G3" s="329" t="str">
        <f>Head6</f>
        <v>Original Budget</v>
      </c>
      <c r="H3" s="329" t="str">
        <f>Head54</f>
        <v>Prior Adjusted</v>
      </c>
      <c r="I3" s="329" t="str">
        <f>Head7</f>
        <v>Adjusted Budget</v>
      </c>
      <c r="J3" s="329" t="str">
        <f>Head10</f>
        <v>Budget Year +1 2016/17</v>
      </c>
      <c r="K3" s="331" t="str">
        <f>Head11</f>
        <v>Budget Year +2 2017/18</v>
      </c>
    </row>
    <row r="4" spans="1:11" ht="12.75" customHeight="1" x14ac:dyDescent="0.25">
      <c r="A4" s="126" t="s">
        <v>108</v>
      </c>
      <c r="B4" s="462"/>
      <c r="C4" s="462"/>
      <c r="D4" s="463"/>
      <c r="E4" s="464"/>
      <c r="F4" s="464"/>
      <c r="G4" s="464"/>
      <c r="H4" s="465"/>
      <c r="I4" s="464"/>
      <c r="J4" s="465"/>
      <c r="K4" s="466"/>
    </row>
    <row r="5" spans="1:11" ht="12.75" customHeight="1" x14ac:dyDescent="0.25">
      <c r="A5" s="129" t="s">
        <v>109</v>
      </c>
      <c r="B5" s="73">
        <v>1</v>
      </c>
      <c r="C5" s="73" t="s">
        <v>110</v>
      </c>
      <c r="D5" s="391">
        <v>52061276</v>
      </c>
      <c r="E5" s="109">
        <v>422558018</v>
      </c>
      <c r="F5" s="109">
        <v>322963447</v>
      </c>
      <c r="G5" s="172">
        <f>'B7-CFlow'!C42</f>
        <v>315251557.74122</v>
      </c>
      <c r="H5" s="172">
        <f>'B7-CFlow'!D42</f>
        <v>0</v>
      </c>
      <c r="I5" s="172">
        <f>'B7-CFlow'!K42</f>
        <v>142875154.93374002</v>
      </c>
      <c r="J5" s="467">
        <f>'B7-CFlow'!L42</f>
        <v>206840999.90600622</v>
      </c>
      <c r="K5" s="236">
        <f>'B7-CFlow'!M42</f>
        <v>318056469.73083031</v>
      </c>
    </row>
    <row r="6" spans="1:11" ht="12.75" customHeight="1" x14ac:dyDescent="0.25">
      <c r="A6" s="129" t="s">
        <v>111</v>
      </c>
      <c r="B6" s="73">
        <v>2</v>
      </c>
      <c r="C6" s="73" t="s">
        <v>110</v>
      </c>
      <c r="D6" s="391">
        <v>144725864</v>
      </c>
      <c r="E6" s="109">
        <v>82880314</v>
      </c>
      <c r="F6" s="109">
        <v>82880314</v>
      </c>
      <c r="G6" s="172">
        <f>'B8-ResRecon'!C21</f>
        <v>113295800</v>
      </c>
      <c r="H6" s="172">
        <f>'B8-ResRecon'!D21</f>
        <v>0</v>
      </c>
      <c r="I6" s="172">
        <f>'B8-ResRecon'!K21</f>
        <v>44986358.020000011</v>
      </c>
      <c r="J6" s="467">
        <f>'B8-ResRecon'!L21</f>
        <v>137856800</v>
      </c>
      <c r="K6" s="236">
        <f>'B8-ResRecon'!M21</f>
        <v>88117800</v>
      </c>
    </row>
    <row r="7" spans="1:11" x14ac:dyDescent="0.25">
      <c r="A7" s="129" t="s">
        <v>112</v>
      </c>
      <c r="B7" s="73">
        <v>3</v>
      </c>
      <c r="C7" s="73" t="s">
        <v>110</v>
      </c>
      <c r="D7" s="391">
        <v>0</v>
      </c>
      <c r="E7" s="109">
        <v>0</v>
      </c>
      <c r="F7" s="109">
        <v>0</v>
      </c>
      <c r="G7" s="172">
        <f>'SB4'!F39</f>
        <v>0</v>
      </c>
      <c r="H7" s="172">
        <f>'SB4'!G39</f>
        <v>0</v>
      </c>
      <c r="I7" s="172">
        <f>'SB4'!H39</f>
        <v>0</v>
      </c>
      <c r="J7" s="467">
        <f>'SB4'!I39</f>
        <v>0</v>
      </c>
      <c r="K7" s="236">
        <f>'SB4'!J39</f>
        <v>0</v>
      </c>
    </row>
    <row r="8" spans="1:11" ht="12.75" customHeight="1" x14ac:dyDescent="0.25">
      <c r="A8" s="129" t="s">
        <v>113</v>
      </c>
      <c r="B8" s="73">
        <v>4</v>
      </c>
      <c r="C8" s="73" t="s">
        <v>114</v>
      </c>
      <c r="D8" s="391">
        <v>73221135</v>
      </c>
      <c r="E8" s="109">
        <v>-36448669.965714455</v>
      </c>
      <c r="F8" s="109">
        <v>-118924436.3099997</v>
      </c>
      <c r="G8" s="172">
        <f>'B4-FinPerf RE'!C44+'SB2'!C52</f>
        <v>582190999.56399965</v>
      </c>
      <c r="H8" s="172">
        <f>'B4-FinPerf RE'!D44+'SB2'!D52</f>
        <v>0</v>
      </c>
      <c r="I8" s="172">
        <f>'B4-FinPerf RE'!K44+'SB2'!K52</f>
        <v>627499618.56399965</v>
      </c>
      <c r="J8" s="172">
        <f>'B4-FinPerf RE'!L44+'SB2'!L52</f>
        <v>591473941.30201137</v>
      </c>
      <c r="K8" s="236">
        <f>'B4-FinPerf RE'!M44+'SB2'!M52</f>
        <v>712040876.23443282</v>
      </c>
    </row>
    <row r="9" spans="1:11" ht="12.75" customHeight="1" x14ac:dyDescent="0.25">
      <c r="A9" s="30" t="s">
        <v>115</v>
      </c>
      <c r="B9" s="137">
        <v>5</v>
      </c>
      <c r="C9" s="137" t="s">
        <v>116</v>
      </c>
      <c r="D9" s="468"/>
      <c r="E9" s="336"/>
      <c r="F9" s="336"/>
      <c r="G9" s="337">
        <f>IF(ISERROR(((G36/G37)-1)-G35),0,(((G36/G37)-1)-G35))</f>
        <v>0</v>
      </c>
      <c r="H9" s="337">
        <f>IF(ISERROR(((H36/H37)-1)-H35),0,(((H36/H37)-1)-H35))</f>
        <v>0</v>
      </c>
      <c r="I9" s="337">
        <f>IF(ISERROR(((I36/I37)-1)-I35),0,(((I36/I37)-1)-I35))</f>
        <v>0</v>
      </c>
      <c r="J9" s="337">
        <f>IF(ISERROR(((J36/J37)-1)-J35),0,(((J36/J37)-1)-J35))</f>
        <v>6.4934100907338366E-2</v>
      </c>
      <c r="K9" s="339">
        <f>IF(ISERROR(((K36/K37)-1)-K35),0,(((K36/K37)-1)-K35))</f>
        <v>5.1836354554675446E-2</v>
      </c>
    </row>
    <row r="10" spans="1:11" ht="12.75" customHeight="1" x14ac:dyDescent="0.25">
      <c r="A10" s="30" t="s">
        <v>117</v>
      </c>
      <c r="B10" s="137">
        <v>6</v>
      </c>
      <c r="C10" s="137" t="s">
        <v>116</v>
      </c>
      <c r="D10" s="1114">
        <f>IF(ISERROR(D40/D41),0,(D40/D41))</f>
        <v>0</v>
      </c>
      <c r="E10" s="469">
        <f t="shared" ref="E10:K10" si="0">IF(ISERROR(E40/E41),0,(E40/E41))</f>
        <v>0</v>
      </c>
      <c r="F10" s="469">
        <f t="shared" si="0"/>
        <v>0</v>
      </c>
      <c r="G10" s="469">
        <f t="shared" si="0"/>
        <v>0.18002221793575229</v>
      </c>
      <c r="H10" s="469">
        <f t="shared" si="0"/>
        <v>0</v>
      </c>
      <c r="I10" s="469">
        <f t="shared" si="0"/>
        <v>0.12944428114191175</v>
      </c>
      <c r="J10" s="469">
        <f t="shared" si="0"/>
        <v>0.18731816991403238</v>
      </c>
      <c r="K10" s="1115">
        <f t="shared" si="0"/>
        <v>0.1774602372600837</v>
      </c>
    </row>
    <row r="11" spans="1:11" ht="12.75" customHeight="1" x14ac:dyDescent="0.25">
      <c r="A11" s="30" t="s">
        <v>118</v>
      </c>
      <c r="B11" s="137">
        <v>7</v>
      </c>
      <c r="C11" s="137" t="s">
        <v>116</v>
      </c>
      <c r="D11" s="340">
        <v>4.2000000000000003E-2</v>
      </c>
      <c r="E11" s="336">
        <v>0.14329991268475695</v>
      </c>
      <c r="F11" s="336">
        <v>0.11672326622578345</v>
      </c>
      <c r="G11" s="337">
        <f>IF(ISERROR('B4-FinPerf RE'!C29/(SUM('B4-FinPerf RE'!C7:C14))),0,('B4-FinPerf RE'!C29/(SUM('B4-FinPerf RE'!C7:C14))))</f>
        <v>3.2791101342813218E-2</v>
      </c>
      <c r="H11" s="337">
        <f>IF(ISERROR('B4-FinPerf RE'!D29/(SUM('B4-FinPerf RE'!D7:D14))),0,('B4-FinPerf RE'!D29/(SUM('B4-FinPerf RE'!D7:D14))))</f>
        <v>0</v>
      </c>
      <c r="I11" s="337">
        <f>IF(ISERROR('B4-FinPerf RE'!K29/(SUM('B4-FinPerf RE'!K7:K14))),0,('B4-FinPerf RE'!K29/(SUM('B4-FinPerf RE'!K7:K14))))</f>
        <v>3.3237456035720453E-2</v>
      </c>
      <c r="J11" s="338">
        <f>IF(ISERROR('B4-FinPerf RE'!L29/(SUM('B4-FinPerf RE'!L7:L14))),0,('B4-FinPerf RE'!L29/(SUM('B4-FinPerf RE'!L7:L14))))</f>
        <v>3.1448459763496278E-2</v>
      </c>
      <c r="K11" s="339">
        <f>IF(ISERROR('B4-FinPerf RE'!M29/(SUM('B4-FinPerf RE'!M7:M14))),0,('B4-FinPerf RE'!M29/(SUM('B4-FinPerf RE'!M7:M14))))</f>
        <v>3.0084753425088408E-2</v>
      </c>
    </row>
    <row r="12" spans="1:11" ht="12.75" customHeight="1" x14ac:dyDescent="0.25">
      <c r="A12" s="30" t="s">
        <v>119</v>
      </c>
      <c r="B12" s="137">
        <v>8</v>
      </c>
      <c r="C12" s="137" t="s">
        <v>120</v>
      </c>
      <c r="D12" s="340">
        <v>1</v>
      </c>
      <c r="E12" s="336">
        <v>1</v>
      </c>
      <c r="F12" s="336">
        <v>1</v>
      </c>
      <c r="G12" s="337">
        <f>IF(ISERROR(-'B7-CFlow'!C28/'B5-Capex'!C65),0,(-'B7-CFlow'!C28/'B5-Capex'!C65))</f>
        <v>1</v>
      </c>
      <c r="H12" s="337">
        <f>IF(ISERROR(-'B7-CFlow'!D28/'B5-Capex'!D65),0,(-'B7-CFlow'!D28/'B5-Capex'!D65))</f>
        <v>0</v>
      </c>
      <c r="I12" s="337">
        <f>IF(ISERROR(-'B7-CFlow'!E28/'B5-Capex'!E65),0,(-'B7-CFlow'!E28/'B5-Capex'!E65))</f>
        <v>0</v>
      </c>
      <c r="J12" s="337">
        <f>IF(ISERROR(-'B7-CFlow'!F28/'B5-Capex'!F65),0,(-'B7-CFlow'!F28/'B5-Capex'!F65))</f>
        <v>0</v>
      </c>
      <c r="K12" s="339">
        <f>IF(ISERROR(-'B7-CFlow'!G28/'B5-Capex'!G65),0,(-'B7-CFlow'!G28/'B5-Capex'!G65))</f>
        <v>0</v>
      </c>
    </row>
    <row r="13" spans="1:11" ht="12.75" customHeight="1" x14ac:dyDescent="0.25">
      <c r="A13" s="30" t="s">
        <v>121</v>
      </c>
      <c r="B13" s="137">
        <v>9</v>
      </c>
      <c r="C13" s="137" t="s">
        <v>122</v>
      </c>
      <c r="D13" s="340">
        <v>0</v>
      </c>
      <c r="E13" s="336">
        <v>0</v>
      </c>
      <c r="F13" s="336">
        <v>0</v>
      </c>
      <c r="G13" s="337">
        <f>IF(ISERROR('SB4'!F9),0,('SB4'!F9))</f>
        <v>0</v>
      </c>
      <c r="H13" s="337">
        <f>IF(ISERROR('SB4'!G9),0,('SB4'!G9))</f>
        <v>0</v>
      </c>
      <c r="I13" s="337">
        <f>IF(ISERROR('SB4'!H9),0,('SB4'!H9))</f>
        <v>0</v>
      </c>
      <c r="J13" s="338">
        <f>IF(ISERROR('SB4'!I9),0,('SB4'!I9))</f>
        <v>0</v>
      </c>
      <c r="K13" s="339">
        <f>IF(ISERROR('SB4'!J9),0,('SB4'!J9))</f>
        <v>0</v>
      </c>
    </row>
    <row r="14" spans="1:11" ht="12.75" customHeight="1" x14ac:dyDescent="0.25">
      <c r="A14" s="30" t="s">
        <v>123</v>
      </c>
      <c r="B14" s="137">
        <v>10</v>
      </c>
      <c r="C14" s="137" t="s">
        <v>124</v>
      </c>
      <c r="D14" s="340">
        <v>0</v>
      </c>
      <c r="E14" s="336">
        <v>0</v>
      </c>
      <c r="F14" s="336">
        <v>1</v>
      </c>
      <c r="G14" s="337">
        <f>IF(ISERROR(('B4-FinPerf RE'!C21+'B4-FinPerf RE'!C41)/('SB6'!G38+'SB6'!G39)),0,(('B4-FinPerf RE'!C21+'B4-FinPerf RE'!C41)/('SB6'!G38+'SB6'!G39)))</f>
        <v>0</v>
      </c>
      <c r="H14" s="337">
        <f>IF(ISERROR(('B4-FinPerf RE'!D21+'B4-FinPerf RE'!D41)/('SB6'!H38+'SB6'!H39)),0,(('B4-FinPerf RE'!D21+'B4-FinPerf RE'!D41)/('SB6'!H38+'SB6'!H39)))</f>
        <v>0</v>
      </c>
      <c r="I14" s="337">
        <f>IF(ISERROR(('B4-FinPerf RE'!K21+'B4-FinPerf RE'!K41)/('SB6'!I38+'SB6'!I39)),0,(('B4-FinPerf RE'!K21+'B4-FinPerf RE'!K41)/('SB6'!I38+'SB6'!I39)))</f>
        <v>0</v>
      </c>
      <c r="J14" s="338">
        <f>IF(ISERROR(('B4-FinPerf RE'!L21+'B4-FinPerf RE'!L41)/('SB6'!J38+'SB6'!J39)),0,(('B4-FinPerf RE'!L21+'B4-FinPerf RE'!L41)/('SB6'!J38+'SB6'!J39)))</f>
        <v>0</v>
      </c>
      <c r="K14" s="339">
        <f>IF(ISERROR(('B4-FinPerf RE'!M21+'B4-FinPerf RE'!M41)/('SB6'!K38+'SB6'!K39)),0,(('B4-FinPerf RE'!M21+'B4-FinPerf RE'!M41)/('SB6'!K38+'SB6'!K39)))</f>
        <v>0</v>
      </c>
    </row>
    <row r="15" spans="1:11" ht="12.75" customHeight="1" x14ac:dyDescent="0.25">
      <c r="A15" s="30" t="s">
        <v>125</v>
      </c>
      <c r="B15" s="137">
        <v>11</v>
      </c>
      <c r="C15" s="137" t="s">
        <v>124</v>
      </c>
      <c r="D15" s="340">
        <v>0.45540000000000003</v>
      </c>
      <c r="E15" s="336">
        <v>0.1118</v>
      </c>
      <c r="F15" s="336">
        <v>0.1118</v>
      </c>
      <c r="G15" s="336"/>
      <c r="H15" s="343"/>
      <c r="I15" s="336"/>
      <c r="J15" s="338">
        <f>IF(ISERROR((SUM('B6-FinPos'!L10:L12)-SUM('B6-FinPos'!K10:K12))/SUM('B6-FinPos'!K10:K12)), 0, (SUM('B6-FinPos'!L10:L12)-SUM('B6-FinPos'!K10:K12))/SUM('B6-FinPos'!K10:K12))</f>
        <v>-0.35846820995870837</v>
      </c>
      <c r="K15" s="339">
        <f>IF(ISERROR((SUM('B6-FinPos'!M10:M12)-SUM('B6-FinPos'!L10:L12))/SUM('B6-FinPos'!L10:L12)), 0, (SUM('B6-FinPos'!M10:M12)-SUM('B6-FinPos'!L10:L12))/SUM('B6-FinPos'!L10:L12))</f>
        <v>0.25729770345509972</v>
      </c>
    </row>
    <row r="16" spans="1:11" ht="12.75" customHeight="1" x14ac:dyDescent="0.25">
      <c r="A16" s="129" t="s">
        <v>126</v>
      </c>
      <c r="B16" s="73">
        <v>12</v>
      </c>
      <c r="C16" s="73" t="s">
        <v>124</v>
      </c>
      <c r="D16" s="340">
        <v>-9.9000000000000005E-2</v>
      </c>
      <c r="E16" s="336">
        <v>-0.33</v>
      </c>
      <c r="F16" s="336">
        <v>0</v>
      </c>
      <c r="G16" s="336"/>
      <c r="H16" s="343"/>
      <c r="I16" s="336"/>
      <c r="J16" s="338">
        <f>IF(ISERROR(('B6-FinPos'!L17-'B6-FinPos'!K17)/'B6-FinPos'!K17),0,(('B6-FinPos'!L17-'B6-FinPos'!K17)/'B6-FinPos'!K17))</f>
        <v>-6.4008582156266758E-2</v>
      </c>
      <c r="K16" s="339">
        <f>IF(ISERROR(('B6-FinPos'!M17-'B6-FinPos'!L17)/'B6-FinPos'!L17),0,(('B6-FinPos'!M17-'B6-FinPos'!L17)/'B6-FinPos'!L17))</f>
        <v>-0.16389684813753583</v>
      </c>
    </row>
    <row r="17" spans="1:11" ht="12.75" customHeight="1" x14ac:dyDescent="0.25">
      <c r="A17" s="129" t="s">
        <v>127</v>
      </c>
      <c r="B17" s="73">
        <v>13</v>
      </c>
      <c r="C17" s="470" t="s">
        <v>128</v>
      </c>
      <c r="D17" s="340">
        <v>2.1000000000000001E-2</v>
      </c>
      <c r="E17" s="336">
        <v>0.02</v>
      </c>
      <c r="F17" s="336">
        <v>1.9022287600658917E-2</v>
      </c>
      <c r="G17" s="337">
        <f>IF(ISERROR('B9-Asset'!C71/'B9-Asset'!C67),0,('B9-Asset'!C71/'B9-Asset'!C67))</f>
        <v>2.3146156609466704E-2</v>
      </c>
      <c r="H17" s="337">
        <f>IF(ISERROR('B9-Asset'!D71/'B9-Asset'!D67),0,('B9-Asset'!D71/'B9-Asset'!D67))</f>
        <v>0</v>
      </c>
      <c r="I17" s="337">
        <f>IF(ISERROR('B9-Asset'!K71/'B9-Asset'!K67),0,('B9-Asset'!K71/'B9-Asset'!K67))</f>
        <v>2.6096529323961844E-2</v>
      </c>
      <c r="J17" s="338">
        <f>IF(ISERROR('B9-Asset'!L71/'B9-Asset'!L67),0,('B9-Asset'!L71/'B9-Asset'!L67))</f>
        <v>2.3443956572894078E-2</v>
      </c>
      <c r="K17" s="339">
        <f>IF(ISERROR('B9-Asset'!M71/'B9-Asset'!M67),0,('B9-Asset'!M71/'B9-Asset'!M67))</f>
        <v>2.3727045459187756E-2</v>
      </c>
    </row>
    <row r="18" spans="1:11" ht="12.75" customHeight="1" x14ac:dyDescent="0.25">
      <c r="A18" s="176" t="s">
        <v>129</v>
      </c>
      <c r="B18" s="88">
        <v>14</v>
      </c>
      <c r="C18" s="471" t="str">
        <f>C17</f>
        <v>20(1)(vi)</v>
      </c>
      <c r="D18" s="472">
        <v>0</v>
      </c>
      <c r="E18" s="473">
        <v>0</v>
      </c>
      <c r="F18" s="473">
        <v>0.255</v>
      </c>
      <c r="G18" s="474">
        <f>IF(ISERROR('B9-Asset'!C22/'B9-Asset'!C51),0,('B9-Asset'!C22/'B9-Asset'!C51))</f>
        <v>0.26544979409468022</v>
      </c>
      <c r="H18" s="474">
        <f>IF(ISERROR('B9-Asset'!D22/'B9-Asset'!D51),0,('B9-Asset'!D22/'B9-Asset'!D51))</f>
        <v>0</v>
      </c>
      <c r="I18" s="474">
        <f>IF(ISERROR('B9-Asset'!K22/'B9-Asset'!K51),0,('B9-Asset'!K22/'B9-Asset'!K51))</f>
        <v>0.24588313170103807</v>
      </c>
      <c r="J18" s="475">
        <f>IF(ISERROR('B9-Asset'!L22/'B9-Asset'!L51),0,('B9-Asset'!L22/'B9-Asset'!L51))</f>
        <v>0.32002457002457002</v>
      </c>
      <c r="K18" s="476">
        <f>IF(ISERROR('B9-Asset'!M22/'B9-Asset'!M51),0,('B9-Asset'!M22/'B9-Asset'!M51))</f>
        <v>0.35378929409854337</v>
      </c>
    </row>
    <row r="19" spans="1:11" ht="12.75" customHeight="1" x14ac:dyDescent="0.25">
      <c r="A19" s="158" t="str">
        <f>head27a</f>
        <v>References</v>
      </c>
      <c r="B19" s="477"/>
      <c r="C19" s="477"/>
      <c r="D19" s="477"/>
      <c r="E19" s="477"/>
      <c r="F19" s="477"/>
      <c r="G19" s="477"/>
      <c r="H19" s="477"/>
      <c r="I19" s="477"/>
      <c r="J19" s="477"/>
      <c r="K19" s="477"/>
    </row>
    <row r="20" spans="1:11" ht="12.75" customHeight="1" x14ac:dyDescent="0.25">
      <c r="A20" s="95" t="s">
        <v>130</v>
      </c>
      <c r="B20" s="477"/>
      <c r="C20" s="477"/>
      <c r="D20" s="477"/>
      <c r="E20" s="477"/>
      <c r="F20" s="477"/>
      <c r="G20" s="477"/>
      <c r="H20" s="477"/>
      <c r="I20" s="477"/>
      <c r="J20" s="477"/>
      <c r="K20" s="477"/>
    </row>
    <row r="21" spans="1:11" ht="12.75" customHeight="1" x14ac:dyDescent="0.25">
      <c r="A21" s="99" t="s">
        <v>131</v>
      </c>
      <c r="B21" s="477"/>
      <c r="C21" s="477"/>
      <c r="D21" s="477"/>
      <c r="E21" s="477"/>
      <c r="F21" s="477"/>
      <c r="G21" s="477"/>
      <c r="H21" s="477"/>
      <c r="I21" s="477"/>
      <c r="J21" s="477"/>
      <c r="K21" s="477"/>
    </row>
    <row r="22" spans="1:11" ht="12.75" customHeight="1" x14ac:dyDescent="0.25">
      <c r="A22" s="99" t="s">
        <v>132</v>
      </c>
      <c r="B22" s="477"/>
      <c r="C22" s="477"/>
      <c r="D22" s="477"/>
      <c r="E22" s="477"/>
      <c r="F22" s="477"/>
      <c r="G22" s="477"/>
      <c r="H22" s="477"/>
      <c r="I22" s="477"/>
      <c r="J22" s="477"/>
      <c r="K22" s="477"/>
    </row>
    <row r="23" spans="1:11" ht="12.75" customHeight="1" x14ac:dyDescent="0.25">
      <c r="A23" s="99" t="s">
        <v>133</v>
      </c>
      <c r="B23" s="477"/>
      <c r="C23" s="477"/>
      <c r="D23" s="477"/>
      <c r="E23" s="477"/>
      <c r="F23" s="477"/>
      <c r="G23" s="477"/>
      <c r="H23" s="477"/>
      <c r="I23" s="477"/>
      <c r="J23" s="477"/>
      <c r="K23" s="477"/>
    </row>
    <row r="24" spans="1:11" ht="12.75" customHeight="1" x14ac:dyDescent="0.25">
      <c r="A24" s="99" t="s">
        <v>134</v>
      </c>
      <c r="B24" s="477"/>
      <c r="C24" s="477"/>
      <c r="D24" s="477"/>
      <c r="E24" s="477"/>
      <c r="F24" s="477"/>
      <c r="G24" s="477"/>
      <c r="H24" s="477"/>
      <c r="I24" s="477"/>
      <c r="J24" s="477"/>
      <c r="K24" s="477"/>
    </row>
    <row r="25" spans="1:11" ht="12.75" customHeight="1" x14ac:dyDescent="0.25">
      <c r="A25" s="99" t="s">
        <v>135</v>
      </c>
      <c r="B25" s="477"/>
      <c r="C25" s="477"/>
      <c r="D25" s="477"/>
      <c r="E25" s="477"/>
      <c r="F25" s="477"/>
      <c r="G25" s="477"/>
      <c r="H25" s="477"/>
      <c r="I25" s="477"/>
      <c r="J25" s="477"/>
      <c r="K25" s="477"/>
    </row>
    <row r="26" spans="1:11" ht="12.75" customHeight="1" x14ac:dyDescent="0.25">
      <c r="A26" s="99" t="s">
        <v>136</v>
      </c>
      <c r="B26" s="477"/>
      <c r="C26" s="477"/>
      <c r="D26" s="477"/>
      <c r="E26" s="477"/>
      <c r="F26" s="477"/>
      <c r="G26" s="477"/>
      <c r="H26" s="477"/>
      <c r="I26" s="477"/>
      <c r="J26" s="477"/>
      <c r="K26" s="477"/>
    </row>
    <row r="27" spans="1:11" ht="12.75" customHeight="1" x14ac:dyDescent="0.25">
      <c r="A27" s="99" t="s">
        <v>137</v>
      </c>
      <c r="B27" s="477"/>
      <c r="C27" s="477"/>
      <c r="D27" s="477"/>
      <c r="E27" s="477"/>
      <c r="F27" s="477"/>
      <c r="G27" s="477"/>
      <c r="H27" s="477"/>
      <c r="I27" s="477"/>
      <c r="J27" s="477"/>
      <c r="K27" s="477"/>
    </row>
    <row r="28" spans="1:11" ht="12.75" customHeight="1" x14ac:dyDescent="0.25">
      <c r="A28" s="99" t="s">
        <v>138</v>
      </c>
      <c r="B28" s="477"/>
      <c r="C28" s="477"/>
      <c r="D28" s="477"/>
      <c r="E28" s="477"/>
      <c r="F28" s="477"/>
      <c r="G28" s="477"/>
      <c r="H28" s="477"/>
      <c r="I28" s="477"/>
      <c r="J28" s="477"/>
      <c r="K28" s="477"/>
    </row>
    <row r="29" spans="1:11" ht="12.75" customHeight="1" x14ac:dyDescent="0.25">
      <c r="A29" s="99" t="s">
        <v>139</v>
      </c>
      <c r="B29" s="477"/>
      <c r="C29" s="477"/>
      <c r="D29" s="477"/>
      <c r="E29" s="477"/>
      <c r="F29" s="477"/>
      <c r="G29" s="477"/>
      <c r="H29" s="477"/>
      <c r="I29" s="477"/>
      <c r="J29" s="477"/>
      <c r="K29" s="477"/>
    </row>
    <row r="30" spans="1:11" ht="12.75" customHeight="1" x14ac:dyDescent="0.25">
      <c r="A30" s="99" t="s">
        <v>140</v>
      </c>
      <c r="B30" s="477"/>
      <c r="C30" s="477"/>
      <c r="D30" s="477"/>
      <c r="E30" s="477"/>
      <c r="F30" s="477"/>
      <c r="G30" s="477"/>
      <c r="H30" s="477"/>
      <c r="I30" s="477"/>
      <c r="J30" s="477"/>
      <c r="K30" s="477"/>
    </row>
    <row r="31" spans="1:11" ht="12.75" customHeight="1" x14ac:dyDescent="0.25">
      <c r="A31" s="99" t="s">
        <v>141</v>
      </c>
      <c r="B31" s="477"/>
      <c r="C31" s="477"/>
      <c r="D31" s="477"/>
      <c r="E31" s="477"/>
      <c r="F31" s="477"/>
      <c r="G31" s="477"/>
      <c r="H31" s="477"/>
      <c r="I31" s="477"/>
      <c r="J31" s="477"/>
      <c r="K31" s="477"/>
    </row>
    <row r="32" spans="1:11" ht="12.75" customHeight="1" x14ac:dyDescent="0.25">
      <c r="A32" s="99" t="s">
        <v>142</v>
      </c>
      <c r="B32" s="477"/>
      <c r="C32" s="477"/>
      <c r="D32" s="477"/>
      <c r="E32" s="477"/>
      <c r="F32" s="477"/>
      <c r="G32" s="477"/>
      <c r="H32" s="477"/>
      <c r="I32" s="477"/>
      <c r="J32" s="477"/>
      <c r="K32" s="477"/>
    </row>
    <row r="33" spans="1:16" ht="12.75" customHeight="1" x14ac:dyDescent="0.25">
      <c r="A33" s="99" t="s">
        <v>143</v>
      </c>
      <c r="B33" s="477"/>
      <c r="C33" s="477"/>
      <c r="D33" s="477"/>
      <c r="E33" s="477"/>
      <c r="F33" s="477"/>
      <c r="G33" s="477"/>
      <c r="H33" s="477"/>
      <c r="I33" s="477"/>
      <c r="J33" s="477"/>
      <c r="K33" s="477"/>
    </row>
    <row r="34" spans="1:16" ht="12.75" customHeight="1" x14ac:dyDescent="0.25">
      <c r="A34" s="99"/>
      <c r="B34" s="477"/>
      <c r="C34" s="477"/>
      <c r="D34" s="477"/>
      <c r="E34" s="477"/>
      <c r="F34" s="477"/>
      <c r="G34" s="477"/>
      <c r="H34" s="477"/>
      <c r="I34" s="477"/>
      <c r="J34" s="477"/>
      <c r="K34" s="477"/>
    </row>
    <row r="35" spans="1:16" ht="12.75" customHeight="1" x14ac:dyDescent="0.25">
      <c r="A35" s="99" t="s">
        <v>144</v>
      </c>
      <c r="B35" s="477"/>
      <c r="C35" s="477"/>
      <c r="D35" s="477"/>
      <c r="E35" s="477"/>
      <c r="F35" s="477"/>
      <c r="G35" s="817">
        <v>0.06</v>
      </c>
      <c r="H35" s="818">
        <v>0.06</v>
      </c>
      <c r="I35" s="818">
        <v>0.06</v>
      </c>
      <c r="J35" s="818">
        <v>0.06</v>
      </c>
      <c r="K35" s="819">
        <v>0.06</v>
      </c>
    </row>
    <row r="36" spans="1:16" ht="12.75" customHeight="1" x14ac:dyDescent="0.25">
      <c r="A36" s="478" t="s">
        <v>145</v>
      </c>
      <c r="B36" s="479"/>
      <c r="C36" s="479"/>
      <c r="D36" s="479"/>
      <c r="E36" s="479"/>
      <c r="F36" s="84"/>
      <c r="G36" s="349">
        <f>IF(ISERROR(SUM('B4-FinPerf RE'!C7:C13)),0,(SUM('B4-FinPerf RE'!C7:C13)))</f>
        <v>1503583265.0059998</v>
      </c>
      <c r="H36" s="349">
        <f>IF(ISERROR(SUM('B4-FinPerf RE'!D7:D13)),0,(SUM('B4-FinPerf RE'!D7:D13)))</f>
        <v>0</v>
      </c>
      <c r="I36" s="349">
        <f>IF(ISERROR(SUM('B4-FinPerf RE'!K7:K13)),0,(SUM('B4-FinPerf RE'!K7:K13)))</f>
        <v>1485106265.0059998</v>
      </c>
      <c r="J36" s="349">
        <f>IF(ISERROR(SUM('B4-FinPerf RE'!L7:L13)),0,(SUM('B4-FinPerf RE'!L7:L13)))</f>
        <v>1670646680.9763799</v>
      </c>
      <c r="K36" s="349">
        <f>IF(ISERROR(SUM('B4-FinPerf RE'!M7:M13)),0,(SUM('B4-FinPerf RE'!M7:M13)))</f>
        <v>1857485715.525646</v>
      </c>
    </row>
    <row r="37" spans="1:16" ht="12.75" customHeight="1" x14ac:dyDescent="0.25">
      <c r="A37" s="478" t="s">
        <v>146</v>
      </c>
      <c r="B37" s="121"/>
      <c r="C37" s="121"/>
      <c r="D37" s="350"/>
      <c r="E37" s="350"/>
      <c r="F37" s="350"/>
      <c r="G37" s="1116"/>
      <c r="H37" s="349"/>
      <c r="I37" s="349">
        <f>G37</f>
        <v>0</v>
      </c>
      <c r="J37" s="349">
        <f>I36</f>
        <v>1485106265.0059998</v>
      </c>
      <c r="K37" s="349">
        <f>J36</f>
        <v>1670646680.9763799</v>
      </c>
      <c r="O37" s="169"/>
      <c r="P37" s="169"/>
    </row>
    <row r="38" spans="1:16" ht="12.75" customHeight="1" x14ac:dyDescent="0.25">
      <c r="A38" s="480" t="s">
        <v>147</v>
      </c>
      <c r="B38" s="121"/>
      <c r="C38" s="121"/>
      <c r="D38" s="1117"/>
      <c r="E38" s="1118"/>
      <c r="F38" s="1118"/>
      <c r="G38" s="1118"/>
      <c r="H38" s="1118"/>
      <c r="I38" s="1118"/>
      <c r="J38" s="1118"/>
      <c r="K38" s="1119"/>
      <c r="O38" s="169"/>
      <c r="P38" s="169"/>
    </row>
    <row r="39" spans="1:16" ht="12.75" customHeight="1" x14ac:dyDescent="0.25">
      <c r="A39" s="480" t="s">
        <v>148</v>
      </c>
      <c r="B39" s="121"/>
      <c r="C39" s="121"/>
      <c r="D39" s="1120"/>
      <c r="E39" s="1121"/>
      <c r="F39" s="1121"/>
      <c r="G39" s="1122"/>
      <c r="H39" s="1122"/>
      <c r="I39" s="1122"/>
      <c r="J39" s="1122"/>
      <c r="K39" s="1123"/>
      <c r="O39" s="169"/>
      <c r="P39" s="169"/>
    </row>
    <row r="40" spans="1:16" ht="12.75" customHeight="1" x14ac:dyDescent="0.25">
      <c r="A40" s="480" t="s">
        <v>149</v>
      </c>
      <c r="B40" s="121"/>
      <c r="C40" s="121"/>
      <c r="D40" s="1120"/>
      <c r="E40" s="1121"/>
      <c r="F40" s="1124"/>
      <c r="G40" s="349">
        <f>'B7-CFlow'!C8+'B7-CFlow'!C24</f>
        <v>299629519.60000002</v>
      </c>
      <c r="H40" s="349">
        <f>'B7-CFlow'!D8+'B7-CFlow'!D24</f>
        <v>0</v>
      </c>
      <c r="I40" s="349">
        <f>'B7-CFlow'!K8+'B7-CFlow'!K24</f>
        <v>224269461.04000002</v>
      </c>
      <c r="J40" s="349">
        <f>'B7-CFlow'!L8+'B7-CFlow'!L24</f>
        <v>337437182.24280006</v>
      </c>
      <c r="K40" s="349">
        <f>'B7-CFlow'!M8+'B7-CFlow'!M24</f>
        <v>354293791.35494006</v>
      </c>
      <c r="O40" s="169"/>
      <c r="P40" s="169"/>
    </row>
    <row r="41" spans="1:16" ht="12.75" customHeight="1" x14ac:dyDescent="0.25">
      <c r="A41" s="480" t="s">
        <v>150</v>
      </c>
      <c r="B41" s="121"/>
      <c r="C41" s="121"/>
      <c r="D41" s="1120"/>
      <c r="E41" s="1121"/>
      <c r="F41" s="1124"/>
      <c r="G41" s="349">
        <f>SUM('B4-FinPerf RE'!C7:C14)+'B4-FinPerf RE'!C16+SUM('B4-FinPerf RE'!C18:C20)+'B4-FinPerf RE'!C22</f>
        <v>1664403000.0059998</v>
      </c>
      <c r="H41" s="349">
        <f>SUM('B4-FinPerf RE'!D7:D14)+'B4-FinPerf RE'!D16+SUM('B4-FinPerf RE'!D18:D20)+'B4-FinPerf RE'!D22</f>
        <v>0</v>
      </c>
      <c r="I41" s="349">
        <f>SUM('B4-FinPerf RE'!K7:K14)+'B4-FinPerf RE'!K16+SUM('B4-FinPerf RE'!K18:K20)+'B4-FinPerf RE'!K22</f>
        <v>1732555962.0059998</v>
      </c>
      <c r="J41" s="349">
        <f>SUM('B4-FinPerf RE'!L7:L14)+'B4-FinPerf RE'!L16+SUM('B4-FinPerf RE'!L18:L20)+'B4-FinPerf RE'!L22</f>
        <v>1801411910.0013797</v>
      </c>
      <c r="K41" s="349">
        <f>SUM('B4-FinPerf RE'!M7:M14)+'B4-FinPerf RE'!M16+SUM('B4-FinPerf RE'!M18:M20)+'B4-FinPerf RE'!M22</f>
        <v>1996468599.530221</v>
      </c>
      <c r="O41" s="169"/>
      <c r="P41" s="169"/>
    </row>
    <row r="42" spans="1:16" ht="12.75" customHeight="1" x14ac:dyDescent="0.25">
      <c r="A42" s="480" t="s">
        <v>151</v>
      </c>
      <c r="B42" s="121"/>
      <c r="C42" s="121"/>
      <c r="D42" s="1125"/>
      <c r="E42" s="1122"/>
      <c r="F42" s="1122"/>
      <c r="G42" s="1126"/>
      <c r="H42" s="1126"/>
      <c r="I42" s="1127"/>
      <c r="J42" s="349">
        <f>(SUM('B6-FinPos'!L10:L12)+'B6-FinPos'!L17)-(SUM('B6-FinPos'!K10:K12)+'B6-FinPos'!K17)</f>
        <v>-63645204</v>
      </c>
      <c r="K42" s="349">
        <f>(SUM('B6-FinPos'!M10:M12)+'B6-FinPos'!M17)-(SUM('B6-FinPos'!L10:L12)+'B6-FinPos'!L17)</f>
        <v>28284000</v>
      </c>
      <c r="O42" s="169"/>
      <c r="P42" s="169"/>
    </row>
    <row r="43" spans="1:16" ht="12.75" customHeight="1" x14ac:dyDescent="0.25">
      <c r="A43" s="480"/>
      <c r="B43" s="121"/>
      <c r="C43" s="121"/>
      <c r="D43" s="350"/>
      <c r="E43" s="350"/>
      <c r="F43" s="350"/>
      <c r="G43" s="350"/>
      <c r="H43" s="350"/>
      <c r="I43" s="350"/>
      <c r="J43" s="350"/>
      <c r="K43" s="350"/>
      <c r="O43" s="169"/>
      <c r="P43" s="169"/>
    </row>
    <row r="44" spans="1:16" ht="12.75" customHeight="1" x14ac:dyDescent="0.25">
      <c r="A44" s="480"/>
      <c r="B44" s="121"/>
      <c r="C44" s="121"/>
      <c r="D44" s="350"/>
      <c r="E44" s="350"/>
      <c r="F44" s="350"/>
      <c r="G44" s="350"/>
      <c r="H44" s="350"/>
      <c r="I44" s="350"/>
      <c r="J44" s="350"/>
      <c r="K44" s="350"/>
      <c r="O44" s="169"/>
      <c r="P44" s="169"/>
    </row>
    <row r="45" spans="1:16" ht="12.75" customHeight="1" x14ac:dyDescent="0.25">
      <c r="A45" s="480"/>
      <c r="B45" s="121"/>
      <c r="C45" s="121"/>
      <c r="D45" s="350"/>
      <c r="E45" s="350"/>
      <c r="F45" s="350"/>
      <c r="G45" s="350"/>
      <c r="H45" s="350"/>
      <c r="I45" s="350"/>
      <c r="J45" s="350"/>
      <c r="K45" s="350"/>
      <c r="O45" s="169"/>
      <c r="P45" s="169"/>
    </row>
    <row r="46" spans="1:16" ht="12.75" customHeight="1" x14ac:dyDescent="0.25">
      <c r="A46" s="480"/>
      <c r="B46" s="121"/>
      <c r="C46" s="121"/>
      <c r="D46" s="481"/>
      <c r="E46" s="481"/>
      <c r="F46" s="481"/>
      <c r="G46" s="481"/>
      <c r="H46" s="481"/>
      <c r="I46" s="481"/>
      <c r="J46" s="481"/>
      <c r="K46" s="481"/>
    </row>
    <row r="47" spans="1:16" ht="12.75" customHeight="1" x14ac:dyDescent="0.25">
      <c r="A47" s="480"/>
      <c r="B47" s="121"/>
      <c r="C47" s="121"/>
      <c r="D47" s="481"/>
      <c r="E47" s="481"/>
      <c r="F47" s="481"/>
      <c r="G47" s="481"/>
      <c r="H47" s="481"/>
      <c r="I47" s="481"/>
      <c r="J47" s="481"/>
      <c r="K47" s="481"/>
    </row>
    <row r="48" spans="1:16" ht="12.75" customHeight="1" x14ac:dyDescent="0.25">
      <c r="A48" s="480"/>
      <c r="B48" s="121"/>
      <c r="C48" s="121"/>
      <c r="D48" s="481"/>
      <c r="E48" s="481"/>
      <c r="F48" s="481"/>
      <c r="G48" s="481"/>
      <c r="H48" s="481"/>
      <c r="I48" s="481"/>
      <c r="J48" s="481"/>
      <c r="K48" s="481"/>
    </row>
    <row r="49" spans="1:11" ht="12.75" customHeight="1" x14ac:dyDescent="0.25">
      <c r="A49" s="480"/>
      <c r="B49" s="121"/>
      <c r="C49" s="121"/>
      <c r="D49" s="481"/>
      <c r="E49" s="481"/>
      <c r="F49" s="481"/>
      <c r="G49" s="481"/>
      <c r="H49" s="481"/>
      <c r="I49" s="481"/>
      <c r="J49" s="481"/>
      <c r="K49" s="481"/>
    </row>
    <row r="50" spans="1:11" ht="12.75" customHeight="1" x14ac:dyDescent="0.25">
      <c r="A50" s="480"/>
      <c r="B50" s="121"/>
      <c r="C50" s="121"/>
      <c r="D50" s="481"/>
      <c r="E50" s="481"/>
      <c r="F50" s="481"/>
      <c r="G50" s="481"/>
      <c r="H50" s="481"/>
      <c r="I50" s="481"/>
      <c r="J50" s="481"/>
      <c r="K50" s="481"/>
    </row>
    <row r="51" spans="1:11" ht="12.75" customHeight="1" x14ac:dyDescent="0.25">
      <c r="A51" s="480"/>
      <c r="B51" s="121"/>
      <c r="C51" s="121"/>
      <c r="D51" s="481"/>
      <c r="E51" s="481"/>
      <c r="F51" s="481"/>
      <c r="G51" s="481"/>
      <c r="H51" s="481"/>
      <c r="I51" s="481"/>
      <c r="J51" s="481"/>
      <c r="K51" s="481"/>
    </row>
    <row r="52" spans="1:11" ht="12.75" customHeight="1" x14ac:dyDescent="0.25">
      <c r="A52" s="480"/>
      <c r="B52" s="121"/>
      <c r="C52" s="121"/>
      <c r="D52" s="481"/>
      <c r="E52" s="481"/>
      <c r="F52" s="481"/>
      <c r="G52" s="481"/>
      <c r="H52" s="481"/>
      <c r="I52" s="481"/>
      <c r="J52" s="481"/>
      <c r="K52" s="481"/>
    </row>
    <row r="53" spans="1:11" ht="12.75" customHeight="1" x14ac:dyDescent="0.25">
      <c r="A53" s="480"/>
      <c r="B53" s="121"/>
      <c r="C53" s="121"/>
      <c r="D53" s="481"/>
      <c r="E53" s="481"/>
      <c r="F53" s="481"/>
      <c r="G53" s="481"/>
      <c r="H53" s="481"/>
      <c r="I53" s="481"/>
      <c r="J53" s="481"/>
      <c r="K53" s="481"/>
    </row>
    <row r="54" spans="1:11" ht="12.75" customHeight="1" x14ac:dyDescent="0.25">
      <c r="A54" s="480"/>
      <c r="B54" s="121"/>
      <c r="C54" s="121"/>
      <c r="D54" s="481"/>
      <c r="E54" s="481"/>
      <c r="F54" s="481"/>
      <c r="G54" s="481"/>
      <c r="H54" s="481"/>
      <c r="I54" s="481"/>
      <c r="J54" s="481"/>
      <c r="K54" s="481"/>
    </row>
    <row r="55" spans="1:11" ht="12.75" customHeight="1" x14ac:dyDescent="0.25">
      <c r="A55" s="480"/>
      <c r="B55" s="121"/>
      <c r="C55" s="121"/>
      <c r="D55" s="481"/>
      <c r="E55" s="481"/>
      <c r="F55" s="481"/>
      <c r="G55" s="481"/>
      <c r="H55" s="481"/>
      <c r="I55" s="481"/>
      <c r="J55" s="481"/>
      <c r="K55" s="481"/>
    </row>
    <row r="56" spans="1:11" ht="12.75" customHeight="1" x14ac:dyDescent="0.25">
      <c r="A56" s="480"/>
      <c r="B56" s="799"/>
      <c r="C56" s="121"/>
      <c r="D56" s="481"/>
      <c r="E56" s="481"/>
      <c r="F56" s="481"/>
      <c r="G56" s="481"/>
      <c r="H56" s="481"/>
      <c r="I56" s="481"/>
      <c r="J56" s="481"/>
      <c r="K56" s="481"/>
    </row>
    <row r="57" spans="1:11" ht="12.75" customHeight="1" x14ac:dyDescent="0.25">
      <c r="A57" s="478"/>
      <c r="B57" s="121"/>
      <c r="C57" s="121"/>
      <c r="D57" s="481"/>
      <c r="E57" s="481"/>
      <c r="F57" s="481"/>
      <c r="G57" s="481"/>
      <c r="H57" s="481"/>
      <c r="I57" s="481"/>
      <c r="J57" s="481"/>
      <c r="K57" s="481"/>
    </row>
    <row r="58" spans="1:11" ht="12.75" customHeight="1" x14ac:dyDescent="0.25">
      <c r="A58" s="478"/>
      <c r="B58" s="121"/>
      <c r="C58" s="121"/>
      <c r="D58" s="481"/>
      <c r="E58" s="481"/>
      <c r="F58" s="481"/>
      <c r="G58" s="481"/>
      <c r="H58" s="481"/>
      <c r="I58" s="481"/>
      <c r="J58" s="481"/>
      <c r="K58" s="481"/>
    </row>
    <row r="59" spans="1:11" ht="12.75" customHeight="1" x14ac:dyDescent="0.25">
      <c r="A59" s="478"/>
      <c r="B59" s="121"/>
      <c r="C59" s="482"/>
      <c r="D59" s="481"/>
      <c r="E59" s="481"/>
      <c r="F59" s="481"/>
      <c r="G59" s="481"/>
      <c r="H59" s="481"/>
      <c r="I59" s="481"/>
      <c r="J59" s="481"/>
      <c r="K59" s="481"/>
    </row>
    <row r="60" spans="1:11" ht="12.75" customHeight="1" x14ac:dyDescent="0.25">
      <c r="A60" s="478"/>
      <c r="B60" s="121"/>
      <c r="C60" s="482"/>
      <c r="D60" s="481"/>
      <c r="E60" s="481"/>
      <c r="F60" s="481"/>
      <c r="G60" s="481"/>
      <c r="H60" s="481"/>
      <c r="I60" s="481"/>
      <c r="J60" s="481"/>
      <c r="K60" s="481"/>
    </row>
    <row r="61" spans="1:11" ht="12.75" customHeight="1" x14ac:dyDescent="0.25">
      <c r="A61" s="478"/>
      <c r="B61" s="121"/>
      <c r="C61" s="121"/>
      <c r="D61" s="121"/>
      <c r="E61" s="121"/>
      <c r="F61" s="84"/>
      <c r="G61" s="84"/>
      <c r="H61" s="84"/>
      <c r="I61" s="84"/>
      <c r="J61" s="84"/>
      <c r="K61" s="84"/>
    </row>
    <row r="62" spans="1:11" ht="12.75" customHeight="1" x14ac:dyDescent="0.25">
      <c r="A62" s="483"/>
      <c r="B62" s="121"/>
      <c r="C62" s="121"/>
      <c r="D62" s="121"/>
      <c r="E62" s="121"/>
      <c r="F62" s="84"/>
      <c r="G62" s="84"/>
      <c r="H62" s="84"/>
      <c r="I62" s="84"/>
      <c r="J62" s="84"/>
      <c r="K62" s="84"/>
    </row>
    <row r="63" spans="1:11" ht="12.75" customHeight="1" x14ac:dyDescent="0.25">
      <c r="A63" s="478"/>
      <c r="B63" s="121"/>
      <c r="C63" s="121"/>
      <c r="D63" s="350"/>
      <c r="E63" s="350"/>
      <c r="F63" s="350"/>
      <c r="G63" s="350"/>
      <c r="H63" s="350"/>
      <c r="I63" s="350"/>
      <c r="J63" s="350"/>
      <c r="K63" s="350"/>
    </row>
    <row r="64" spans="1:11" ht="12.75" customHeight="1" x14ac:dyDescent="0.25">
      <c r="A64" s="478"/>
      <c r="B64" s="121"/>
      <c r="C64" s="121"/>
      <c r="D64" s="350"/>
      <c r="E64" s="350"/>
      <c r="F64" s="350"/>
      <c r="G64" s="350"/>
      <c r="H64" s="350"/>
      <c r="I64" s="350"/>
      <c r="J64" s="350"/>
      <c r="K64" s="350"/>
    </row>
    <row r="65" spans="1:11" ht="12.75" customHeight="1" x14ac:dyDescent="0.25">
      <c r="A65" s="478"/>
      <c r="B65" s="121"/>
      <c r="C65" s="121"/>
      <c r="D65" s="481"/>
      <c r="E65" s="481"/>
      <c r="F65" s="481"/>
      <c r="G65" s="481"/>
      <c r="H65" s="481"/>
      <c r="I65" s="481"/>
      <c r="J65" s="481"/>
      <c r="K65" s="481"/>
    </row>
    <row r="66" spans="1:11" ht="12.75" customHeight="1" x14ac:dyDescent="0.25">
      <c r="A66" s="478"/>
      <c r="B66" s="121"/>
      <c r="C66" s="121"/>
      <c r="D66" s="481"/>
      <c r="E66" s="481"/>
      <c r="F66" s="481"/>
      <c r="G66" s="481"/>
      <c r="H66" s="481"/>
      <c r="I66" s="481"/>
      <c r="J66" s="481"/>
      <c r="K66" s="481"/>
    </row>
    <row r="67" spans="1:11" ht="12.75" customHeight="1" x14ac:dyDescent="0.25">
      <c r="A67" s="478"/>
      <c r="B67" s="121"/>
      <c r="C67" s="121"/>
      <c r="D67" s="481"/>
      <c r="E67" s="481"/>
      <c r="F67" s="481"/>
      <c r="G67" s="481"/>
      <c r="H67" s="481"/>
      <c r="I67" s="481"/>
      <c r="J67" s="481"/>
      <c r="K67" s="481"/>
    </row>
    <row r="68" spans="1:11" ht="12.75" customHeight="1" x14ac:dyDescent="0.25">
      <c r="A68" s="478"/>
      <c r="B68" s="121"/>
      <c r="C68" s="121"/>
      <c r="D68" s="481"/>
      <c r="E68" s="481"/>
      <c r="F68" s="481"/>
      <c r="G68" s="481"/>
      <c r="H68" s="481"/>
      <c r="I68" s="481"/>
      <c r="J68" s="481"/>
      <c r="K68" s="481"/>
    </row>
    <row r="69" spans="1:11" ht="12.75" customHeight="1" x14ac:dyDescent="0.25">
      <c r="A69" s="478"/>
      <c r="B69" s="121"/>
      <c r="C69" s="121"/>
      <c r="D69" s="481"/>
      <c r="E69" s="481"/>
      <c r="F69" s="481"/>
      <c r="G69" s="481"/>
      <c r="H69" s="481"/>
      <c r="I69" s="481"/>
      <c r="J69" s="481"/>
      <c r="K69" s="481"/>
    </row>
    <row r="70" spans="1:11" ht="12.75" customHeight="1" x14ac:dyDescent="0.25">
      <c r="A70" s="478"/>
      <c r="B70" s="121"/>
      <c r="C70" s="121"/>
      <c r="D70" s="481"/>
      <c r="E70" s="481"/>
      <c r="F70" s="481"/>
      <c r="G70" s="481"/>
      <c r="H70" s="481"/>
      <c r="I70" s="481"/>
      <c r="J70" s="481"/>
      <c r="K70" s="481"/>
    </row>
    <row r="71" spans="1:11" ht="12.75" customHeight="1" x14ac:dyDescent="0.25">
      <c r="A71" s="478" t="s">
        <v>152</v>
      </c>
      <c r="B71" s="121"/>
      <c r="C71" s="121"/>
      <c r="D71" s="481"/>
      <c r="E71" s="481"/>
      <c r="F71" s="481"/>
      <c r="G71" s="481"/>
      <c r="H71" s="481"/>
      <c r="I71" s="481"/>
      <c r="J71" s="481"/>
      <c r="K71" s="481"/>
    </row>
    <row r="72" spans="1:11" ht="12.75" customHeight="1" x14ac:dyDescent="0.25">
      <c r="A72" s="478"/>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H14" sqref="H14"/>
    </sheetView>
  </sheetViews>
  <sheetFormatPr defaultRowHeight="12.75" x14ac:dyDescent="0.25"/>
  <cols>
    <col min="1" max="1" width="35.7109375" style="5" customWidth="1"/>
    <col min="2" max="2" width="3.28515625" style="58" customWidth="1"/>
    <col min="3" max="11" width="8.710937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"&amp;ADJB7&amp;" - "&amp;Date</f>
        <v>LIM354 Polokwane - Supporting Table SB7 Adjustments Budget - transfers and grant receipts - 25 February 2016</v>
      </c>
      <c r="B1" s="5"/>
      <c r="C1" s="58"/>
    </row>
    <row r="2" spans="1:11" ht="38.25" x14ac:dyDescent="0.25">
      <c r="A2" s="1318" t="str">
        <f>desc</f>
        <v>Description</v>
      </c>
      <c r="B2" s="1318" t="str">
        <f>head27</f>
        <v>Ref</v>
      </c>
      <c r="C2" s="1315" t="str">
        <f>Head2</f>
        <v>Budget Year 2015/16</v>
      </c>
      <c r="D2" s="1316"/>
      <c r="E2" s="1316"/>
      <c r="F2" s="1316"/>
      <c r="G2" s="1316"/>
      <c r="H2" s="1316"/>
      <c r="I2" s="1316"/>
      <c r="J2" s="103" t="str">
        <f>Head10</f>
        <v>Budget Year +1 2016/17</v>
      </c>
      <c r="K2" s="61" t="str">
        <f>Head11</f>
        <v>Budget Year +2 2017/18</v>
      </c>
    </row>
    <row r="3" spans="1:11" ht="25.5" x14ac:dyDescent="0.25">
      <c r="A3" s="1319"/>
      <c r="B3" s="1319"/>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319"/>
      <c r="B4" s="1319"/>
      <c r="C4" s="14"/>
      <c r="D4" s="15">
        <v>7</v>
      </c>
      <c r="E4" s="15">
        <v>8</v>
      </c>
      <c r="F4" s="15">
        <v>9</v>
      </c>
      <c r="G4" s="15">
        <v>10</v>
      </c>
      <c r="H4" s="15">
        <v>11</v>
      </c>
      <c r="I4" s="15">
        <v>12</v>
      </c>
      <c r="J4" s="15"/>
      <c r="K4" s="17"/>
    </row>
    <row r="5" spans="1:11" x14ac:dyDescent="0.25">
      <c r="A5" s="66" t="s">
        <v>641</v>
      </c>
      <c r="B5" s="104"/>
      <c r="C5" s="484" t="s">
        <v>581</v>
      </c>
      <c r="D5" s="68" t="s">
        <v>582</v>
      </c>
      <c r="E5" s="69" t="s">
        <v>583</v>
      </c>
      <c r="F5" s="69" t="s">
        <v>584</v>
      </c>
      <c r="G5" s="70" t="s">
        <v>585</v>
      </c>
      <c r="H5" s="70" t="s">
        <v>586</v>
      </c>
      <c r="I5" s="70" t="s">
        <v>587</v>
      </c>
      <c r="J5" s="70"/>
      <c r="K5" s="71"/>
    </row>
    <row r="6" spans="1:11" ht="12.75" customHeight="1" x14ac:dyDescent="0.25">
      <c r="A6" s="139" t="s">
        <v>153</v>
      </c>
      <c r="B6" s="73" t="s">
        <v>154</v>
      </c>
      <c r="C6" s="241"/>
      <c r="D6" s="75"/>
      <c r="E6" s="75"/>
      <c r="F6" s="75"/>
      <c r="G6" s="75"/>
      <c r="H6" s="75"/>
      <c r="I6" s="75"/>
      <c r="J6" s="75"/>
      <c r="K6" s="76"/>
    </row>
    <row r="7" spans="1:11" ht="5.0999999999999996" customHeight="1" x14ac:dyDescent="0.25">
      <c r="A7" s="126"/>
      <c r="B7" s="73"/>
      <c r="C7" s="241"/>
      <c r="D7" s="75"/>
      <c r="E7" s="75"/>
      <c r="F7" s="75"/>
      <c r="G7" s="75"/>
      <c r="H7" s="75"/>
      <c r="I7" s="75"/>
      <c r="J7" s="75"/>
      <c r="K7" s="76"/>
    </row>
    <row r="8" spans="1:11" ht="12.75" customHeight="1" x14ac:dyDescent="0.25">
      <c r="A8" s="495" t="s">
        <v>1256</v>
      </c>
      <c r="B8" s="73"/>
      <c r="C8" s="241"/>
      <c r="D8" s="75"/>
      <c r="E8" s="75"/>
      <c r="F8" s="75"/>
      <c r="G8" s="75"/>
      <c r="H8" s="75"/>
      <c r="I8" s="75"/>
      <c r="J8" s="75"/>
      <c r="K8" s="76"/>
    </row>
    <row r="9" spans="1:11" ht="12.75" customHeight="1" x14ac:dyDescent="0.25">
      <c r="A9" s="139" t="s">
        <v>155</v>
      </c>
      <c r="B9" s="73"/>
      <c r="C9" s="485">
        <f>SUM(C10:C19)</f>
        <v>678860000</v>
      </c>
      <c r="D9" s="141">
        <f t="shared" ref="D9:K9" si="0">SUM(D10:D19)</f>
        <v>0</v>
      </c>
      <c r="E9" s="141">
        <f t="shared" si="0"/>
        <v>0</v>
      </c>
      <c r="F9" s="141">
        <f t="shared" si="0"/>
        <v>0</v>
      </c>
      <c r="G9" s="141">
        <f t="shared" si="0"/>
        <v>0</v>
      </c>
      <c r="H9" s="141">
        <f t="shared" si="0"/>
        <v>0</v>
      </c>
      <c r="I9" s="141">
        <f t="shared" si="0"/>
        <v>678860000</v>
      </c>
      <c r="J9" s="141">
        <f t="shared" si="0"/>
        <v>639093000</v>
      </c>
      <c r="K9" s="142">
        <f t="shared" si="0"/>
        <v>690702050</v>
      </c>
    </row>
    <row r="10" spans="1:11" ht="12.75" customHeight="1" x14ac:dyDescent="0.25">
      <c r="A10" s="108" t="s">
        <v>1448</v>
      </c>
      <c r="B10" s="73"/>
      <c r="C10" s="487">
        <v>522595000</v>
      </c>
      <c r="D10" s="488"/>
      <c r="E10" s="488"/>
      <c r="F10" s="488"/>
      <c r="G10" s="488"/>
      <c r="H10" s="489">
        <f t="shared" ref="H10:H15" si="1">SUM(E10:G10)</f>
        <v>0</v>
      </c>
      <c r="I10" s="489">
        <f t="shared" ref="I10:I15" si="2">IF(D10=0,C10+H10,D10+H10)</f>
        <v>522595000</v>
      </c>
      <c r="J10" s="488">
        <v>568208000</v>
      </c>
      <c r="K10" s="490">
        <v>616043000</v>
      </c>
    </row>
    <row r="11" spans="1:11" ht="12.75" customHeight="1" x14ac:dyDescent="0.25">
      <c r="A11" s="486" t="s">
        <v>1457</v>
      </c>
      <c r="B11" s="73">
        <v>3</v>
      </c>
      <c r="C11" s="391">
        <v>2660000</v>
      </c>
      <c r="D11" s="109"/>
      <c r="E11" s="109"/>
      <c r="F11" s="109"/>
      <c r="G11" s="109"/>
      <c r="H11" s="75">
        <f t="shared" si="1"/>
        <v>0</v>
      </c>
      <c r="I11" s="75">
        <f t="shared" si="2"/>
        <v>2660000</v>
      </c>
      <c r="J11" s="109"/>
      <c r="K11" s="110"/>
    </row>
    <row r="12" spans="1:11" ht="12.75" customHeight="1" x14ac:dyDescent="0.25">
      <c r="A12" s="486" t="s">
        <v>1453</v>
      </c>
      <c r="B12" s="73"/>
      <c r="C12" s="391">
        <v>40000000</v>
      </c>
      <c r="D12" s="109"/>
      <c r="E12" s="109"/>
      <c r="F12" s="109"/>
      <c r="G12" s="109"/>
      <c r="H12" s="75">
        <f t="shared" si="1"/>
        <v>0</v>
      </c>
      <c r="I12" s="75">
        <f t="shared" si="2"/>
        <v>40000000</v>
      </c>
      <c r="J12" s="109"/>
      <c r="K12" s="110"/>
    </row>
    <row r="13" spans="1:11" ht="12.75" customHeight="1" x14ac:dyDescent="0.25">
      <c r="A13" s="486" t="s">
        <v>1450</v>
      </c>
      <c r="B13" s="73"/>
      <c r="C13" s="391">
        <v>1875000</v>
      </c>
      <c r="D13" s="109"/>
      <c r="E13" s="109"/>
      <c r="F13" s="109"/>
      <c r="G13" s="109"/>
      <c r="H13" s="75">
        <f t="shared" si="1"/>
        <v>0</v>
      </c>
      <c r="I13" s="75">
        <f t="shared" si="2"/>
        <v>1875000</v>
      </c>
      <c r="J13" s="109">
        <v>2010000</v>
      </c>
      <c r="K13" s="110">
        <v>2345000</v>
      </c>
    </row>
    <row r="14" spans="1:11" ht="12.75" customHeight="1" x14ac:dyDescent="0.25">
      <c r="A14" s="486" t="s">
        <v>1460</v>
      </c>
      <c r="B14" s="73"/>
      <c r="C14" s="391">
        <v>42800000</v>
      </c>
      <c r="D14" s="109"/>
      <c r="E14" s="109"/>
      <c r="F14" s="109"/>
      <c r="G14" s="109"/>
      <c r="H14" s="75">
        <f t="shared" si="1"/>
        <v>0</v>
      </c>
      <c r="I14" s="75">
        <f t="shared" si="2"/>
        <v>42800000</v>
      </c>
      <c r="J14" s="109">
        <v>46148000</v>
      </c>
      <c r="K14" s="110">
        <v>48520000</v>
      </c>
    </row>
    <row r="15" spans="1:11" ht="12.75" customHeight="1" x14ac:dyDescent="0.25">
      <c r="A15" s="486" t="s">
        <v>1461</v>
      </c>
      <c r="B15" s="73"/>
      <c r="C15" s="391">
        <v>11000000</v>
      </c>
      <c r="D15" s="109"/>
      <c r="E15" s="109"/>
      <c r="F15" s="109"/>
      <c r="G15" s="109"/>
      <c r="H15" s="75">
        <f t="shared" si="1"/>
        <v>0</v>
      </c>
      <c r="I15" s="75">
        <f t="shared" si="2"/>
        <v>11000000</v>
      </c>
      <c r="J15" s="109">
        <v>11770000</v>
      </c>
      <c r="K15" s="110">
        <v>12535050</v>
      </c>
    </row>
    <row r="16" spans="1:11" ht="12.75" customHeight="1" x14ac:dyDescent="0.25">
      <c r="A16" s="486" t="s">
        <v>1845</v>
      </c>
      <c r="B16" s="73"/>
      <c r="C16" s="391">
        <v>5000000</v>
      </c>
      <c r="D16" s="1279"/>
      <c r="E16" s="1279"/>
      <c r="F16" s="1279"/>
      <c r="G16" s="1279"/>
      <c r="H16" s="75">
        <f>SUM(E16:G16)</f>
        <v>0</v>
      </c>
      <c r="I16" s="75">
        <f>IF(D16=0,C16+H16,D16+H16)</f>
        <v>5000000</v>
      </c>
      <c r="J16" s="1279">
        <v>5000000</v>
      </c>
      <c r="K16" s="110">
        <v>5113000</v>
      </c>
    </row>
    <row r="17" spans="1:11" ht="12.75" customHeight="1" x14ac:dyDescent="0.25">
      <c r="A17" s="486" t="s">
        <v>2077</v>
      </c>
      <c r="B17" s="73"/>
      <c r="C17" s="391">
        <v>52000000</v>
      </c>
      <c r="D17" s="1279"/>
      <c r="E17" s="1279"/>
      <c r="F17" s="1279"/>
      <c r="G17" s="1279">
        <v>0</v>
      </c>
      <c r="H17" s="75">
        <f>SUM(E17:G17)</f>
        <v>0</v>
      </c>
      <c r="I17" s="75">
        <f>IF(D17=0,C17+H17,D17+H17)</f>
        <v>52000000</v>
      </c>
      <c r="J17" s="1279"/>
      <c r="K17" s="110"/>
    </row>
    <row r="18" spans="1:11" ht="12.75" customHeight="1" x14ac:dyDescent="0.25">
      <c r="A18" s="486" t="s">
        <v>1847</v>
      </c>
      <c r="B18" s="73"/>
      <c r="C18" s="391">
        <v>930000</v>
      </c>
      <c r="D18" s="1279"/>
      <c r="E18" s="1279"/>
      <c r="F18" s="1279"/>
      <c r="G18" s="1279"/>
      <c r="H18" s="75">
        <f>SUM(E18:G18)</f>
        <v>0</v>
      </c>
      <c r="I18" s="75">
        <f>IF(D18=0,C18+H18,D18+H18)</f>
        <v>930000</v>
      </c>
      <c r="J18" s="1279">
        <v>957000</v>
      </c>
      <c r="K18" s="110">
        <v>1033000</v>
      </c>
    </row>
    <row r="19" spans="1:11" ht="12.75" customHeight="1" x14ac:dyDescent="0.25">
      <c r="A19" s="486" t="s">
        <v>1845</v>
      </c>
      <c r="B19" s="73"/>
      <c r="C19" s="491"/>
      <c r="D19" s="144"/>
      <c r="E19" s="144"/>
      <c r="F19" s="144"/>
      <c r="G19" s="144"/>
      <c r="H19" s="75">
        <f>SUM(E19:G19)</f>
        <v>0</v>
      </c>
      <c r="I19" s="75">
        <f>IF(D19=0,C19+H19,D19+H19)</f>
        <v>0</v>
      </c>
      <c r="J19" s="144">
        <v>5000000</v>
      </c>
      <c r="K19" s="113">
        <v>5113000</v>
      </c>
    </row>
    <row r="20" spans="1:11" ht="12.75" customHeight="1" x14ac:dyDescent="0.25">
      <c r="A20" s="139" t="s">
        <v>157</v>
      </c>
      <c r="B20" s="73"/>
      <c r="C20" s="485">
        <f t="shared" ref="C20:K20" si="3">SUM(C21:C25)</f>
        <v>0</v>
      </c>
      <c r="D20" s="141">
        <f t="shared" si="3"/>
        <v>0</v>
      </c>
      <c r="E20" s="141">
        <f t="shared" si="3"/>
        <v>0</v>
      </c>
      <c r="F20" s="141">
        <f t="shared" si="3"/>
        <v>0</v>
      </c>
      <c r="G20" s="141">
        <f t="shared" si="3"/>
        <v>0</v>
      </c>
      <c r="H20" s="141">
        <f t="shared" si="3"/>
        <v>0</v>
      </c>
      <c r="I20" s="141">
        <f t="shared" si="3"/>
        <v>0</v>
      </c>
      <c r="J20" s="141">
        <f t="shared" si="3"/>
        <v>0</v>
      </c>
      <c r="K20" s="142">
        <f t="shared" si="3"/>
        <v>0</v>
      </c>
    </row>
    <row r="21" spans="1:11" ht="12.75" customHeight="1" x14ac:dyDescent="0.25">
      <c r="A21" s="486" t="s">
        <v>1846</v>
      </c>
      <c r="B21" s="73"/>
      <c r="C21" s="487"/>
      <c r="D21" s="492"/>
      <c r="E21" s="488"/>
      <c r="F21" s="488"/>
      <c r="G21" s="488"/>
      <c r="H21" s="489">
        <f>SUM(E21:G21)</f>
        <v>0</v>
      </c>
      <c r="I21" s="489">
        <f>IF(D21=0,C21+H21,D21+H21)</f>
        <v>0</v>
      </c>
      <c r="J21" s="488"/>
      <c r="K21" s="490"/>
    </row>
    <row r="22" spans="1:11" ht="12.75" customHeight="1" x14ac:dyDescent="0.25">
      <c r="A22" s="486" t="s">
        <v>1847</v>
      </c>
      <c r="B22" s="73"/>
      <c r="C22" s="391"/>
      <c r="D22" s="130"/>
      <c r="E22" s="109"/>
      <c r="F22" s="109"/>
      <c r="G22" s="109"/>
      <c r="H22" s="75">
        <f>SUM(E22:G22)</f>
        <v>0</v>
      </c>
      <c r="I22" s="75">
        <f>IF(D22=0,C22+H22,D22+H22)</f>
        <v>0</v>
      </c>
      <c r="J22" s="109"/>
      <c r="K22" s="110"/>
    </row>
    <row r="23" spans="1:11" ht="12.75" customHeight="1" x14ac:dyDescent="0.25">
      <c r="A23" s="486"/>
      <c r="B23" s="73">
        <v>4</v>
      </c>
      <c r="C23" s="391"/>
      <c r="D23" s="130"/>
      <c r="E23" s="109"/>
      <c r="F23" s="109"/>
      <c r="G23" s="109"/>
      <c r="H23" s="75">
        <f>SUM(E23:G23)</f>
        <v>0</v>
      </c>
      <c r="I23" s="75">
        <f>IF(D23=0,C23+H23,D23+H23)</f>
        <v>0</v>
      </c>
      <c r="J23" s="109"/>
      <c r="K23" s="110"/>
    </row>
    <row r="24" spans="1:11" ht="12.75" customHeight="1" x14ac:dyDescent="0.25">
      <c r="A24" s="486"/>
      <c r="B24" s="73"/>
      <c r="C24" s="391"/>
      <c r="D24" s="130"/>
      <c r="E24" s="109"/>
      <c r="F24" s="109"/>
      <c r="G24" s="109"/>
      <c r="H24" s="75">
        <f>SUM(E24:G24)</f>
        <v>0</v>
      </c>
      <c r="I24" s="75">
        <f>IF(D24=0,C24+H24,D24+H24)</f>
        <v>0</v>
      </c>
      <c r="J24" s="109"/>
      <c r="K24" s="110"/>
    </row>
    <row r="25" spans="1:11" ht="12.75" customHeight="1" x14ac:dyDescent="0.25">
      <c r="A25" s="486" t="s">
        <v>156</v>
      </c>
      <c r="B25" s="73">
        <v>5</v>
      </c>
      <c r="C25" s="491"/>
      <c r="D25" s="143"/>
      <c r="E25" s="144"/>
      <c r="F25" s="144"/>
      <c r="G25" s="144"/>
      <c r="H25" s="145">
        <f>SUM(E25:G25)</f>
        <v>0</v>
      </c>
      <c r="I25" s="145">
        <f>IF(D25=0,C25+H25,D25+H25)</f>
        <v>0</v>
      </c>
      <c r="J25" s="144"/>
      <c r="K25" s="113"/>
    </row>
    <row r="26" spans="1:11" ht="12.75" customHeight="1" x14ac:dyDescent="0.25">
      <c r="A26" s="139" t="s">
        <v>158</v>
      </c>
      <c r="B26" s="73"/>
      <c r="C26" s="485">
        <f t="shared" ref="C26:K26" si="4">SUM(C27:C28)</f>
        <v>0</v>
      </c>
      <c r="D26" s="141">
        <f t="shared" si="4"/>
        <v>0</v>
      </c>
      <c r="E26" s="141">
        <f t="shared" si="4"/>
        <v>0</v>
      </c>
      <c r="F26" s="141">
        <f t="shared" si="4"/>
        <v>0</v>
      </c>
      <c r="G26" s="141">
        <f t="shared" si="4"/>
        <v>0</v>
      </c>
      <c r="H26" s="141">
        <f t="shared" si="4"/>
        <v>0</v>
      </c>
      <c r="I26" s="141">
        <f t="shared" si="4"/>
        <v>0</v>
      </c>
      <c r="J26" s="141">
        <f t="shared" si="4"/>
        <v>0</v>
      </c>
      <c r="K26" s="142">
        <f t="shared" si="4"/>
        <v>0</v>
      </c>
    </row>
    <row r="27" spans="1:11" ht="12.75" customHeight="1" x14ac:dyDescent="0.25">
      <c r="A27" s="295" t="s">
        <v>159</v>
      </c>
      <c r="B27" s="73"/>
      <c r="C27" s="487"/>
      <c r="D27" s="488"/>
      <c r="E27" s="488"/>
      <c r="F27" s="488"/>
      <c r="G27" s="488"/>
      <c r="H27" s="489">
        <f>SUM(E27:G27)</f>
        <v>0</v>
      </c>
      <c r="I27" s="489">
        <f>IF(D27=0,C27+H27,D27+H27)</f>
        <v>0</v>
      </c>
      <c r="J27" s="488"/>
      <c r="K27" s="490"/>
    </row>
    <row r="28" spans="1:11" ht="12.75" customHeight="1" x14ac:dyDescent="0.25">
      <c r="A28" s="295"/>
      <c r="B28" s="73"/>
      <c r="C28" s="491"/>
      <c r="D28" s="144"/>
      <c r="E28" s="144"/>
      <c r="F28" s="144"/>
      <c r="G28" s="144"/>
      <c r="H28" s="145">
        <f>SUM(E28:G28)</f>
        <v>0</v>
      </c>
      <c r="I28" s="145">
        <f>IF(D28=0,C28+H28,D28+H28)</f>
        <v>0</v>
      </c>
      <c r="J28" s="144"/>
      <c r="K28" s="113"/>
    </row>
    <row r="29" spans="1:11" ht="12.75" customHeight="1" x14ac:dyDescent="0.25">
      <c r="A29" s="139" t="s">
        <v>160</v>
      </c>
      <c r="B29" s="73"/>
      <c r="C29" s="241">
        <f t="shared" ref="C29:K29" si="5">SUM(C30:C31)</f>
        <v>0</v>
      </c>
      <c r="D29" s="75">
        <f t="shared" si="5"/>
        <v>0</v>
      </c>
      <c r="E29" s="75">
        <f t="shared" si="5"/>
        <v>0</v>
      </c>
      <c r="F29" s="75">
        <f t="shared" si="5"/>
        <v>0</v>
      </c>
      <c r="G29" s="75">
        <f t="shared" si="5"/>
        <v>0</v>
      </c>
      <c r="H29" s="75">
        <f t="shared" si="5"/>
        <v>0</v>
      </c>
      <c r="I29" s="75">
        <f t="shared" si="5"/>
        <v>0</v>
      </c>
      <c r="J29" s="75">
        <f>SUM(J30:J31)</f>
        <v>0</v>
      </c>
      <c r="K29" s="76">
        <f t="shared" si="5"/>
        <v>0</v>
      </c>
    </row>
    <row r="30" spans="1:11" ht="12.75" customHeight="1" x14ac:dyDescent="0.25">
      <c r="A30" s="295" t="s">
        <v>159</v>
      </c>
      <c r="B30" s="73"/>
      <c r="C30" s="487"/>
      <c r="D30" s="488"/>
      <c r="E30" s="488"/>
      <c r="F30" s="488"/>
      <c r="G30" s="488"/>
      <c r="H30" s="489">
        <f>SUM(E30:G30)</f>
        <v>0</v>
      </c>
      <c r="I30" s="489">
        <f>IF(D30=0,C30+H30,D30+H30)</f>
        <v>0</v>
      </c>
      <c r="J30" s="488"/>
      <c r="K30" s="490"/>
    </row>
    <row r="31" spans="1:11" ht="12.75" customHeight="1" x14ac:dyDescent="0.25">
      <c r="A31" s="295"/>
      <c r="B31" s="73"/>
      <c r="C31" s="491"/>
      <c r="D31" s="144"/>
      <c r="E31" s="144"/>
      <c r="F31" s="144"/>
      <c r="G31" s="144"/>
      <c r="H31" s="145">
        <f>SUM(E31:G31)</f>
        <v>0</v>
      </c>
      <c r="I31" s="145">
        <f>IF(D31=0,C31+H31,D31+H31)</f>
        <v>0</v>
      </c>
      <c r="J31" s="144"/>
      <c r="K31" s="113"/>
    </row>
    <row r="32" spans="1:11" ht="12.75" customHeight="1" x14ac:dyDescent="0.25">
      <c r="A32" s="493" t="s">
        <v>1257</v>
      </c>
      <c r="B32" s="79">
        <v>6</v>
      </c>
      <c r="C32" s="494">
        <f t="shared" ref="C32:K32" si="6">C9+C20+C26+C29</f>
        <v>678860000</v>
      </c>
      <c r="D32" s="81">
        <f t="shared" si="6"/>
        <v>0</v>
      </c>
      <c r="E32" s="81">
        <f t="shared" si="6"/>
        <v>0</v>
      </c>
      <c r="F32" s="81">
        <f t="shared" si="6"/>
        <v>0</v>
      </c>
      <c r="G32" s="81">
        <f t="shared" si="6"/>
        <v>0</v>
      </c>
      <c r="H32" s="81">
        <f t="shared" si="6"/>
        <v>0</v>
      </c>
      <c r="I32" s="81">
        <f>I9+I20+I26+I29</f>
        <v>678860000</v>
      </c>
      <c r="J32" s="81">
        <f t="shared" si="6"/>
        <v>639093000</v>
      </c>
      <c r="K32" s="82">
        <f t="shared" si="6"/>
        <v>690702050</v>
      </c>
    </row>
    <row r="33" spans="1:13" ht="5.0999999999999996" customHeight="1" x14ac:dyDescent="0.25">
      <c r="A33" s="136"/>
      <c r="B33" s="73"/>
      <c r="C33" s="241"/>
      <c r="D33" s="75"/>
      <c r="E33" s="75"/>
      <c r="F33" s="75"/>
      <c r="G33" s="75"/>
      <c r="H33" s="75"/>
      <c r="I33" s="75"/>
      <c r="J33" s="75"/>
      <c r="K33" s="76"/>
    </row>
    <row r="34" spans="1:13" ht="12.75" customHeight="1" x14ac:dyDescent="0.25">
      <c r="A34" s="495" t="s">
        <v>1258</v>
      </c>
      <c r="B34" s="73"/>
      <c r="C34" s="241"/>
      <c r="D34" s="75"/>
      <c r="E34" s="75"/>
      <c r="F34" s="75"/>
      <c r="G34" s="75"/>
      <c r="H34" s="75"/>
      <c r="I34" s="75"/>
      <c r="J34" s="75"/>
      <c r="K34" s="76"/>
    </row>
    <row r="35" spans="1:13" ht="12.75" customHeight="1" x14ac:dyDescent="0.25">
      <c r="A35" s="139" t="str">
        <f>A9</f>
        <v>National Government:</v>
      </c>
      <c r="B35" s="73"/>
      <c r="C35" s="485">
        <f t="shared" ref="C35:K35" si="7">SUM(C36:C41)</f>
        <v>466288000</v>
      </c>
      <c r="D35" s="141">
        <f t="shared" si="7"/>
        <v>0</v>
      </c>
      <c r="E35" s="141">
        <f t="shared" si="7"/>
        <v>0</v>
      </c>
      <c r="F35" s="141">
        <f t="shared" si="7"/>
        <v>42808657</v>
      </c>
      <c r="G35" s="141">
        <f t="shared" si="7"/>
        <v>-38243000</v>
      </c>
      <c r="H35" s="141">
        <f t="shared" si="7"/>
        <v>4565657</v>
      </c>
      <c r="I35" s="141">
        <f t="shared" si="7"/>
        <v>470853657</v>
      </c>
      <c r="J35" s="141">
        <f t="shared" si="7"/>
        <v>453198000</v>
      </c>
      <c r="K35" s="142">
        <f t="shared" si="7"/>
        <v>437607950</v>
      </c>
    </row>
    <row r="36" spans="1:13" ht="12.75" customHeight="1" x14ac:dyDescent="0.25">
      <c r="A36" s="486" t="s">
        <v>1460</v>
      </c>
      <c r="B36" s="73"/>
      <c r="C36" s="487">
        <v>271243000</v>
      </c>
      <c r="D36" s="488"/>
      <c r="E36" s="488"/>
      <c r="F36" s="488">
        <v>3568789</v>
      </c>
      <c r="G36" s="488">
        <v>-38243000</v>
      </c>
      <c r="H36" s="489">
        <f t="shared" ref="H36:H41" si="8">SUM(E36:G36)</f>
        <v>-34674211</v>
      </c>
      <c r="I36" s="489">
        <f t="shared" ref="I36:I41" si="9">IF(D36=0,C36+H36,D36+H36)</f>
        <v>236568789</v>
      </c>
      <c r="J36" s="488">
        <v>241337000</v>
      </c>
      <c r="K36" s="490">
        <v>256482000</v>
      </c>
    </row>
    <row r="37" spans="1:13" ht="12.75" customHeight="1" x14ac:dyDescent="0.25">
      <c r="A37" s="486" t="s">
        <v>1461</v>
      </c>
      <c r="B37" s="73"/>
      <c r="C37" s="391">
        <v>173189000</v>
      </c>
      <c r="D37" s="109"/>
      <c r="E37" s="109"/>
      <c r="F37" s="109">
        <v>28167868</v>
      </c>
      <c r="G37" s="109"/>
      <c r="H37" s="75">
        <f t="shared" si="8"/>
        <v>28167868</v>
      </c>
      <c r="I37" s="75">
        <f t="shared" si="9"/>
        <v>201356868</v>
      </c>
      <c r="J37" s="109">
        <v>159861000</v>
      </c>
      <c r="K37" s="110">
        <v>151125950</v>
      </c>
    </row>
    <row r="38" spans="1:13" ht="12.75" customHeight="1" x14ac:dyDescent="0.25">
      <c r="A38" s="486" t="s">
        <v>1465</v>
      </c>
      <c r="B38" s="73"/>
      <c r="C38" s="391">
        <v>20000000</v>
      </c>
      <c r="D38" s="109"/>
      <c r="E38" s="109"/>
      <c r="F38" s="109">
        <v>11072000</v>
      </c>
      <c r="G38" s="109"/>
      <c r="H38" s="75">
        <f t="shared" si="8"/>
        <v>11072000</v>
      </c>
      <c r="I38" s="75">
        <f t="shared" si="9"/>
        <v>31072000</v>
      </c>
      <c r="J38" s="109">
        <v>24000000</v>
      </c>
      <c r="K38" s="110">
        <v>30000000</v>
      </c>
    </row>
    <row r="39" spans="1:13" ht="12.75" customHeight="1" x14ac:dyDescent="0.25">
      <c r="A39" s="486" t="s">
        <v>1848</v>
      </c>
      <c r="B39" s="73"/>
      <c r="C39" s="391">
        <v>1856000</v>
      </c>
      <c r="D39" s="109"/>
      <c r="E39" s="109"/>
      <c r="F39" s="109"/>
      <c r="G39" s="109"/>
      <c r="H39" s="75">
        <f t="shared" si="8"/>
        <v>0</v>
      </c>
      <c r="I39" s="75">
        <f t="shared" si="9"/>
        <v>1856000</v>
      </c>
      <c r="J39" s="109"/>
      <c r="K39" s="110"/>
      <c r="M39" s="5" t="s">
        <v>1447</v>
      </c>
    </row>
    <row r="40" spans="1:13" ht="12.75" customHeight="1" x14ac:dyDescent="0.25">
      <c r="A40" s="486" t="s">
        <v>1453</v>
      </c>
      <c r="B40" s="73"/>
      <c r="C40" s="391"/>
      <c r="D40" s="109"/>
      <c r="E40" s="109"/>
      <c r="F40" s="109"/>
      <c r="G40" s="109"/>
      <c r="H40" s="75">
        <f t="shared" si="8"/>
        <v>0</v>
      </c>
      <c r="I40" s="75">
        <f t="shared" si="9"/>
        <v>0</v>
      </c>
      <c r="J40" s="109">
        <v>28000000</v>
      </c>
      <c r="K40" s="110"/>
    </row>
    <row r="41" spans="1:13" ht="12.75" customHeight="1" x14ac:dyDescent="0.25">
      <c r="A41" s="486" t="s">
        <v>161</v>
      </c>
      <c r="B41" s="73"/>
      <c r="C41" s="491"/>
      <c r="D41" s="144"/>
      <c r="E41" s="144"/>
      <c r="F41" s="144"/>
      <c r="G41" s="144"/>
      <c r="H41" s="145">
        <f t="shared" si="8"/>
        <v>0</v>
      </c>
      <c r="I41" s="145">
        <f t="shared" si="9"/>
        <v>0</v>
      </c>
      <c r="J41" s="144"/>
      <c r="K41" s="113"/>
    </row>
    <row r="42" spans="1:13" ht="12.75" customHeight="1" x14ac:dyDescent="0.25">
      <c r="A42" s="139" t="str">
        <f>A20</f>
        <v>Provincial Government:</v>
      </c>
      <c r="B42" s="73"/>
      <c r="C42" s="485">
        <f t="shared" ref="C42:K42" si="10">SUM(C43:C44)</f>
        <v>0</v>
      </c>
      <c r="D42" s="141">
        <f t="shared" si="10"/>
        <v>0</v>
      </c>
      <c r="E42" s="141">
        <f t="shared" si="10"/>
        <v>0</v>
      </c>
      <c r="F42" s="141">
        <f t="shared" si="10"/>
        <v>0</v>
      </c>
      <c r="G42" s="141">
        <f t="shared" si="10"/>
        <v>0</v>
      </c>
      <c r="H42" s="141">
        <f t="shared" si="10"/>
        <v>0</v>
      </c>
      <c r="I42" s="141">
        <f t="shared" si="10"/>
        <v>0</v>
      </c>
      <c r="J42" s="141">
        <f t="shared" si="10"/>
        <v>0</v>
      </c>
      <c r="K42" s="142">
        <f t="shared" si="10"/>
        <v>0</v>
      </c>
    </row>
    <row r="43" spans="1:13" ht="12.75" customHeight="1" x14ac:dyDescent="0.25">
      <c r="A43" s="1245" t="s">
        <v>1646</v>
      </c>
      <c r="B43" s="73"/>
      <c r="C43" s="487"/>
      <c r="D43" s="488"/>
      <c r="E43" s="488"/>
      <c r="F43" s="488"/>
      <c r="G43" s="488"/>
      <c r="H43" s="489">
        <f>SUM(E43:G43)</f>
        <v>0</v>
      </c>
      <c r="I43" s="489">
        <f>IF(D43=0,C43+H43,D43+H43)</f>
        <v>0</v>
      </c>
      <c r="J43" s="488"/>
      <c r="K43" s="490"/>
    </row>
    <row r="44" spans="1:13" ht="12.75" customHeight="1" x14ac:dyDescent="0.25">
      <c r="A44" s="486"/>
      <c r="B44" s="73"/>
      <c r="C44" s="491"/>
      <c r="D44" s="144"/>
      <c r="E44" s="144"/>
      <c r="F44" s="144"/>
      <c r="G44" s="144"/>
      <c r="H44" s="145">
        <f>SUM(E44:G44)</f>
        <v>0</v>
      </c>
      <c r="I44" s="145">
        <f>IF(D44=0,C44+H44,D44+H44)</f>
        <v>0</v>
      </c>
      <c r="J44" s="144"/>
      <c r="K44" s="113"/>
    </row>
    <row r="45" spans="1:13" ht="12.75" customHeight="1" x14ac:dyDescent="0.25">
      <c r="A45" s="139" t="str">
        <f>A26</f>
        <v>District Municipality:</v>
      </c>
      <c r="B45" s="73"/>
      <c r="C45" s="485">
        <f t="shared" ref="C45:K45" si="11">SUM(C46:C47)</f>
        <v>0</v>
      </c>
      <c r="D45" s="141">
        <f t="shared" si="11"/>
        <v>0</v>
      </c>
      <c r="E45" s="141">
        <f t="shared" si="11"/>
        <v>0</v>
      </c>
      <c r="F45" s="141">
        <f t="shared" si="11"/>
        <v>0</v>
      </c>
      <c r="G45" s="141">
        <f t="shared" si="11"/>
        <v>0</v>
      </c>
      <c r="H45" s="141">
        <f t="shared" si="11"/>
        <v>0</v>
      </c>
      <c r="I45" s="141">
        <f t="shared" si="11"/>
        <v>0</v>
      </c>
      <c r="J45" s="141">
        <f t="shared" si="11"/>
        <v>0</v>
      </c>
      <c r="K45" s="142">
        <f t="shared" si="11"/>
        <v>0</v>
      </c>
    </row>
    <row r="46" spans="1:13" ht="12.75" customHeight="1" x14ac:dyDescent="0.25">
      <c r="A46" s="295" t="s">
        <v>159</v>
      </c>
      <c r="B46" s="73"/>
      <c r="C46" s="487"/>
      <c r="D46" s="488"/>
      <c r="E46" s="488"/>
      <c r="F46" s="488"/>
      <c r="G46" s="488"/>
      <c r="H46" s="489">
        <f>SUM(E46:G46)</f>
        <v>0</v>
      </c>
      <c r="I46" s="489">
        <f>IF(D46=0,C46+H46,D46+H46)</f>
        <v>0</v>
      </c>
      <c r="J46" s="488"/>
      <c r="K46" s="490"/>
    </row>
    <row r="47" spans="1:13" ht="12.75" customHeight="1" x14ac:dyDescent="0.25">
      <c r="A47" s="295"/>
      <c r="B47" s="73"/>
      <c r="C47" s="491"/>
      <c r="D47" s="144"/>
      <c r="E47" s="144"/>
      <c r="F47" s="144"/>
      <c r="G47" s="144"/>
      <c r="H47" s="145">
        <f>SUM(E47:G47)</f>
        <v>0</v>
      </c>
      <c r="I47" s="145">
        <f>IF(D47=0,C47+H47,D47+H47)</f>
        <v>0</v>
      </c>
      <c r="J47" s="144"/>
      <c r="K47" s="113"/>
    </row>
    <row r="48" spans="1:13" ht="12.75" customHeight="1" x14ac:dyDescent="0.25">
      <c r="A48" s="139" t="str">
        <f>A29</f>
        <v>Other grant providers:</v>
      </c>
      <c r="B48" s="73"/>
      <c r="C48" s="485">
        <f t="shared" ref="C48:K48" si="12">SUM(C49:C50)</f>
        <v>0</v>
      </c>
      <c r="D48" s="141">
        <f t="shared" si="12"/>
        <v>0</v>
      </c>
      <c r="E48" s="141">
        <f t="shared" si="12"/>
        <v>0</v>
      </c>
      <c r="F48" s="141">
        <f t="shared" si="12"/>
        <v>0</v>
      </c>
      <c r="G48" s="141">
        <f t="shared" si="12"/>
        <v>0</v>
      </c>
      <c r="H48" s="141">
        <f t="shared" si="12"/>
        <v>0</v>
      </c>
      <c r="I48" s="141">
        <f t="shared" si="12"/>
        <v>0</v>
      </c>
      <c r="J48" s="141">
        <f t="shared" si="12"/>
        <v>0</v>
      </c>
      <c r="K48" s="142">
        <f t="shared" si="12"/>
        <v>0</v>
      </c>
    </row>
    <row r="49" spans="1:13" ht="12.75" customHeight="1" x14ac:dyDescent="0.25">
      <c r="A49" s="295" t="s">
        <v>159</v>
      </c>
      <c r="B49" s="73"/>
      <c r="C49" s="487"/>
      <c r="D49" s="488"/>
      <c r="E49" s="488"/>
      <c r="F49" s="488"/>
      <c r="G49" s="488"/>
      <c r="H49" s="489">
        <f>SUM(E49:G49)</f>
        <v>0</v>
      </c>
      <c r="I49" s="489">
        <f>IF(D49=0,C49+H49,D49+H49)</f>
        <v>0</v>
      </c>
      <c r="J49" s="488"/>
      <c r="K49" s="490"/>
    </row>
    <row r="50" spans="1:13" ht="12.75" customHeight="1" x14ac:dyDescent="0.25">
      <c r="A50" s="295"/>
      <c r="B50" s="73"/>
      <c r="C50" s="491"/>
      <c r="D50" s="144"/>
      <c r="E50" s="144"/>
      <c r="F50" s="144"/>
      <c r="G50" s="144"/>
      <c r="H50" s="145">
        <f>SUM(E50:G50)</f>
        <v>0</v>
      </c>
      <c r="I50" s="145">
        <f>IF(D50=0,C50+H50,D50+H50)</f>
        <v>0</v>
      </c>
      <c r="J50" s="144"/>
      <c r="K50" s="113"/>
    </row>
    <row r="51" spans="1:13" ht="12.75" customHeight="1" x14ac:dyDescent="0.25">
      <c r="A51" s="496" t="s">
        <v>1259</v>
      </c>
      <c r="B51" s="79">
        <v>6</v>
      </c>
      <c r="C51" s="494">
        <f t="shared" ref="C51:K51" si="13">C35+C42+C45+C48</f>
        <v>466288000</v>
      </c>
      <c r="D51" s="81">
        <f t="shared" si="13"/>
        <v>0</v>
      </c>
      <c r="E51" s="81">
        <f t="shared" si="13"/>
        <v>0</v>
      </c>
      <c r="F51" s="81">
        <f>F35+F42+F45+F48</f>
        <v>42808657</v>
      </c>
      <c r="G51" s="81">
        <f t="shared" si="13"/>
        <v>-38243000</v>
      </c>
      <c r="H51" s="81">
        <f t="shared" si="13"/>
        <v>4565657</v>
      </c>
      <c r="I51" s="81">
        <f>I35+I42+I45+I48</f>
        <v>470853657</v>
      </c>
      <c r="J51" s="81">
        <f t="shared" si="13"/>
        <v>453198000</v>
      </c>
      <c r="K51" s="82">
        <f t="shared" si="13"/>
        <v>437607950</v>
      </c>
    </row>
    <row r="52" spans="1:13" ht="12.75" customHeight="1" x14ac:dyDescent="0.25">
      <c r="A52" s="497" t="s">
        <v>1260</v>
      </c>
      <c r="B52" s="156"/>
      <c r="C52" s="116">
        <f t="shared" ref="C52:K52" si="14">C32+C51</f>
        <v>1145148000</v>
      </c>
      <c r="D52" s="117">
        <f t="shared" si="14"/>
        <v>0</v>
      </c>
      <c r="E52" s="117">
        <f t="shared" si="14"/>
        <v>0</v>
      </c>
      <c r="F52" s="117">
        <f t="shared" si="14"/>
        <v>42808657</v>
      </c>
      <c r="G52" s="117">
        <f t="shared" si="14"/>
        <v>-38243000</v>
      </c>
      <c r="H52" s="117">
        <f>H32+H51</f>
        <v>4565657</v>
      </c>
      <c r="I52" s="117">
        <f>I32+I51</f>
        <v>1149713657</v>
      </c>
      <c r="J52" s="117">
        <f t="shared" si="14"/>
        <v>1092291000</v>
      </c>
      <c r="K52" s="118">
        <f t="shared" si="14"/>
        <v>1128310000</v>
      </c>
    </row>
    <row r="53" spans="1:13" ht="12.75" customHeight="1" x14ac:dyDescent="0.25">
      <c r="A53" s="158" t="str">
        <f>head27a</f>
        <v>References</v>
      </c>
      <c r="B53" s="93"/>
      <c r="C53" s="96"/>
      <c r="D53" s="96"/>
      <c r="E53" s="96"/>
      <c r="F53" s="96"/>
      <c r="G53" s="96"/>
      <c r="H53" s="96"/>
      <c r="I53" s="96"/>
      <c r="J53" s="96"/>
      <c r="K53" s="96"/>
    </row>
    <row r="54" spans="1:13" ht="12.75" customHeight="1" x14ac:dyDescent="0.25">
      <c r="A54" s="99" t="s">
        <v>162</v>
      </c>
      <c r="B54" s="93"/>
      <c r="C54" s="96"/>
      <c r="D54" s="96"/>
      <c r="E54" s="96"/>
      <c r="F54" s="96"/>
      <c r="G54" s="96"/>
      <c r="H54" s="96"/>
      <c r="I54" s="96"/>
      <c r="J54" s="96"/>
      <c r="K54" s="96"/>
    </row>
    <row r="55" spans="1:13" ht="12.75" customHeight="1" x14ac:dyDescent="0.25">
      <c r="A55" s="99" t="s">
        <v>576</v>
      </c>
      <c r="B55" s="93"/>
      <c r="C55" s="96"/>
      <c r="D55" s="96"/>
      <c r="E55" s="96"/>
      <c r="F55" s="96"/>
      <c r="G55" s="96"/>
      <c r="H55" s="96"/>
      <c r="I55" s="96"/>
      <c r="J55" s="96"/>
      <c r="K55" s="96"/>
    </row>
    <row r="56" spans="1:13" ht="12.75" customHeight="1" x14ac:dyDescent="0.25">
      <c r="A56" s="99" t="s">
        <v>163</v>
      </c>
      <c r="B56" s="93"/>
      <c r="C56" s="96"/>
      <c r="D56" s="96"/>
      <c r="E56" s="96"/>
      <c r="F56" s="96"/>
      <c r="G56" s="96"/>
      <c r="H56" s="96"/>
      <c r="I56" s="96"/>
      <c r="J56" s="96"/>
      <c r="K56" s="96"/>
    </row>
    <row r="57" spans="1:13" ht="12.75" customHeight="1" x14ac:dyDescent="0.25">
      <c r="A57" s="95" t="s">
        <v>165</v>
      </c>
      <c r="B57" s="93"/>
      <c r="C57" s="96"/>
      <c r="D57" s="96"/>
      <c r="E57" s="96"/>
      <c r="F57" s="96"/>
      <c r="G57" s="96"/>
      <c r="H57" s="96"/>
      <c r="I57" s="96"/>
      <c r="J57" s="96"/>
      <c r="K57" s="96"/>
    </row>
    <row r="58" spans="1:13" ht="12.75" customHeight="1" x14ac:dyDescent="0.25">
      <c r="A58" s="498" t="s">
        <v>166</v>
      </c>
      <c r="B58" s="93"/>
      <c r="C58" s="96"/>
      <c r="D58" s="96"/>
      <c r="E58" s="96"/>
      <c r="F58" s="96"/>
      <c r="G58" s="96"/>
      <c r="H58" s="96"/>
      <c r="I58" s="96"/>
      <c r="J58" s="96"/>
      <c r="K58" s="96"/>
    </row>
    <row r="59" spans="1:13" ht="12.75" customHeight="1" x14ac:dyDescent="0.25">
      <c r="A59" s="498" t="s">
        <v>167</v>
      </c>
      <c r="B59" s="160"/>
      <c r="C59" s="499"/>
      <c r="D59" s="499"/>
      <c r="E59" s="499"/>
      <c r="F59" s="499"/>
      <c r="G59" s="499"/>
      <c r="H59" s="499"/>
      <c r="I59" s="499"/>
      <c r="J59" s="499"/>
      <c r="K59" s="500"/>
    </row>
    <row r="60" spans="1:13" ht="12.75" customHeight="1" x14ac:dyDescent="0.25">
      <c r="A60" s="1314" t="s">
        <v>1097</v>
      </c>
      <c r="B60" s="1314"/>
      <c r="C60" s="1314"/>
      <c r="D60" s="1314"/>
      <c r="E60" s="1314"/>
      <c r="F60" s="1314"/>
      <c r="G60" s="1314"/>
      <c r="H60" s="1314"/>
      <c r="I60" s="1314"/>
      <c r="J60" s="1314"/>
      <c r="K60" s="1314"/>
    </row>
    <row r="61" spans="1:13" ht="12.75" customHeight="1" x14ac:dyDescent="0.25">
      <c r="A61" s="99" t="s">
        <v>1338</v>
      </c>
      <c r="B61" s="99"/>
      <c r="C61" s="99"/>
      <c r="D61" s="99"/>
      <c r="E61" s="99"/>
      <c r="F61" s="99"/>
      <c r="G61" s="99"/>
      <c r="H61" s="99"/>
      <c r="I61" s="99"/>
      <c r="J61" s="99"/>
      <c r="K61" s="98"/>
    </row>
    <row r="62" spans="1:13" ht="12.75" customHeight="1" x14ac:dyDescent="0.25">
      <c r="A62" s="99" t="s">
        <v>678</v>
      </c>
      <c r="B62" s="93"/>
      <c r="C62" s="96"/>
      <c r="D62" s="96"/>
      <c r="E62" s="96"/>
      <c r="F62" s="96"/>
      <c r="G62" s="96"/>
      <c r="H62" s="96"/>
      <c r="I62" s="96"/>
      <c r="J62" s="96"/>
      <c r="K62" s="96"/>
    </row>
    <row r="63" spans="1:13" ht="24.95" customHeight="1" x14ac:dyDescent="0.25">
      <c r="A63" s="1314" t="s">
        <v>168</v>
      </c>
      <c r="B63" s="1314"/>
      <c r="C63" s="1314"/>
      <c r="D63" s="1314"/>
      <c r="E63" s="1314"/>
      <c r="F63" s="1314"/>
      <c r="G63" s="1314"/>
      <c r="H63" s="1314"/>
      <c r="I63" s="1314"/>
      <c r="J63" s="1314"/>
      <c r="K63" s="1314"/>
      <c r="L63" s="54"/>
      <c r="M63" s="54"/>
    </row>
    <row r="64" spans="1:13" ht="12.75" customHeight="1" x14ac:dyDescent="0.25">
      <c r="A64" s="99" t="s">
        <v>169</v>
      </c>
      <c r="B64" s="93"/>
      <c r="C64" s="96"/>
      <c r="D64" s="96"/>
      <c r="E64" s="96"/>
      <c r="F64" s="96"/>
      <c r="G64" s="96"/>
      <c r="H64" s="96"/>
      <c r="I64" s="96"/>
      <c r="J64" s="96"/>
      <c r="K64" s="96"/>
    </row>
    <row r="65" spans="1:11" ht="12.75" customHeight="1" x14ac:dyDescent="0.25">
      <c r="A65" s="99" t="s">
        <v>170</v>
      </c>
      <c r="B65" s="99"/>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mergeCells count="5">
    <mergeCell ref="A63:K63"/>
    <mergeCell ref="A60:K60"/>
    <mergeCell ref="A2:A4"/>
    <mergeCell ref="B2:B4"/>
    <mergeCell ref="C2:I2"/>
  </mergeCells>
  <phoneticPr fontId="3" type="noConversion"/>
  <dataValidations count="4">
    <dataValidation type="list" allowBlank="1" showInputMessage="1" showErrorMessage="1" sqref="A11:A15 A17:A18">
      <formula1>NatOpexGrantNames</formula1>
    </dataValidation>
    <dataValidation type="list" allowBlank="1" showInputMessage="1" showErrorMessage="1" sqref="A21:A24">
      <formula1>ProvOpexGrantNames</formula1>
    </dataValidation>
    <dataValidation type="list" allowBlank="1" showInputMessage="1" showErrorMessage="1" sqref="A36:A40">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5"/>
  <sheetViews>
    <sheetView showGridLines="0" showZeros="0" zoomScaleNormal="100" workbookViewId="0">
      <pane xSplit="2" ySplit="5" topLeftCell="C8" activePane="bottomRight" state="frozen"/>
      <selection activeCell="C6" sqref="C6"/>
      <selection pane="topRight" activeCell="C6" sqref="C6"/>
      <selection pane="bottomLeft" activeCell="C6" sqref="C6"/>
      <selection pane="bottomRight" activeCell="G22" sqref="G22"/>
    </sheetView>
  </sheetViews>
  <sheetFormatPr defaultRowHeight="12.75" x14ac:dyDescent="0.25"/>
  <cols>
    <col min="1" max="1" width="40.710937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"&amp;ADJB8&amp;" - "&amp;Date</f>
        <v>LIM354 Polokwane - Supporting Table SB8 Adjustments Budget - expenditure on transfers and grant programme - 25 February 2016</v>
      </c>
      <c r="B1" s="5"/>
      <c r="C1" s="58"/>
    </row>
    <row r="2" spans="1:11" ht="25.5" x14ac:dyDescent="0.25">
      <c r="A2" s="1318" t="str">
        <f>desc</f>
        <v>Description</v>
      </c>
      <c r="B2" s="1318" t="str">
        <f>head27</f>
        <v>Ref</v>
      </c>
      <c r="C2" s="1315" t="str">
        <f>Head2</f>
        <v>Budget Year 2015/16</v>
      </c>
      <c r="D2" s="1316"/>
      <c r="E2" s="1316"/>
      <c r="F2" s="1316"/>
      <c r="G2" s="1316"/>
      <c r="H2" s="1316"/>
      <c r="I2" s="1316"/>
      <c r="J2" s="103" t="str">
        <f>Head10</f>
        <v>Budget Year +1 2016/17</v>
      </c>
      <c r="K2" s="61" t="str">
        <f>Head11</f>
        <v>Budget Year +2 2017/18</v>
      </c>
    </row>
    <row r="3" spans="1:11" ht="25.5" x14ac:dyDescent="0.25">
      <c r="A3" s="1319"/>
      <c r="B3" s="1319"/>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19"/>
      <c r="B4" s="1319"/>
      <c r="C4" s="65"/>
      <c r="D4" s="15">
        <v>2</v>
      </c>
      <c r="E4" s="15">
        <v>3</v>
      </c>
      <c r="F4" s="15">
        <v>4</v>
      </c>
      <c r="G4" s="15">
        <v>5</v>
      </c>
      <c r="H4" s="15">
        <v>6</v>
      </c>
      <c r="I4" s="15">
        <v>7</v>
      </c>
      <c r="J4" s="15"/>
      <c r="K4" s="17"/>
    </row>
    <row r="5" spans="1:11" x14ac:dyDescent="0.25">
      <c r="A5" s="66" t="s">
        <v>641</v>
      </c>
      <c r="B5" s="104"/>
      <c r="C5" s="67" t="s">
        <v>581</v>
      </c>
      <c r="D5" s="68" t="s">
        <v>582</v>
      </c>
      <c r="E5" s="69" t="s">
        <v>583</v>
      </c>
      <c r="F5" s="69" t="s">
        <v>584</v>
      </c>
      <c r="G5" s="70" t="s">
        <v>585</v>
      </c>
      <c r="H5" s="70" t="s">
        <v>586</v>
      </c>
      <c r="I5" s="70" t="s">
        <v>587</v>
      </c>
      <c r="J5" s="70"/>
      <c r="K5" s="71"/>
    </row>
    <row r="6" spans="1:11" ht="12.75" customHeight="1" x14ac:dyDescent="0.25">
      <c r="A6" s="139" t="s">
        <v>171</v>
      </c>
      <c r="B6" s="73">
        <v>1</v>
      </c>
      <c r="C6" s="241"/>
      <c r="D6" s="75"/>
      <c r="E6" s="75"/>
      <c r="F6" s="75"/>
      <c r="G6" s="75"/>
      <c r="H6" s="75"/>
      <c r="I6" s="75"/>
      <c r="J6" s="75"/>
      <c r="K6" s="76"/>
    </row>
    <row r="7" spans="1:11" ht="5.0999999999999996" customHeight="1" x14ac:dyDescent="0.25">
      <c r="A7" s="139"/>
      <c r="B7" s="73"/>
      <c r="C7" s="241"/>
      <c r="D7" s="75"/>
      <c r="E7" s="75"/>
      <c r="F7" s="75"/>
      <c r="G7" s="75"/>
      <c r="H7" s="75"/>
      <c r="I7" s="75"/>
      <c r="J7" s="75"/>
      <c r="K7" s="76"/>
    </row>
    <row r="8" spans="1:11" ht="12.75" customHeight="1" x14ac:dyDescent="0.25">
      <c r="A8" s="495" t="s">
        <v>1252</v>
      </c>
      <c r="B8" s="73"/>
      <c r="C8" s="241"/>
      <c r="D8" s="75"/>
      <c r="E8" s="75"/>
      <c r="F8" s="75"/>
      <c r="G8" s="75"/>
      <c r="H8" s="75"/>
      <c r="I8" s="75"/>
      <c r="J8" s="75"/>
      <c r="K8" s="76"/>
    </row>
    <row r="9" spans="1:11" ht="12.75" customHeight="1" x14ac:dyDescent="0.25">
      <c r="A9" s="139" t="s">
        <v>155</v>
      </c>
      <c r="B9" s="73"/>
      <c r="C9" s="485">
        <f>SUM(C10:C18)</f>
        <v>678860000</v>
      </c>
      <c r="D9" s="141">
        <f>SUM(D10:D16)</f>
        <v>0</v>
      </c>
      <c r="E9" s="141">
        <f>SUM(E10:E16)</f>
        <v>0</v>
      </c>
      <c r="F9" s="141">
        <f>SUM(F10:F16)</f>
        <v>0</v>
      </c>
      <c r="G9" s="141">
        <f>SUM(G10:G18)</f>
        <v>0</v>
      </c>
      <c r="H9" s="141">
        <f>SUM(H10:H18)</f>
        <v>0</v>
      </c>
      <c r="I9" s="141">
        <f>SUM(I10:I18)</f>
        <v>678860000</v>
      </c>
      <c r="J9" s="141">
        <f>SUM(J10:J18)</f>
        <v>634093000</v>
      </c>
      <c r="K9" s="142">
        <f>SUM(K10:K18)</f>
        <v>685589050</v>
      </c>
    </row>
    <row r="10" spans="1:11" ht="12.75" customHeight="1" x14ac:dyDescent="0.25">
      <c r="A10" s="501" t="str">
        <f>'SB7'!A10</f>
        <v>Local Government Equitable Share</v>
      </c>
      <c r="B10" s="73"/>
      <c r="C10" s="487">
        <v>522595000</v>
      </c>
      <c r="D10" s="488"/>
      <c r="E10" s="488"/>
      <c r="F10" s="488"/>
      <c r="G10" s="488"/>
      <c r="H10" s="489">
        <f t="shared" ref="H10:H18" si="0">SUM(E10:G10)</f>
        <v>0</v>
      </c>
      <c r="I10" s="489">
        <f t="shared" ref="I10:I18" si="1">IF(D10=0,C10+H10,D10+H10)</f>
        <v>522595000</v>
      </c>
      <c r="J10" s="488">
        <v>568208000</v>
      </c>
      <c r="K10" s="490">
        <v>616043000</v>
      </c>
    </row>
    <row r="11" spans="1:11" ht="12.75" customHeight="1" x14ac:dyDescent="0.25">
      <c r="A11" s="501" t="str">
        <f>'SB7'!A11</f>
        <v>EPWP Incentive</v>
      </c>
      <c r="B11" s="73"/>
      <c r="C11" s="391">
        <v>2660000</v>
      </c>
      <c r="D11" s="109"/>
      <c r="E11" s="109"/>
      <c r="F11" s="109"/>
      <c r="G11" s="109"/>
      <c r="H11" s="75">
        <f t="shared" si="0"/>
        <v>0</v>
      </c>
      <c r="I11" s="75">
        <f t="shared" si="1"/>
        <v>2660000</v>
      </c>
      <c r="J11" s="109"/>
      <c r="K11" s="110"/>
    </row>
    <row r="12" spans="1:11" ht="12.75" customHeight="1" x14ac:dyDescent="0.25">
      <c r="A12" s="501" t="str">
        <f>'SB7'!A12</f>
        <v>Integrated National Electrification Programme</v>
      </c>
      <c r="B12" s="73"/>
      <c r="C12" s="391">
        <v>40000000</v>
      </c>
      <c r="D12" s="109"/>
      <c r="E12" s="109"/>
      <c r="F12" s="109"/>
      <c r="G12" s="109"/>
      <c r="H12" s="75">
        <f t="shared" si="0"/>
        <v>0</v>
      </c>
      <c r="I12" s="75">
        <f t="shared" si="1"/>
        <v>40000000</v>
      </c>
      <c r="J12" s="109"/>
      <c r="K12" s="110"/>
    </row>
    <row r="13" spans="1:11" ht="12.75" customHeight="1" x14ac:dyDescent="0.25">
      <c r="A13" s="501" t="str">
        <f>'SB7'!A13</f>
        <v xml:space="preserve">Finance Management </v>
      </c>
      <c r="B13" s="73"/>
      <c r="C13" s="391">
        <v>1875000</v>
      </c>
      <c r="D13" s="109"/>
      <c r="E13" s="109"/>
      <c r="F13" s="109"/>
      <c r="G13" s="109"/>
      <c r="H13" s="75">
        <f t="shared" si="0"/>
        <v>0</v>
      </c>
      <c r="I13" s="75">
        <f t="shared" si="1"/>
        <v>1875000</v>
      </c>
      <c r="J13" s="109">
        <v>2010000</v>
      </c>
      <c r="K13" s="110">
        <v>2345000</v>
      </c>
    </row>
    <row r="14" spans="1:11" ht="12.75" customHeight="1" x14ac:dyDescent="0.25">
      <c r="A14" s="501" t="str">
        <f>'SB7'!A14</f>
        <v xml:space="preserve"> Municipal Infrastructure Grant (MIG)</v>
      </c>
      <c r="B14" s="73"/>
      <c r="C14" s="391">
        <v>42800000</v>
      </c>
      <c r="D14" s="109"/>
      <c r="E14" s="109"/>
      <c r="F14" s="109"/>
      <c r="G14" s="109"/>
      <c r="H14" s="75">
        <f t="shared" si="0"/>
        <v>0</v>
      </c>
      <c r="I14" s="75">
        <f t="shared" si="1"/>
        <v>42800000</v>
      </c>
      <c r="J14" s="109">
        <v>46148000</v>
      </c>
      <c r="K14" s="110">
        <v>48520000</v>
      </c>
    </row>
    <row r="15" spans="1:11" ht="12.75" customHeight="1" x14ac:dyDescent="0.25">
      <c r="A15" s="501" t="str">
        <f>'SB7'!A15</f>
        <v xml:space="preserve"> Public Transport and Systems</v>
      </c>
      <c r="B15" s="73"/>
      <c r="C15" s="391">
        <v>11000000</v>
      </c>
      <c r="D15" s="109"/>
      <c r="E15" s="109"/>
      <c r="F15" s="109"/>
      <c r="G15" s="109"/>
      <c r="H15" s="75">
        <f t="shared" si="0"/>
        <v>0</v>
      </c>
      <c r="I15" s="75">
        <f t="shared" si="1"/>
        <v>11000000</v>
      </c>
      <c r="J15" s="109">
        <v>11770000</v>
      </c>
      <c r="K15" s="110">
        <v>12535050</v>
      </c>
    </row>
    <row r="16" spans="1:11" ht="12.75" customHeight="1" x14ac:dyDescent="0.25">
      <c r="A16" s="820" t="str">
        <f>'SB7'!A19</f>
        <v>GRANT - INFRASTRUCTURE SKILLS</v>
      </c>
      <c r="B16" s="73"/>
      <c r="C16" s="391">
        <v>5000000</v>
      </c>
      <c r="D16" s="1279"/>
      <c r="E16" s="1279"/>
      <c r="F16" s="1279"/>
      <c r="G16" s="1279"/>
      <c r="H16" s="75">
        <f t="shared" si="0"/>
        <v>0</v>
      </c>
      <c r="I16" s="75">
        <f t="shared" si="1"/>
        <v>5000000</v>
      </c>
      <c r="J16" s="1279">
        <v>5000000</v>
      </c>
      <c r="K16" s="110">
        <v>5113000</v>
      </c>
    </row>
    <row r="17" spans="1:11" ht="12.75" customHeight="1" x14ac:dyDescent="0.25">
      <c r="A17" s="820" t="s">
        <v>1846</v>
      </c>
      <c r="B17" s="73"/>
      <c r="C17" s="391">
        <v>52000000</v>
      </c>
      <c r="D17" s="1279"/>
      <c r="E17" s="1279"/>
      <c r="F17" s="1279">
        <v>0</v>
      </c>
      <c r="G17" s="1279">
        <v>0</v>
      </c>
      <c r="H17" s="75">
        <f t="shared" si="0"/>
        <v>0</v>
      </c>
      <c r="I17" s="75">
        <f t="shared" si="1"/>
        <v>52000000</v>
      </c>
      <c r="J17" s="1279"/>
      <c r="K17" s="110"/>
    </row>
    <row r="18" spans="1:11" ht="12.75" customHeight="1" x14ac:dyDescent="0.25">
      <c r="A18" s="820" t="s">
        <v>1847</v>
      </c>
      <c r="B18" s="73"/>
      <c r="C18" s="391">
        <v>930000</v>
      </c>
      <c r="D18" s="1279"/>
      <c r="E18" s="1279"/>
      <c r="F18" s="1279"/>
      <c r="G18" s="1279"/>
      <c r="H18" s="75">
        <f t="shared" si="0"/>
        <v>0</v>
      </c>
      <c r="I18" s="75">
        <f t="shared" si="1"/>
        <v>930000</v>
      </c>
      <c r="J18" s="1279">
        <v>957000</v>
      </c>
      <c r="K18" s="110">
        <v>1033000</v>
      </c>
    </row>
    <row r="19" spans="1:11" ht="12.75" customHeight="1" x14ac:dyDescent="0.25">
      <c r="A19" s="502" t="s">
        <v>157</v>
      </c>
      <c r="B19" s="73"/>
      <c r="C19" s="485">
        <f t="shared" ref="C19:K19" si="2">SUM(C20:C24)</f>
        <v>0</v>
      </c>
      <c r="D19" s="141">
        <f t="shared" si="2"/>
        <v>0</v>
      </c>
      <c r="E19" s="141">
        <f t="shared" si="2"/>
        <v>0</v>
      </c>
      <c r="F19" s="141">
        <f t="shared" si="2"/>
        <v>0</v>
      </c>
      <c r="G19" s="141">
        <f t="shared" si="2"/>
        <v>0</v>
      </c>
      <c r="H19" s="141">
        <f t="shared" si="2"/>
        <v>0</v>
      </c>
      <c r="I19" s="141">
        <f t="shared" si="2"/>
        <v>0</v>
      </c>
      <c r="J19" s="141">
        <f t="shared" si="2"/>
        <v>0</v>
      </c>
      <c r="K19" s="142">
        <f t="shared" si="2"/>
        <v>0</v>
      </c>
    </row>
    <row r="20" spans="1:11" ht="12.75" customHeight="1" x14ac:dyDescent="0.25">
      <c r="A20" s="501" t="str">
        <f>'SB7'!A21</f>
        <v>OTHER GRANTS</v>
      </c>
      <c r="B20" s="73"/>
      <c r="C20" s="487"/>
      <c r="D20" s="492"/>
      <c r="E20" s="488"/>
      <c r="F20" s="488"/>
      <c r="G20" s="488"/>
      <c r="H20" s="489">
        <f>SUM(E20:G20)</f>
        <v>0</v>
      </c>
      <c r="I20" s="489">
        <f>IF(D20=0,C20+H20,D20+H20)</f>
        <v>0</v>
      </c>
      <c r="J20" s="488"/>
      <c r="K20" s="490"/>
    </row>
    <row r="21" spans="1:11" ht="12.75" customHeight="1" x14ac:dyDescent="0.25">
      <c r="A21" s="501" t="str">
        <f>'SB7'!A22</f>
        <v>Municipal Systems Improvement Grant</v>
      </c>
      <c r="B21" s="73"/>
      <c r="C21" s="391"/>
      <c r="D21" s="130"/>
      <c r="E21" s="109"/>
      <c r="F21" s="109"/>
      <c r="G21" s="109"/>
      <c r="H21" s="75">
        <f>SUM(E21:G21)</f>
        <v>0</v>
      </c>
      <c r="I21" s="75">
        <f>IF(D21=0,C21+H21,D21+H21)</f>
        <v>0</v>
      </c>
      <c r="J21" s="109"/>
      <c r="K21" s="110"/>
    </row>
    <row r="22" spans="1:11" ht="12.75" customHeight="1" x14ac:dyDescent="0.25">
      <c r="A22" s="501">
        <f>'SB7'!A23</f>
        <v>0</v>
      </c>
      <c r="B22" s="73"/>
      <c r="C22" s="391"/>
      <c r="D22" s="130"/>
      <c r="E22" s="109"/>
      <c r="F22" s="109"/>
      <c r="G22" s="109"/>
      <c r="H22" s="75">
        <f>SUM(E22:G22)</f>
        <v>0</v>
      </c>
      <c r="I22" s="75">
        <f>IF(D22=0,C22+H22,D22+H22)</f>
        <v>0</v>
      </c>
      <c r="J22" s="109"/>
      <c r="K22" s="110"/>
    </row>
    <row r="23" spans="1:11" ht="12.75" customHeight="1" x14ac:dyDescent="0.25">
      <c r="A23" s="501">
        <f>'SB7'!A24</f>
        <v>0</v>
      </c>
      <c r="B23" s="73"/>
      <c r="C23" s="391"/>
      <c r="D23" s="130"/>
      <c r="E23" s="109"/>
      <c r="F23" s="109"/>
      <c r="G23" s="109"/>
      <c r="H23" s="75">
        <f>SUM(E23:G23)</f>
        <v>0</v>
      </c>
      <c r="I23" s="75">
        <f>IF(D23=0,C23+H23,D23+H23)</f>
        <v>0</v>
      </c>
      <c r="J23" s="109"/>
      <c r="K23" s="110"/>
    </row>
    <row r="24" spans="1:11" ht="12.75" customHeight="1" x14ac:dyDescent="0.25">
      <c r="A24" s="501" t="str">
        <f>'SB7'!A25</f>
        <v>Other transfers and grants [insert description]</v>
      </c>
      <c r="B24" s="73"/>
      <c r="C24" s="491"/>
      <c r="D24" s="143"/>
      <c r="E24" s="144"/>
      <c r="F24" s="144"/>
      <c r="G24" s="144"/>
      <c r="H24" s="145">
        <f>SUM(E24:G24)</f>
        <v>0</v>
      </c>
      <c r="I24" s="145">
        <f>IF(D24=0,C24+H24,D24+H24)</f>
        <v>0</v>
      </c>
      <c r="J24" s="144"/>
      <c r="K24" s="113"/>
    </row>
    <row r="25" spans="1:11" ht="12.75" customHeight="1" x14ac:dyDescent="0.25">
      <c r="A25" s="502" t="s">
        <v>158</v>
      </c>
      <c r="B25" s="73"/>
      <c r="C25" s="485">
        <f t="shared" ref="C25:K25" si="3">SUM(C26:C27)</f>
        <v>0</v>
      </c>
      <c r="D25" s="141">
        <f t="shared" si="3"/>
        <v>0</v>
      </c>
      <c r="E25" s="141">
        <f t="shared" si="3"/>
        <v>0</v>
      </c>
      <c r="F25" s="141">
        <f t="shared" si="3"/>
        <v>0</v>
      </c>
      <c r="G25" s="141">
        <f t="shared" si="3"/>
        <v>0</v>
      </c>
      <c r="H25" s="141">
        <f t="shared" si="3"/>
        <v>0</v>
      </c>
      <c r="I25" s="141">
        <f t="shared" si="3"/>
        <v>0</v>
      </c>
      <c r="J25" s="141">
        <f t="shared" si="3"/>
        <v>0</v>
      </c>
      <c r="K25" s="142">
        <f t="shared" si="3"/>
        <v>0</v>
      </c>
    </row>
    <row r="26" spans="1:11" ht="12.75" customHeight="1" x14ac:dyDescent="0.25">
      <c r="A26" s="503" t="str">
        <f>'SB7'!A27</f>
        <v>[insert description]</v>
      </c>
      <c r="B26" s="73"/>
      <c r="C26" s="487"/>
      <c r="D26" s="488"/>
      <c r="E26" s="488"/>
      <c r="F26" s="488"/>
      <c r="G26" s="488"/>
      <c r="H26" s="489">
        <f>SUM(E26:G26)</f>
        <v>0</v>
      </c>
      <c r="I26" s="489">
        <f>IF(D26=0,C26+H26,D26+H26)</f>
        <v>0</v>
      </c>
      <c r="J26" s="488"/>
      <c r="K26" s="490"/>
    </row>
    <row r="27" spans="1:11" ht="12.75" customHeight="1" x14ac:dyDescent="0.25">
      <c r="A27" s="503">
        <f>'SB7'!A28</f>
        <v>0</v>
      </c>
      <c r="B27" s="73"/>
      <c r="C27" s="491"/>
      <c r="D27" s="144"/>
      <c r="E27" s="144"/>
      <c r="F27" s="144"/>
      <c r="G27" s="144"/>
      <c r="H27" s="145">
        <f>SUM(E27:G27)</f>
        <v>0</v>
      </c>
      <c r="I27" s="145">
        <f>IF(D27=0,C27+H27,D27+H27)</f>
        <v>0</v>
      </c>
      <c r="J27" s="144"/>
      <c r="K27" s="113"/>
    </row>
    <row r="28" spans="1:11" ht="12.75" customHeight="1" x14ac:dyDescent="0.25">
      <c r="A28" s="502" t="s">
        <v>160</v>
      </c>
      <c r="B28" s="73"/>
      <c r="C28" s="241">
        <f t="shared" ref="C28:K28" si="4">SUM(C29:C30)</f>
        <v>0</v>
      </c>
      <c r="D28" s="75">
        <f t="shared" si="4"/>
        <v>0</v>
      </c>
      <c r="E28" s="75">
        <f t="shared" si="4"/>
        <v>0</v>
      </c>
      <c r="F28" s="75">
        <f t="shared" si="4"/>
        <v>0</v>
      </c>
      <c r="G28" s="75">
        <f t="shared" si="4"/>
        <v>0</v>
      </c>
      <c r="H28" s="75">
        <f t="shared" si="4"/>
        <v>0</v>
      </c>
      <c r="I28" s="75">
        <f t="shared" si="4"/>
        <v>0</v>
      </c>
      <c r="J28" s="75">
        <f t="shared" si="4"/>
        <v>0</v>
      </c>
      <c r="K28" s="76">
        <f t="shared" si="4"/>
        <v>0</v>
      </c>
    </row>
    <row r="29" spans="1:11" ht="12.75" customHeight="1" x14ac:dyDescent="0.25">
      <c r="A29" s="503" t="str">
        <f>'SB7'!A30</f>
        <v>[insert description]</v>
      </c>
      <c r="B29" s="73"/>
      <c r="C29" s="487"/>
      <c r="D29" s="488"/>
      <c r="E29" s="488"/>
      <c r="F29" s="488"/>
      <c r="G29" s="488"/>
      <c r="H29" s="489">
        <f>SUM(E29:G29)</f>
        <v>0</v>
      </c>
      <c r="I29" s="489">
        <f>IF(D29=0,C29+H29,D29+H29)</f>
        <v>0</v>
      </c>
      <c r="J29" s="488"/>
      <c r="K29" s="490"/>
    </row>
    <row r="30" spans="1:11" ht="12.75" customHeight="1" x14ac:dyDescent="0.25">
      <c r="A30" s="503">
        <f>'SB7'!A31</f>
        <v>0</v>
      </c>
      <c r="B30" s="73"/>
      <c r="C30" s="491"/>
      <c r="D30" s="144"/>
      <c r="E30" s="144"/>
      <c r="F30" s="144"/>
      <c r="G30" s="144"/>
      <c r="H30" s="145">
        <f>SUM(E30:G30)</f>
        <v>0</v>
      </c>
      <c r="I30" s="145">
        <f>IF(D30=0,C30+H30,D30+H30)</f>
        <v>0</v>
      </c>
      <c r="J30" s="144"/>
      <c r="K30" s="113"/>
    </row>
    <row r="31" spans="1:11" ht="12.75" customHeight="1" x14ac:dyDescent="0.25">
      <c r="A31" s="493" t="s">
        <v>1253</v>
      </c>
      <c r="B31" s="79"/>
      <c r="C31" s="494">
        <f>C9+C19+C25+C28</f>
        <v>678860000</v>
      </c>
      <c r="D31" s="81">
        <f t="shared" ref="D31:K31" si="5">D9+D19+D25+D28</f>
        <v>0</v>
      </c>
      <c r="E31" s="81">
        <f t="shared" si="5"/>
        <v>0</v>
      </c>
      <c r="F31" s="81">
        <f t="shared" si="5"/>
        <v>0</v>
      </c>
      <c r="G31" s="81">
        <f t="shared" si="5"/>
        <v>0</v>
      </c>
      <c r="H31" s="81">
        <f t="shared" si="5"/>
        <v>0</v>
      </c>
      <c r="I31" s="81">
        <f>I9+I19+I25+I28</f>
        <v>678860000</v>
      </c>
      <c r="J31" s="81">
        <f t="shared" si="5"/>
        <v>634093000</v>
      </c>
      <c r="K31" s="82">
        <f t="shared" si="5"/>
        <v>685589050</v>
      </c>
    </row>
    <row r="32" spans="1:11" ht="5.0999999999999996" customHeight="1" x14ac:dyDescent="0.25">
      <c r="A32" s="136"/>
      <c r="B32" s="73"/>
      <c r="C32" s="241"/>
      <c r="D32" s="75"/>
      <c r="E32" s="75"/>
      <c r="F32" s="75"/>
      <c r="G32" s="75"/>
      <c r="H32" s="75"/>
      <c r="I32" s="75"/>
      <c r="J32" s="75"/>
      <c r="K32" s="76"/>
    </row>
    <row r="33" spans="1:11" ht="12.75" customHeight="1" x14ac:dyDescent="0.25">
      <c r="A33" s="495" t="s">
        <v>1254</v>
      </c>
      <c r="B33" s="73"/>
      <c r="C33" s="241"/>
      <c r="D33" s="75"/>
      <c r="E33" s="75"/>
      <c r="F33" s="75"/>
      <c r="G33" s="75"/>
      <c r="H33" s="75"/>
      <c r="I33" s="75"/>
      <c r="J33" s="75"/>
      <c r="K33" s="76"/>
    </row>
    <row r="34" spans="1:11" ht="12.75" customHeight="1" x14ac:dyDescent="0.25">
      <c r="A34" s="502" t="s">
        <v>155</v>
      </c>
      <c r="B34" s="73"/>
      <c r="C34" s="485">
        <f t="shared" ref="C34:K34" si="6">SUM(C35:C40)</f>
        <v>466288000</v>
      </c>
      <c r="D34" s="141">
        <f t="shared" si="6"/>
        <v>0</v>
      </c>
      <c r="E34" s="141">
        <f t="shared" si="6"/>
        <v>0</v>
      </c>
      <c r="F34" s="141">
        <f t="shared" si="6"/>
        <v>42808657</v>
      </c>
      <c r="G34" s="141">
        <f t="shared" si="6"/>
        <v>-38243000</v>
      </c>
      <c r="H34" s="141">
        <f t="shared" si="6"/>
        <v>4565657</v>
      </c>
      <c r="I34" s="141">
        <f t="shared" si="6"/>
        <v>470853657</v>
      </c>
      <c r="J34" s="141">
        <f t="shared" si="6"/>
        <v>453198000</v>
      </c>
      <c r="K34" s="142">
        <f t="shared" si="6"/>
        <v>437607950</v>
      </c>
    </row>
    <row r="35" spans="1:11" ht="12.75" customHeight="1" x14ac:dyDescent="0.25">
      <c r="A35" s="504" t="str">
        <f>'SB7'!A36</f>
        <v xml:space="preserve"> Municipal Infrastructure Grant (MIG)</v>
      </c>
      <c r="B35" s="73"/>
      <c r="C35" s="487">
        <v>271243000</v>
      </c>
      <c r="D35" s="488"/>
      <c r="E35" s="488"/>
      <c r="F35" s="488">
        <v>3568789</v>
      </c>
      <c r="G35" s="488">
        <v>-38243000</v>
      </c>
      <c r="H35" s="489">
        <f t="shared" ref="H35:H40" si="7">SUM(E35:G35)</f>
        <v>-34674211</v>
      </c>
      <c r="I35" s="489">
        <f t="shared" ref="I35:I40" si="8">IF(D35=0,C35+H35,D35+H35)</f>
        <v>236568789</v>
      </c>
      <c r="J35" s="488">
        <v>241337000</v>
      </c>
      <c r="K35" s="490">
        <v>256482000</v>
      </c>
    </row>
    <row r="36" spans="1:11" ht="12.75" customHeight="1" x14ac:dyDescent="0.25">
      <c r="A36" s="504" t="str">
        <f>'SB7'!A37</f>
        <v xml:space="preserve"> Public Transport and Systems</v>
      </c>
      <c r="B36" s="73"/>
      <c r="C36" s="391">
        <v>173189000</v>
      </c>
      <c r="D36" s="109"/>
      <c r="E36" s="109"/>
      <c r="F36" s="109">
        <v>28167868</v>
      </c>
      <c r="G36" s="109"/>
      <c r="H36" s="75">
        <f t="shared" si="7"/>
        <v>28167868</v>
      </c>
      <c r="I36" s="75">
        <f t="shared" si="8"/>
        <v>201356868</v>
      </c>
      <c r="J36" s="109">
        <v>159861000</v>
      </c>
      <c r="K36" s="110">
        <v>151125950</v>
      </c>
    </row>
    <row r="37" spans="1:11" ht="12.75" customHeight="1" x14ac:dyDescent="0.25">
      <c r="A37" s="504" t="str">
        <f>'SB7'!A38</f>
        <v>Neighbourhood Development Partnership</v>
      </c>
      <c r="B37" s="73"/>
      <c r="C37" s="391">
        <v>20000000</v>
      </c>
      <c r="D37" s="109"/>
      <c r="E37" s="109"/>
      <c r="F37" s="109">
        <v>11072000</v>
      </c>
      <c r="G37" s="109"/>
      <c r="H37" s="75">
        <f t="shared" si="7"/>
        <v>11072000</v>
      </c>
      <c r="I37" s="75">
        <f t="shared" si="8"/>
        <v>31072000</v>
      </c>
      <c r="J37" s="109">
        <v>24000000</v>
      </c>
      <c r="K37" s="110">
        <v>30000000</v>
      </c>
    </row>
    <row r="38" spans="1:11" ht="12.75" customHeight="1" x14ac:dyDescent="0.25">
      <c r="A38" s="504" t="str">
        <f>'SB7'!A39</f>
        <v>GRANT - EPWP INSENTIVE CAPEX</v>
      </c>
      <c r="B38" s="73"/>
      <c r="C38" s="391">
        <v>1856000</v>
      </c>
      <c r="D38" s="109"/>
      <c r="E38" s="109"/>
      <c r="F38" s="109"/>
      <c r="G38" s="109"/>
      <c r="H38" s="75">
        <f t="shared" si="7"/>
        <v>0</v>
      </c>
      <c r="I38" s="75">
        <f t="shared" si="8"/>
        <v>1856000</v>
      </c>
      <c r="J38" s="109"/>
      <c r="K38" s="110"/>
    </row>
    <row r="39" spans="1:11" ht="12.75" customHeight="1" x14ac:dyDescent="0.25">
      <c r="A39" s="504" t="str">
        <f>'SB7'!A40</f>
        <v>Integrated National Electrification Programme</v>
      </c>
      <c r="B39" s="73"/>
      <c r="C39" s="391"/>
      <c r="D39" s="109"/>
      <c r="E39" s="109"/>
      <c r="F39" s="109"/>
      <c r="G39" s="109"/>
      <c r="H39" s="75">
        <f t="shared" si="7"/>
        <v>0</v>
      </c>
      <c r="I39" s="75">
        <f t="shared" si="8"/>
        <v>0</v>
      </c>
      <c r="J39" s="109">
        <v>28000000</v>
      </c>
      <c r="K39" s="110"/>
    </row>
    <row r="40" spans="1:11" ht="12.75" customHeight="1" x14ac:dyDescent="0.25">
      <c r="A40" s="504" t="str">
        <f>'SB7'!A41</f>
        <v>Other capital transfers [insert description]</v>
      </c>
      <c r="B40" s="73"/>
      <c r="C40" s="491"/>
      <c r="D40" s="144"/>
      <c r="E40" s="144"/>
      <c r="F40" s="144"/>
      <c r="G40" s="144"/>
      <c r="H40" s="145">
        <f t="shared" si="7"/>
        <v>0</v>
      </c>
      <c r="I40" s="145">
        <f t="shared" si="8"/>
        <v>0</v>
      </c>
      <c r="J40" s="144"/>
      <c r="K40" s="113"/>
    </row>
    <row r="41" spans="1:11" ht="12.75" customHeight="1" x14ac:dyDescent="0.25">
      <c r="A41" s="502" t="s">
        <v>157</v>
      </c>
      <c r="B41" s="73"/>
      <c r="C41" s="485">
        <f t="shared" ref="C41:K41" si="9">SUM(C42:C43)</f>
        <v>0</v>
      </c>
      <c r="D41" s="141">
        <f t="shared" si="9"/>
        <v>0</v>
      </c>
      <c r="E41" s="141">
        <f t="shared" si="9"/>
        <v>0</v>
      </c>
      <c r="F41" s="141">
        <f t="shared" si="9"/>
        <v>0</v>
      </c>
      <c r="G41" s="141">
        <f t="shared" si="9"/>
        <v>0</v>
      </c>
      <c r="H41" s="141">
        <f t="shared" si="9"/>
        <v>0</v>
      </c>
      <c r="I41" s="141">
        <f t="shared" si="9"/>
        <v>0</v>
      </c>
      <c r="J41" s="141">
        <f t="shared" si="9"/>
        <v>0</v>
      </c>
      <c r="K41" s="142">
        <f t="shared" si="9"/>
        <v>0</v>
      </c>
    </row>
    <row r="42" spans="1:11" ht="12.75" customHeight="1" x14ac:dyDescent="0.25">
      <c r="A42" s="504" t="str">
        <f>'SB7'!A43</f>
        <v>Other capital transfers/grants [insert description]</v>
      </c>
      <c r="B42" s="73"/>
      <c r="C42" s="487"/>
      <c r="D42" s="488"/>
      <c r="E42" s="488"/>
      <c r="F42" s="488"/>
      <c r="G42" s="488"/>
      <c r="H42" s="489">
        <f>SUM(E42:G42)</f>
        <v>0</v>
      </c>
      <c r="I42" s="489">
        <f>IF(D42=0,C42+H42,D42+H42)</f>
        <v>0</v>
      </c>
      <c r="J42" s="488"/>
      <c r="K42" s="490"/>
    </row>
    <row r="43" spans="1:11" ht="12.75" customHeight="1" x14ac:dyDescent="0.25">
      <c r="A43" s="504">
        <f>'SB7'!A44</f>
        <v>0</v>
      </c>
      <c r="B43" s="73"/>
      <c r="C43" s="491"/>
      <c r="D43" s="144"/>
      <c r="E43" s="144"/>
      <c r="F43" s="144"/>
      <c r="G43" s="144"/>
      <c r="H43" s="145">
        <f>SUM(E43:G43)</f>
        <v>0</v>
      </c>
      <c r="I43" s="145">
        <f>IF(D43=0,C43+H43,D43+H43)</f>
        <v>0</v>
      </c>
      <c r="J43" s="144"/>
      <c r="K43" s="113"/>
    </row>
    <row r="44" spans="1:11" ht="12.75" customHeight="1" x14ac:dyDescent="0.25">
      <c r="A44" s="502" t="s">
        <v>158</v>
      </c>
      <c r="B44" s="73"/>
      <c r="C44" s="485">
        <f t="shared" ref="C44:K44" si="10">SUM(C45:C46)</f>
        <v>0</v>
      </c>
      <c r="D44" s="141">
        <f t="shared" si="10"/>
        <v>0</v>
      </c>
      <c r="E44" s="141">
        <f t="shared" si="10"/>
        <v>0</v>
      </c>
      <c r="F44" s="141">
        <f t="shared" si="10"/>
        <v>0</v>
      </c>
      <c r="G44" s="141">
        <f t="shared" si="10"/>
        <v>0</v>
      </c>
      <c r="H44" s="141">
        <f t="shared" si="10"/>
        <v>0</v>
      </c>
      <c r="I44" s="141">
        <f t="shared" si="10"/>
        <v>0</v>
      </c>
      <c r="J44" s="141">
        <f t="shared" si="10"/>
        <v>0</v>
      </c>
      <c r="K44" s="142">
        <f t="shared" si="10"/>
        <v>0</v>
      </c>
    </row>
    <row r="45" spans="1:11" ht="12.75" customHeight="1" x14ac:dyDescent="0.25">
      <c r="A45" s="503" t="str">
        <f>'SB7'!A46</f>
        <v>[insert description]</v>
      </c>
      <c r="B45" s="73"/>
      <c r="C45" s="487"/>
      <c r="D45" s="488"/>
      <c r="E45" s="488"/>
      <c r="F45" s="488"/>
      <c r="G45" s="488"/>
      <c r="H45" s="489">
        <f>SUM(E45:G45)</f>
        <v>0</v>
      </c>
      <c r="I45" s="489">
        <f>IF(D45=0,C45+H45,D45+H45)</f>
        <v>0</v>
      </c>
      <c r="J45" s="488"/>
      <c r="K45" s="490"/>
    </row>
    <row r="46" spans="1:11" ht="12.75" customHeight="1" x14ac:dyDescent="0.25">
      <c r="A46" s="503">
        <f>'SB7'!A47</f>
        <v>0</v>
      </c>
      <c r="B46" s="73"/>
      <c r="C46" s="491"/>
      <c r="D46" s="144"/>
      <c r="E46" s="144"/>
      <c r="F46" s="144"/>
      <c r="G46" s="144"/>
      <c r="H46" s="145">
        <f>SUM(E46:G46)</f>
        <v>0</v>
      </c>
      <c r="I46" s="145">
        <f>IF(D46=0,C46+H46,D46+H46)</f>
        <v>0</v>
      </c>
      <c r="J46" s="144"/>
      <c r="K46" s="113"/>
    </row>
    <row r="47" spans="1:11" ht="12.75" customHeight="1" x14ac:dyDescent="0.25">
      <c r="A47" s="502" t="s">
        <v>160</v>
      </c>
      <c r="B47" s="73"/>
      <c r="C47" s="485">
        <f t="shared" ref="C47:K47" si="11">SUM(C48:C49)</f>
        <v>0</v>
      </c>
      <c r="D47" s="141">
        <f t="shared" si="11"/>
        <v>0</v>
      </c>
      <c r="E47" s="141">
        <f t="shared" si="11"/>
        <v>0</v>
      </c>
      <c r="F47" s="141">
        <f t="shared" si="11"/>
        <v>0</v>
      </c>
      <c r="G47" s="141">
        <f t="shared" si="11"/>
        <v>0</v>
      </c>
      <c r="H47" s="141">
        <f t="shared" si="11"/>
        <v>0</v>
      </c>
      <c r="I47" s="141">
        <f t="shared" si="11"/>
        <v>0</v>
      </c>
      <c r="J47" s="141">
        <f t="shared" si="11"/>
        <v>0</v>
      </c>
      <c r="K47" s="142">
        <f t="shared" si="11"/>
        <v>0</v>
      </c>
    </row>
    <row r="48" spans="1:11" ht="12.75" customHeight="1" x14ac:dyDescent="0.25">
      <c r="A48" s="503" t="str">
        <f>'SB7'!A49</f>
        <v>[insert description]</v>
      </c>
      <c r="B48" s="73"/>
      <c r="C48" s="487"/>
      <c r="D48" s="488"/>
      <c r="E48" s="488"/>
      <c r="F48" s="488"/>
      <c r="G48" s="488"/>
      <c r="H48" s="489">
        <f>SUM(E48:G48)</f>
        <v>0</v>
      </c>
      <c r="I48" s="489">
        <f>IF(D48=0,C48+H48,D48+H48)</f>
        <v>0</v>
      </c>
      <c r="J48" s="488"/>
      <c r="K48" s="490"/>
    </row>
    <row r="49" spans="1:11" ht="12.75" customHeight="1" x14ac:dyDescent="0.25">
      <c r="A49" s="503">
        <f>'SB7'!A50</f>
        <v>0</v>
      </c>
      <c r="B49" s="73"/>
      <c r="C49" s="491"/>
      <c r="D49" s="144"/>
      <c r="E49" s="144"/>
      <c r="F49" s="144"/>
      <c r="G49" s="144"/>
      <c r="H49" s="145">
        <f>SUM(E49:G49)</f>
        <v>0</v>
      </c>
      <c r="I49" s="145">
        <f>IF(D49=0,C49+H49,D49+H49)</f>
        <v>0</v>
      </c>
      <c r="J49" s="144"/>
      <c r="K49" s="113"/>
    </row>
    <row r="50" spans="1:11" ht="12.75" customHeight="1" x14ac:dyDescent="0.25">
      <c r="A50" s="496" t="s">
        <v>1255</v>
      </c>
      <c r="B50" s="105"/>
      <c r="C50" s="305">
        <f t="shared" ref="C50:K50" si="12">C34+C41+C44+C47</f>
        <v>466288000</v>
      </c>
      <c r="D50" s="151">
        <f t="shared" si="12"/>
        <v>0</v>
      </c>
      <c r="E50" s="151">
        <f t="shared" si="12"/>
        <v>0</v>
      </c>
      <c r="F50" s="151">
        <f>F34+F41+F44+F47</f>
        <v>42808657</v>
      </c>
      <c r="G50" s="151">
        <f>G34+G41+G44+G47</f>
        <v>-38243000</v>
      </c>
      <c r="H50" s="151">
        <f t="shared" si="12"/>
        <v>4565657</v>
      </c>
      <c r="I50" s="151">
        <f t="shared" si="12"/>
        <v>470853657</v>
      </c>
      <c r="J50" s="151">
        <f t="shared" si="12"/>
        <v>453198000</v>
      </c>
      <c r="K50" s="152">
        <f t="shared" si="12"/>
        <v>437607950</v>
      </c>
    </row>
    <row r="51" spans="1:11" ht="5.0999999999999996" customHeight="1" x14ac:dyDescent="0.25">
      <c r="A51" s="136"/>
      <c r="B51" s="73"/>
      <c r="C51" s="241"/>
      <c r="D51" s="75"/>
      <c r="E51" s="75"/>
      <c r="F51" s="75"/>
      <c r="G51" s="75"/>
      <c r="H51" s="75"/>
      <c r="I51" s="75"/>
      <c r="J51" s="75"/>
      <c r="K51" s="76"/>
    </row>
    <row r="52" spans="1:11" ht="12.75" customHeight="1" x14ac:dyDescent="0.25">
      <c r="A52" s="505" t="s">
        <v>1255</v>
      </c>
      <c r="B52" s="156"/>
      <c r="C52" s="116">
        <f t="shared" ref="C52:K52" si="13">C31+C50</f>
        <v>1145148000</v>
      </c>
      <c r="D52" s="117">
        <f t="shared" si="13"/>
        <v>0</v>
      </c>
      <c r="E52" s="117">
        <f t="shared" si="13"/>
        <v>0</v>
      </c>
      <c r="F52" s="117">
        <f t="shared" si="13"/>
        <v>42808657</v>
      </c>
      <c r="G52" s="117">
        <f>G31+G50</f>
        <v>-38243000</v>
      </c>
      <c r="H52" s="117">
        <f>H31+H50</f>
        <v>4565657</v>
      </c>
      <c r="I52" s="117">
        <f>I31+I50</f>
        <v>1149713657</v>
      </c>
      <c r="J52" s="117">
        <f t="shared" si="13"/>
        <v>1087291000</v>
      </c>
      <c r="K52" s="118">
        <f t="shared" si="13"/>
        <v>1123197000</v>
      </c>
    </row>
    <row r="53" spans="1:11" ht="12.75" customHeight="1" x14ac:dyDescent="0.25">
      <c r="A53" s="158" t="str">
        <f>head27a</f>
        <v>References</v>
      </c>
      <c r="B53" s="93"/>
      <c r="C53" s="99"/>
      <c r="D53" s="99"/>
      <c r="E53" s="99"/>
      <c r="F53" s="99"/>
      <c r="G53" s="99"/>
      <c r="H53" s="99"/>
      <c r="I53" s="99"/>
      <c r="J53" s="99"/>
      <c r="K53" s="99"/>
    </row>
    <row r="54" spans="1:11" ht="12.75" customHeight="1" x14ac:dyDescent="0.25">
      <c r="A54" s="99" t="s">
        <v>173</v>
      </c>
      <c r="B54" s="93"/>
      <c r="C54" s="99"/>
      <c r="D54" s="99"/>
      <c r="E54" s="99"/>
      <c r="F54" s="99"/>
      <c r="G54" s="99"/>
      <c r="H54" s="99"/>
      <c r="I54" s="99"/>
      <c r="J54" s="99"/>
      <c r="K54" s="99"/>
    </row>
    <row r="55" spans="1:11" ht="12.75" customHeight="1" x14ac:dyDescent="0.25">
      <c r="A55" s="99" t="s">
        <v>1098</v>
      </c>
      <c r="B55" s="99"/>
      <c r="C55" s="99"/>
      <c r="D55" s="99"/>
      <c r="E55" s="99"/>
      <c r="F55" s="99"/>
      <c r="G55" s="99"/>
      <c r="H55" s="99"/>
      <c r="I55" s="99"/>
      <c r="J55" s="99"/>
      <c r="K55" s="99"/>
    </row>
    <row r="56" spans="1:11" ht="12.75" customHeight="1" x14ac:dyDescent="0.25">
      <c r="A56" s="99" t="s">
        <v>174</v>
      </c>
      <c r="B56" s="93"/>
      <c r="C56" s="99"/>
      <c r="D56" s="99"/>
      <c r="E56" s="99"/>
      <c r="F56" s="99"/>
      <c r="G56" s="99"/>
      <c r="H56" s="99"/>
      <c r="I56" s="99"/>
      <c r="J56" s="99"/>
      <c r="K56" s="99"/>
    </row>
    <row r="57" spans="1:11" ht="12.75" customHeight="1" x14ac:dyDescent="0.25">
      <c r="A57" s="99" t="s">
        <v>175</v>
      </c>
      <c r="B57" s="93"/>
      <c r="C57" s="99"/>
      <c r="D57" s="99"/>
      <c r="E57" s="99"/>
      <c r="F57" s="99"/>
      <c r="G57" s="99"/>
      <c r="H57" s="99"/>
      <c r="I57" s="99"/>
      <c r="J57" s="99"/>
      <c r="K57" s="99"/>
    </row>
    <row r="58" spans="1:11" ht="24.95" customHeight="1" x14ac:dyDescent="0.25">
      <c r="A58" s="1314" t="s">
        <v>176</v>
      </c>
      <c r="B58" s="1320"/>
      <c r="C58" s="1314"/>
      <c r="D58" s="1314"/>
      <c r="E58" s="1314"/>
      <c r="F58" s="1314"/>
      <c r="G58" s="1314"/>
      <c r="H58" s="1314"/>
      <c r="I58" s="1314"/>
      <c r="J58" s="1314"/>
      <c r="K58" s="1314"/>
    </row>
    <row r="59" spans="1:11" ht="12.75" customHeight="1" x14ac:dyDescent="0.25">
      <c r="A59" s="99" t="s">
        <v>177</v>
      </c>
      <c r="B59" s="93"/>
      <c r="C59" s="99"/>
      <c r="D59" s="99"/>
      <c r="E59" s="99"/>
      <c r="F59" s="99"/>
      <c r="G59" s="99"/>
      <c r="H59" s="99"/>
      <c r="I59" s="99"/>
      <c r="J59" s="99"/>
      <c r="K59" s="99"/>
    </row>
    <row r="60" spans="1:11" ht="12.75" customHeight="1" x14ac:dyDescent="0.25">
      <c r="A60" s="99" t="s">
        <v>178</v>
      </c>
      <c r="B60" s="93"/>
      <c r="C60" s="99"/>
      <c r="D60" s="99"/>
      <c r="E60" s="99"/>
      <c r="F60" s="99"/>
      <c r="G60" s="99"/>
      <c r="H60" s="99"/>
      <c r="I60" s="99"/>
      <c r="J60" s="99"/>
      <c r="K60" s="99"/>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sheetData>
  <mergeCells count="4">
    <mergeCell ref="A58:K58"/>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C2" sqref="C2:I2"/>
    </sheetView>
  </sheetViews>
  <sheetFormatPr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"&amp;ADJB9&amp;" - "&amp;Date</f>
        <v>LIM354 Polokwane - Supporting Table SB9 Adjustments Budget - reconciliation of transfers, grant receipts, and unspent funds - 25 February 2016</v>
      </c>
      <c r="B1" s="5"/>
      <c r="C1" s="58"/>
    </row>
    <row r="2" spans="1:11" ht="25.5" x14ac:dyDescent="0.25">
      <c r="A2" s="1318" t="str">
        <f>desc</f>
        <v>Description</v>
      </c>
      <c r="B2" s="1318" t="str">
        <f>head27</f>
        <v>Ref</v>
      </c>
      <c r="C2" s="1315" t="str">
        <f>Head2</f>
        <v>Budget Year 2015/16</v>
      </c>
      <c r="D2" s="1316"/>
      <c r="E2" s="1316"/>
      <c r="F2" s="1316"/>
      <c r="G2" s="1316"/>
      <c r="H2" s="1316"/>
      <c r="I2" s="1316"/>
      <c r="J2" s="103" t="str">
        <f>Head10</f>
        <v>Budget Year +1 2016/17</v>
      </c>
      <c r="K2" s="61" t="str">
        <f>Head11</f>
        <v>Budget Year +2 2017/18</v>
      </c>
    </row>
    <row r="3" spans="1:11" ht="25.5" x14ac:dyDescent="0.25">
      <c r="A3" s="1319"/>
      <c r="B3" s="1319"/>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19"/>
      <c r="B4" s="1319"/>
      <c r="C4" s="65"/>
      <c r="D4" s="15">
        <v>2</v>
      </c>
      <c r="E4" s="15">
        <v>3</v>
      </c>
      <c r="F4" s="15">
        <v>4</v>
      </c>
      <c r="G4" s="15">
        <v>5</v>
      </c>
      <c r="H4" s="15">
        <v>6</v>
      </c>
      <c r="I4" s="15">
        <v>7</v>
      </c>
      <c r="J4" s="15"/>
      <c r="K4" s="17"/>
    </row>
    <row r="5" spans="1:11" x14ac:dyDescent="0.25">
      <c r="A5" s="66" t="s">
        <v>641</v>
      </c>
      <c r="B5" s="104"/>
      <c r="C5" s="67" t="s">
        <v>581</v>
      </c>
      <c r="D5" s="68" t="s">
        <v>582</v>
      </c>
      <c r="E5" s="69" t="s">
        <v>583</v>
      </c>
      <c r="F5" s="69" t="s">
        <v>584</v>
      </c>
      <c r="G5" s="70" t="s">
        <v>585</v>
      </c>
      <c r="H5" s="70" t="s">
        <v>586</v>
      </c>
      <c r="I5" s="70" t="s">
        <v>587</v>
      </c>
      <c r="J5" s="70"/>
      <c r="K5" s="71"/>
    </row>
    <row r="6" spans="1:11" ht="12.75" customHeight="1" x14ac:dyDescent="0.25">
      <c r="A6" s="126" t="s">
        <v>1244</v>
      </c>
      <c r="B6" s="73"/>
      <c r="C6" s="241"/>
      <c r="D6" s="75"/>
      <c r="E6" s="75"/>
      <c r="F6" s="75"/>
      <c r="G6" s="75"/>
      <c r="H6" s="75"/>
      <c r="I6" s="75"/>
      <c r="J6" s="75"/>
      <c r="K6" s="76"/>
    </row>
    <row r="7" spans="1:11" ht="12.75" customHeight="1" x14ac:dyDescent="0.25">
      <c r="A7" s="166" t="s">
        <v>155</v>
      </c>
      <c r="B7" s="73"/>
      <c r="C7" s="241"/>
      <c r="D7" s="75"/>
      <c r="E7" s="75"/>
      <c r="F7" s="75"/>
      <c r="G7" s="75"/>
      <c r="H7" s="75"/>
      <c r="I7" s="75"/>
      <c r="J7" s="75"/>
      <c r="K7" s="76"/>
    </row>
    <row r="8" spans="1:11" ht="12.75" customHeight="1" x14ac:dyDescent="0.25">
      <c r="A8" s="164" t="s">
        <v>179</v>
      </c>
      <c r="B8" s="73"/>
      <c r="C8" s="391">
        <v>1603800</v>
      </c>
      <c r="D8" s="109"/>
      <c r="E8" s="109"/>
      <c r="F8" s="109"/>
      <c r="G8" s="109"/>
      <c r="H8" s="75">
        <f>SUM(E8:G8)</f>
        <v>0</v>
      </c>
      <c r="I8" s="75">
        <f>IF(D8=0,C8+H8,D8+H8)</f>
        <v>1603800</v>
      </c>
      <c r="J8" s="109">
        <v>1603800</v>
      </c>
      <c r="K8" s="110">
        <v>1603800</v>
      </c>
    </row>
    <row r="9" spans="1:11" ht="12.75" customHeight="1" x14ac:dyDescent="0.25">
      <c r="A9" s="164" t="s">
        <v>180</v>
      </c>
      <c r="B9" s="73"/>
      <c r="C9" s="391">
        <v>626860000</v>
      </c>
      <c r="D9" s="109"/>
      <c r="E9" s="109"/>
      <c r="F9" s="109"/>
      <c r="G9" s="109"/>
      <c r="H9" s="75">
        <f>SUM(E9:G9)</f>
        <v>0</v>
      </c>
      <c r="I9" s="75">
        <f>IF(D9=0,C9+H9,D9+H9)</f>
        <v>626860000</v>
      </c>
      <c r="J9" s="109">
        <v>662093000</v>
      </c>
      <c r="K9" s="110">
        <v>685589050</v>
      </c>
    </row>
    <row r="10" spans="1:11" ht="12.75" customHeight="1" x14ac:dyDescent="0.25">
      <c r="A10" s="506" t="s">
        <v>181</v>
      </c>
      <c r="B10" s="149"/>
      <c r="C10" s="494">
        <f t="shared" ref="C10:K10" si="0">C8+C9-C11</f>
        <v>626860000</v>
      </c>
      <c r="D10" s="81">
        <f t="shared" si="0"/>
        <v>0</v>
      </c>
      <c r="E10" s="81">
        <f t="shared" si="0"/>
        <v>0</v>
      </c>
      <c r="F10" s="81">
        <f t="shared" si="0"/>
        <v>0</v>
      </c>
      <c r="G10" s="81">
        <f t="shared" si="0"/>
        <v>0</v>
      </c>
      <c r="H10" s="81">
        <f t="shared" si="0"/>
        <v>0</v>
      </c>
      <c r="I10" s="81">
        <f t="shared" si="0"/>
        <v>626860000</v>
      </c>
      <c r="J10" s="81">
        <f t="shared" si="0"/>
        <v>662093000</v>
      </c>
      <c r="K10" s="82">
        <f t="shared" si="0"/>
        <v>685589050</v>
      </c>
    </row>
    <row r="11" spans="1:11" ht="12.75" customHeight="1" x14ac:dyDescent="0.25">
      <c r="A11" s="164" t="s">
        <v>182</v>
      </c>
      <c r="B11" s="73"/>
      <c r="C11" s="391">
        <v>1603800</v>
      </c>
      <c r="D11" s="109"/>
      <c r="E11" s="109"/>
      <c r="F11" s="109"/>
      <c r="G11" s="109"/>
      <c r="H11" s="75">
        <f>SUM(E11:G11)</f>
        <v>0</v>
      </c>
      <c r="I11" s="75">
        <f>IF(D11=0,C11+H11,D11+H11)</f>
        <v>1603800</v>
      </c>
      <c r="J11" s="109">
        <v>1603800</v>
      </c>
      <c r="K11" s="110">
        <v>1603800</v>
      </c>
    </row>
    <row r="12" spans="1:11" ht="12.75" customHeight="1" x14ac:dyDescent="0.25">
      <c r="A12" s="507" t="s">
        <v>157</v>
      </c>
      <c r="B12" s="73"/>
      <c r="C12" s="241"/>
      <c r="D12" s="75"/>
      <c r="E12" s="75"/>
      <c r="F12" s="75"/>
      <c r="G12" s="75"/>
      <c r="H12" s="75"/>
      <c r="I12" s="75"/>
      <c r="J12" s="75"/>
      <c r="K12" s="76"/>
    </row>
    <row r="13" spans="1:11" ht="12.75" customHeight="1" x14ac:dyDescent="0.25">
      <c r="A13" s="164" t="s">
        <v>179</v>
      </c>
      <c r="B13" s="73"/>
      <c r="C13" s="391">
        <v>385777</v>
      </c>
      <c r="D13" s="109"/>
      <c r="E13" s="109"/>
      <c r="F13" s="109"/>
      <c r="G13" s="109"/>
      <c r="H13" s="75">
        <f>SUM(E13:G13)</f>
        <v>0</v>
      </c>
      <c r="I13" s="75">
        <f>IF(D13=0,C13+H13,D13+H13)</f>
        <v>385777</v>
      </c>
      <c r="J13" s="109">
        <v>385777</v>
      </c>
      <c r="K13" s="110"/>
    </row>
    <row r="14" spans="1:11" ht="12.75" customHeight="1" x14ac:dyDescent="0.25">
      <c r="A14" s="508" t="str">
        <f>A9</f>
        <v>Current year receipts</v>
      </c>
      <c r="B14" s="73"/>
      <c r="C14" s="391"/>
      <c r="D14" s="109"/>
      <c r="E14" s="109"/>
      <c r="F14" s="109"/>
      <c r="G14" s="109"/>
      <c r="H14" s="75">
        <f>SUM(E14:G14)</f>
        <v>0</v>
      </c>
      <c r="I14" s="75">
        <f>IF(D14=0,C14+H14,D14+H14)</f>
        <v>0</v>
      </c>
      <c r="J14" s="109"/>
      <c r="K14" s="110"/>
    </row>
    <row r="15" spans="1:11" ht="12.75" customHeight="1" x14ac:dyDescent="0.25">
      <c r="A15" s="506" t="str">
        <f>A10</f>
        <v>Conditions met - transferred to revenue</v>
      </c>
      <c r="B15" s="149"/>
      <c r="C15" s="494">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-385777</v>
      </c>
    </row>
    <row r="16" spans="1:11" ht="12.75" customHeight="1" x14ac:dyDescent="0.25">
      <c r="A16" s="508" t="str">
        <f>A11</f>
        <v>Conditions still to be met - transferred to liabilities</v>
      </c>
      <c r="B16" s="73"/>
      <c r="C16" s="391">
        <v>385777</v>
      </c>
      <c r="D16" s="109"/>
      <c r="E16" s="109"/>
      <c r="F16" s="109"/>
      <c r="G16" s="109"/>
      <c r="H16" s="75">
        <f>SUM(E16:G16)</f>
        <v>0</v>
      </c>
      <c r="I16" s="75">
        <f>IF(D16=0,C16+H16,D16+H16)</f>
        <v>385777</v>
      </c>
      <c r="J16" s="109">
        <v>385777</v>
      </c>
      <c r="K16" s="110">
        <v>385777</v>
      </c>
    </row>
    <row r="17" spans="1:11" ht="12.75" customHeight="1" x14ac:dyDescent="0.25">
      <c r="A17" s="507" t="s">
        <v>158</v>
      </c>
      <c r="B17" s="73"/>
      <c r="C17" s="241"/>
      <c r="D17" s="75"/>
      <c r="E17" s="75"/>
      <c r="F17" s="75"/>
      <c r="G17" s="75"/>
      <c r="H17" s="75"/>
      <c r="I17" s="75"/>
      <c r="J17" s="75"/>
      <c r="K17" s="76"/>
    </row>
    <row r="18" spans="1:11" ht="12.75" customHeight="1" x14ac:dyDescent="0.25">
      <c r="A18" s="164" t="str">
        <f>A13</f>
        <v>Balance unspent at beginning of the year</v>
      </c>
      <c r="B18" s="73"/>
      <c r="C18" s="391"/>
      <c r="D18" s="109"/>
      <c r="E18" s="109"/>
      <c r="F18" s="109"/>
      <c r="G18" s="109"/>
      <c r="H18" s="75">
        <f>SUM(E18:G18)</f>
        <v>0</v>
      </c>
      <c r="I18" s="75">
        <f>IF(D18=0,C18+H18,D18+H18)</f>
        <v>0</v>
      </c>
      <c r="J18" s="109"/>
      <c r="K18" s="110"/>
    </row>
    <row r="19" spans="1:11" ht="12.75" customHeight="1" x14ac:dyDescent="0.25">
      <c r="A19" s="508" t="str">
        <f>A14</f>
        <v>Current year receipts</v>
      </c>
      <c r="B19" s="73"/>
      <c r="C19" s="391"/>
      <c r="D19" s="109"/>
      <c r="E19" s="109"/>
      <c r="F19" s="109"/>
      <c r="G19" s="109"/>
      <c r="H19" s="75">
        <f>SUM(E19:G19)</f>
        <v>0</v>
      </c>
      <c r="I19" s="75">
        <f>IF(D19=0,C19+H19,D19+H19)</f>
        <v>0</v>
      </c>
      <c r="J19" s="109"/>
      <c r="K19" s="110"/>
    </row>
    <row r="20" spans="1:11" ht="12.75" customHeight="1" x14ac:dyDescent="0.25">
      <c r="A20" s="506" t="str">
        <f>A15</f>
        <v>Conditions met - transferred to revenue</v>
      </c>
      <c r="B20" s="149"/>
      <c r="C20" s="494">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08" t="str">
        <f>A16</f>
        <v>Conditions still to be met - transferred to liabilities</v>
      </c>
      <c r="B21" s="73"/>
      <c r="C21" s="391"/>
      <c r="D21" s="109"/>
      <c r="E21" s="109"/>
      <c r="F21" s="109"/>
      <c r="G21" s="109"/>
      <c r="H21" s="75">
        <f>SUM(E21:G21)</f>
        <v>0</v>
      </c>
      <c r="I21" s="75">
        <f>IF(D21=0,C21+H21,D21+H21)</f>
        <v>0</v>
      </c>
      <c r="J21" s="109"/>
      <c r="K21" s="110"/>
    </row>
    <row r="22" spans="1:11" ht="12.75" customHeight="1" x14ac:dyDescent="0.25">
      <c r="A22" s="507" t="s">
        <v>160</v>
      </c>
      <c r="B22" s="73"/>
      <c r="C22" s="241"/>
      <c r="D22" s="75"/>
      <c r="E22" s="75"/>
      <c r="F22" s="75"/>
      <c r="G22" s="75"/>
      <c r="H22" s="75"/>
      <c r="I22" s="75"/>
      <c r="J22" s="75"/>
      <c r="K22" s="76"/>
    </row>
    <row r="23" spans="1:11" ht="12.75" customHeight="1" x14ac:dyDescent="0.25">
      <c r="A23" s="508" t="str">
        <f>A13</f>
        <v>Balance unspent at beginning of the year</v>
      </c>
      <c r="B23" s="73"/>
      <c r="C23" s="391"/>
      <c r="D23" s="109"/>
      <c r="E23" s="109"/>
      <c r="F23" s="109"/>
      <c r="G23" s="109"/>
      <c r="H23" s="75">
        <f>SUM(E23:G23)</f>
        <v>0</v>
      </c>
      <c r="I23" s="75">
        <f>IF(D23=0,C23+H23,D23+H23)</f>
        <v>0</v>
      </c>
      <c r="J23" s="109"/>
      <c r="K23" s="110"/>
    </row>
    <row r="24" spans="1:11" ht="12.75" customHeight="1" x14ac:dyDescent="0.25">
      <c r="A24" s="508" t="str">
        <f>A14</f>
        <v>Current year receipts</v>
      </c>
      <c r="B24" s="73"/>
      <c r="C24" s="1283">
        <v>52000000</v>
      </c>
      <c r="D24" s="109"/>
      <c r="E24" s="109"/>
      <c r="F24" s="109"/>
      <c r="G24" s="109"/>
      <c r="H24" s="75">
        <f>SUM(E24:G24)</f>
        <v>0</v>
      </c>
      <c r="I24" s="75">
        <f>IF(D24=0,C24+H24,D24+H24)</f>
        <v>52000000</v>
      </c>
      <c r="J24" s="109"/>
      <c r="K24" s="110"/>
    </row>
    <row r="25" spans="1:11" ht="12.75" customHeight="1" x14ac:dyDescent="0.25">
      <c r="A25" s="506" t="str">
        <f>A15</f>
        <v>Conditions met - transferred to revenue</v>
      </c>
      <c r="B25" s="149"/>
      <c r="C25" s="494">
        <f t="shared" ref="C25:K25" si="3">C23+C24-C26</f>
        <v>52000000</v>
      </c>
      <c r="D25" s="81">
        <f t="shared" si="3"/>
        <v>0</v>
      </c>
      <c r="E25" s="81">
        <f t="shared" si="3"/>
        <v>0</v>
      </c>
      <c r="F25" s="81">
        <f t="shared" si="3"/>
        <v>0</v>
      </c>
      <c r="G25" s="81">
        <f t="shared" si="3"/>
        <v>0</v>
      </c>
      <c r="H25" s="81">
        <f t="shared" si="3"/>
        <v>0</v>
      </c>
      <c r="I25" s="81">
        <f t="shared" si="3"/>
        <v>52000000</v>
      </c>
      <c r="J25" s="81">
        <f t="shared" si="3"/>
        <v>0</v>
      </c>
      <c r="K25" s="82">
        <f t="shared" si="3"/>
        <v>0</v>
      </c>
    </row>
    <row r="26" spans="1:11" ht="12.75" customHeight="1" x14ac:dyDescent="0.25">
      <c r="A26" s="508" t="str">
        <f>A16</f>
        <v>Conditions still to be met - transferred to liabilities</v>
      </c>
      <c r="B26" s="73"/>
      <c r="C26" s="391"/>
      <c r="D26" s="109"/>
      <c r="E26" s="109"/>
      <c r="F26" s="109"/>
      <c r="G26" s="109"/>
      <c r="H26" s="75">
        <f>SUM(E26:G26)</f>
        <v>0</v>
      </c>
      <c r="I26" s="75">
        <f>IF(D26=0,C26+H26,D26+H26)</f>
        <v>0</v>
      </c>
      <c r="J26" s="109"/>
      <c r="K26" s="110"/>
    </row>
    <row r="27" spans="1:11" ht="12.75" customHeight="1" x14ac:dyDescent="0.25">
      <c r="A27" s="163" t="s">
        <v>1245</v>
      </c>
      <c r="B27" s="79"/>
      <c r="C27" s="494">
        <f t="shared" ref="C27:K27" si="4">C10+C15+C20+C25</f>
        <v>678860000</v>
      </c>
      <c r="D27" s="81">
        <f t="shared" si="4"/>
        <v>0</v>
      </c>
      <c r="E27" s="81">
        <f t="shared" si="4"/>
        <v>0</v>
      </c>
      <c r="F27" s="81">
        <f t="shared" si="4"/>
        <v>0</v>
      </c>
      <c r="G27" s="81">
        <f t="shared" si="4"/>
        <v>0</v>
      </c>
      <c r="H27" s="81">
        <f t="shared" si="4"/>
        <v>0</v>
      </c>
      <c r="I27" s="81">
        <f t="shared" si="4"/>
        <v>678860000</v>
      </c>
      <c r="J27" s="81">
        <f t="shared" si="4"/>
        <v>662093000</v>
      </c>
      <c r="K27" s="82">
        <f t="shared" si="4"/>
        <v>685203273</v>
      </c>
    </row>
    <row r="28" spans="1:11" ht="12.75" customHeight="1" x14ac:dyDescent="0.25">
      <c r="A28" s="163" t="s">
        <v>1246</v>
      </c>
      <c r="B28" s="79">
        <v>2</v>
      </c>
      <c r="C28" s="494">
        <f t="shared" ref="C28:K28" si="5">C11+C16+C21+C26</f>
        <v>1989577</v>
      </c>
      <c r="D28" s="81">
        <f t="shared" si="5"/>
        <v>0</v>
      </c>
      <c r="E28" s="81">
        <f t="shared" si="5"/>
        <v>0</v>
      </c>
      <c r="F28" s="81">
        <f t="shared" si="5"/>
        <v>0</v>
      </c>
      <c r="G28" s="81">
        <f t="shared" si="5"/>
        <v>0</v>
      </c>
      <c r="H28" s="81">
        <f t="shared" si="5"/>
        <v>0</v>
      </c>
      <c r="I28" s="81">
        <f t="shared" si="5"/>
        <v>1989577</v>
      </c>
      <c r="J28" s="81">
        <f t="shared" si="5"/>
        <v>1989577</v>
      </c>
      <c r="K28" s="82">
        <f t="shared" si="5"/>
        <v>1989577</v>
      </c>
    </row>
    <row r="29" spans="1:11" ht="5.0999999999999996" customHeight="1" x14ac:dyDescent="0.25">
      <c r="A29" s="136"/>
      <c r="B29" s="73"/>
      <c r="C29" s="241"/>
      <c r="D29" s="75"/>
      <c r="E29" s="75"/>
      <c r="F29" s="75"/>
      <c r="G29" s="75"/>
      <c r="H29" s="75"/>
      <c r="I29" s="75"/>
      <c r="J29" s="75"/>
      <c r="K29" s="76"/>
    </row>
    <row r="30" spans="1:11" ht="12.75" customHeight="1" x14ac:dyDescent="0.25">
      <c r="A30" s="126" t="s">
        <v>1247</v>
      </c>
      <c r="B30" s="73"/>
      <c r="C30" s="241"/>
      <c r="D30" s="75"/>
      <c r="E30" s="75"/>
      <c r="F30" s="75"/>
      <c r="G30" s="75"/>
      <c r="H30" s="75"/>
      <c r="I30" s="75"/>
      <c r="J30" s="75"/>
      <c r="K30" s="76"/>
    </row>
    <row r="31" spans="1:11" ht="12.75" customHeight="1" x14ac:dyDescent="0.25">
      <c r="A31" s="507" t="str">
        <f>A7</f>
        <v>National Government:</v>
      </c>
      <c r="B31" s="73"/>
      <c r="C31" s="241"/>
      <c r="D31" s="75"/>
      <c r="E31" s="75"/>
      <c r="F31" s="75"/>
      <c r="G31" s="75"/>
      <c r="H31" s="75"/>
      <c r="I31" s="75"/>
      <c r="J31" s="75"/>
      <c r="K31" s="76"/>
    </row>
    <row r="32" spans="1:11" ht="12.75" customHeight="1" x14ac:dyDescent="0.25">
      <c r="A32" s="164" t="s">
        <v>179</v>
      </c>
      <c r="B32" s="73"/>
      <c r="C32" s="391"/>
      <c r="D32" s="109"/>
      <c r="E32" s="109"/>
      <c r="F32" s="109"/>
      <c r="G32" s="109"/>
      <c r="H32" s="75">
        <f>SUM(E32:G32)</f>
        <v>0</v>
      </c>
      <c r="I32" s="75">
        <f>IF(D32=0,C32+H32,D32+H32)</f>
        <v>0</v>
      </c>
      <c r="J32" s="109"/>
      <c r="K32" s="110"/>
    </row>
    <row r="33" spans="1:11" ht="12.75" customHeight="1" x14ac:dyDescent="0.25">
      <c r="A33" s="164" t="s">
        <v>180</v>
      </c>
      <c r="B33" s="73"/>
      <c r="C33" s="391">
        <v>466288000</v>
      </c>
      <c r="D33" s="109"/>
      <c r="E33" s="109"/>
      <c r="F33" s="109">
        <f>'B4-FinPerf RE'!H41</f>
        <v>42808657</v>
      </c>
      <c r="G33" s="109">
        <f>'B4-FinPerf RE'!I41</f>
        <v>-38243000</v>
      </c>
      <c r="H33" s="75">
        <f>SUM(E33:G33)</f>
        <v>4565657</v>
      </c>
      <c r="I33" s="75">
        <f>IF(D33=0,C33+H33,D33+H33)</f>
        <v>470853657</v>
      </c>
      <c r="J33" s="109">
        <v>417198000</v>
      </c>
      <c r="K33" s="110">
        <v>437607950</v>
      </c>
    </row>
    <row r="34" spans="1:11" ht="12.75" customHeight="1" x14ac:dyDescent="0.25">
      <c r="A34" s="506" t="s">
        <v>181</v>
      </c>
      <c r="B34" s="149"/>
      <c r="C34" s="494">
        <f t="shared" ref="C34:K34" si="6">C32+C33-C35</f>
        <v>466288000</v>
      </c>
      <c r="D34" s="81">
        <f t="shared" si="6"/>
        <v>0</v>
      </c>
      <c r="E34" s="81">
        <f t="shared" si="6"/>
        <v>0</v>
      </c>
      <c r="F34" s="81">
        <f t="shared" si="6"/>
        <v>42808657</v>
      </c>
      <c r="G34" s="81">
        <f t="shared" si="6"/>
        <v>-38243000</v>
      </c>
      <c r="H34" s="81">
        <f t="shared" si="6"/>
        <v>4565657</v>
      </c>
      <c r="I34" s="81">
        <f t="shared" si="6"/>
        <v>470853657</v>
      </c>
      <c r="J34" s="81">
        <f t="shared" si="6"/>
        <v>417198000</v>
      </c>
      <c r="K34" s="82">
        <f t="shared" si="6"/>
        <v>437607950</v>
      </c>
    </row>
    <row r="35" spans="1:11" ht="12.75" customHeight="1" x14ac:dyDescent="0.25">
      <c r="A35" s="164" t="s">
        <v>182</v>
      </c>
      <c r="B35" s="73"/>
      <c r="C35" s="391"/>
      <c r="D35" s="109"/>
      <c r="E35" s="109"/>
      <c r="F35" s="109"/>
      <c r="G35" s="109"/>
      <c r="H35" s="75">
        <f>SUM(E35:G35)</f>
        <v>0</v>
      </c>
      <c r="I35" s="75">
        <f>IF(D35=0,C35+H35,D35+H35)</f>
        <v>0</v>
      </c>
      <c r="J35" s="109"/>
      <c r="K35" s="110"/>
    </row>
    <row r="36" spans="1:11" ht="12.75" customHeight="1" x14ac:dyDescent="0.25">
      <c r="A36" s="507" t="s">
        <v>157</v>
      </c>
      <c r="B36" s="73"/>
      <c r="C36" s="241"/>
      <c r="D36" s="75"/>
      <c r="E36" s="75"/>
      <c r="F36" s="75"/>
      <c r="G36" s="75"/>
      <c r="H36" s="75"/>
      <c r="I36" s="75"/>
      <c r="J36" s="75"/>
      <c r="K36" s="76"/>
    </row>
    <row r="37" spans="1:11" ht="12.75" customHeight="1" x14ac:dyDescent="0.25">
      <c r="A37" s="164" t="s">
        <v>179</v>
      </c>
      <c r="B37" s="73"/>
      <c r="C37" s="391">
        <v>2949710</v>
      </c>
      <c r="D37" s="109"/>
      <c r="E37" s="109"/>
      <c r="F37" s="109"/>
      <c r="G37" s="109"/>
      <c r="H37" s="75">
        <f>SUM(E37:G37)</f>
        <v>0</v>
      </c>
      <c r="I37" s="75">
        <f>IF(D37=0,C37+H37,D37+H37)</f>
        <v>2949710</v>
      </c>
      <c r="J37" s="109">
        <v>2949710</v>
      </c>
      <c r="K37" s="110">
        <v>2949710</v>
      </c>
    </row>
    <row r="38" spans="1:11" ht="12.75" customHeight="1" x14ac:dyDescent="0.25">
      <c r="A38" s="508" t="str">
        <f>A33</f>
        <v>Current year receipts</v>
      </c>
      <c r="B38" s="73"/>
      <c r="C38" s="391"/>
      <c r="D38" s="109"/>
      <c r="E38" s="109"/>
      <c r="F38" s="109"/>
      <c r="G38" s="109"/>
      <c r="H38" s="75">
        <f>SUM(E38:G38)</f>
        <v>0</v>
      </c>
      <c r="I38" s="75">
        <f>IF(D38=0,C38+H38,D38+H38)</f>
        <v>0</v>
      </c>
      <c r="J38" s="109"/>
      <c r="K38" s="110"/>
    </row>
    <row r="39" spans="1:11" ht="12.75" customHeight="1" x14ac:dyDescent="0.25">
      <c r="A39" s="506" t="str">
        <f>A34</f>
        <v>Conditions met - transferred to revenue</v>
      </c>
      <c r="B39" s="149"/>
      <c r="C39" s="494">
        <f t="shared" ref="C39:K39" si="7">C37+C38-C40</f>
        <v>2949710</v>
      </c>
      <c r="D39" s="81">
        <f t="shared" si="7"/>
        <v>0</v>
      </c>
      <c r="E39" s="81">
        <f t="shared" si="7"/>
        <v>0</v>
      </c>
      <c r="F39" s="81">
        <f t="shared" si="7"/>
        <v>0</v>
      </c>
      <c r="G39" s="81">
        <f t="shared" si="7"/>
        <v>0</v>
      </c>
      <c r="H39" s="81">
        <f t="shared" si="7"/>
        <v>0</v>
      </c>
      <c r="I39" s="81">
        <f t="shared" si="7"/>
        <v>2949710</v>
      </c>
      <c r="J39" s="81">
        <f t="shared" si="7"/>
        <v>2949710</v>
      </c>
      <c r="K39" s="82">
        <f t="shared" si="7"/>
        <v>2949710</v>
      </c>
    </row>
    <row r="40" spans="1:11" ht="12.75" customHeight="1" x14ac:dyDescent="0.25">
      <c r="A40" s="508" t="str">
        <f>A35</f>
        <v>Conditions still to be met - transferred to liabilities</v>
      </c>
      <c r="B40" s="73"/>
      <c r="C40" s="950"/>
      <c r="D40" s="936"/>
      <c r="E40" s="936"/>
      <c r="F40" s="936"/>
      <c r="G40" s="936"/>
      <c r="H40" s="75">
        <f>SUM(E40:G40)</f>
        <v>0</v>
      </c>
      <c r="I40" s="75">
        <f>IF(D40=0,C40+H40,D40+H40)</f>
        <v>0</v>
      </c>
      <c r="J40" s="936"/>
      <c r="K40" s="937"/>
    </row>
    <row r="41" spans="1:11" ht="12.75" customHeight="1" x14ac:dyDescent="0.25">
      <c r="A41" s="507" t="s">
        <v>158</v>
      </c>
      <c r="B41" s="73"/>
      <c r="C41" s="241"/>
      <c r="D41" s="75"/>
      <c r="E41" s="75"/>
      <c r="F41" s="75"/>
      <c r="G41" s="75"/>
      <c r="H41" s="75"/>
      <c r="I41" s="75"/>
      <c r="J41" s="75"/>
      <c r="K41" s="76"/>
    </row>
    <row r="42" spans="1:11" ht="12.75" customHeight="1" x14ac:dyDescent="0.25">
      <c r="A42" s="164" t="str">
        <f>A37</f>
        <v>Balance unspent at beginning of the year</v>
      </c>
      <c r="B42" s="73"/>
      <c r="C42" s="391"/>
      <c r="D42" s="109"/>
      <c r="E42" s="109"/>
      <c r="F42" s="109"/>
      <c r="G42" s="109"/>
      <c r="H42" s="75">
        <f>SUM(E42:G42)</f>
        <v>0</v>
      </c>
      <c r="I42" s="75">
        <f>IF(D42=0,C42+H42,D42+H42)</f>
        <v>0</v>
      </c>
      <c r="J42" s="109"/>
      <c r="K42" s="110"/>
    </row>
    <row r="43" spans="1:11" ht="12.75" customHeight="1" x14ac:dyDescent="0.25">
      <c r="A43" s="508" t="str">
        <f>A38</f>
        <v>Current year receipts</v>
      </c>
      <c r="B43" s="73"/>
      <c r="C43" s="391"/>
      <c r="D43" s="109"/>
      <c r="E43" s="109"/>
      <c r="F43" s="109"/>
      <c r="G43" s="109"/>
      <c r="H43" s="75">
        <f>SUM(E43:G43)</f>
        <v>0</v>
      </c>
      <c r="I43" s="75">
        <f>IF(D43=0,C43+H43,D43+H43)</f>
        <v>0</v>
      </c>
      <c r="J43" s="109"/>
      <c r="K43" s="110"/>
    </row>
    <row r="44" spans="1:11" ht="12.75" customHeight="1" x14ac:dyDescent="0.25">
      <c r="A44" s="506" t="str">
        <f>A39</f>
        <v>Conditions met - transferred to revenue</v>
      </c>
      <c r="B44" s="149"/>
      <c r="C44" s="494">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8" t="str">
        <f>A40</f>
        <v>Conditions still to be met - transferred to liabilities</v>
      </c>
      <c r="B45" s="73"/>
      <c r="C45" s="391"/>
      <c r="D45" s="109"/>
      <c r="E45" s="109"/>
      <c r="F45" s="109"/>
      <c r="G45" s="109"/>
      <c r="H45" s="75">
        <f>SUM(E45:G45)</f>
        <v>0</v>
      </c>
      <c r="I45" s="75">
        <f>IF(D45=0,C45+H45,D45+H45)</f>
        <v>0</v>
      </c>
      <c r="J45" s="109"/>
      <c r="K45" s="110"/>
    </row>
    <row r="46" spans="1:11" ht="12.75" customHeight="1" x14ac:dyDescent="0.25">
      <c r="A46" s="507" t="s">
        <v>160</v>
      </c>
      <c r="B46" s="73"/>
      <c r="C46" s="241"/>
      <c r="D46" s="75"/>
      <c r="E46" s="75"/>
      <c r="F46" s="75"/>
      <c r="G46" s="75"/>
      <c r="H46" s="75"/>
      <c r="I46" s="75"/>
      <c r="J46" s="75"/>
      <c r="K46" s="76"/>
    </row>
    <row r="47" spans="1:11" ht="12.75" customHeight="1" x14ac:dyDescent="0.25">
      <c r="A47" s="508" t="str">
        <f>A37</f>
        <v>Balance unspent at beginning of the year</v>
      </c>
      <c r="B47" s="73"/>
      <c r="C47" s="391"/>
      <c r="D47" s="109"/>
      <c r="E47" s="109"/>
      <c r="F47" s="109"/>
      <c r="G47" s="109"/>
      <c r="H47" s="75">
        <f>SUM(E47:G47)</f>
        <v>0</v>
      </c>
      <c r="I47" s="75">
        <f>IF(D47=0,C47+H47,D47+H47)</f>
        <v>0</v>
      </c>
      <c r="J47" s="109"/>
      <c r="K47" s="110"/>
    </row>
    <row r="48" spans="1:11" ht="12.75" customHeight="1" x14ac:dyDescent="0.25">
      <c r="A48" s="508" t="str">
        <f>A38</f>
        <v>Current year receipts</v>
      </c>
      <c r="B48" s="73"/>
      <c r="C48" s="391"/>
      <c r="D48" s="109"/>
      <c r="E48" s="109"/>
      <c r="F48" s="109"/>
      <c r="G48" s="109"/>
      <c r="H48" s="75">
        <f>SUM(E48:G48)</f>
        <v>0</v>
      </c>
      <c r="I48" s="75">
        <f>IF(D48=0,C48+H48,D48+H48)</f>
        <v>0</v>
      </c>
      <c r="J48" s="109"/>
      <c r="K48" s="110"/>
    </row>
    <row r="49" spans="1:13" ht="12.75" customHeight="1" x14ac:dyDescent="0.25">
      <c r="A49" s="506" t="str">
        <f>A39</f>
        <v>Conditions met - transferred to revenue</v>
      </c>
      <c r="B49" s="149"/>
      <c r="C49" s="494">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8" t="str">
        <f>A40</f>
        <v>Conditions still to be met - transferred to liabilities</v>
      </c>
      <c r="B50" s="73"/>
      <c r="C50" s="391"/>
      <c r="D50" s="109"/>
      <c r="E50" s="109"/>
      <c r="F50" s="109"/>
      <c r="G50" s="109"/>
      <c r="H50" s="75">
        <f>SUM(E50:G50)</f>
        <v>0</v>
      </c>
      <c r="I50" s="75">
        <f>IF(D50=0,C50+H50,D50+H50)</f>
        <v>0</v>
      </c>
      <c r="J50" s="109"/>
      <c r="K50" s="110"/>
    </row>
    <row r="51" spans="1:13" ht="12.75" customHeight="1" x14ac:dyDescent="0.25">
      <c r="A51" s="163" t="s">
        <v>1248</v>
      </c>
      <c r="B51" s="79"/>
      <c r="C51" s="494">
        <f t="shared" ref="C51:K51" si="10">C34+C39+C44+C49</f>
        <v>469237710</v>
      </c>
      <c r="D51" s="81">
        <f t="shared" si="10"/>
        <v>0</v>
      </c>
      <c r="E51" s="81">
        <f t="shared" si="10"/>
        <v>0</v>
      </c>
      <c r="F51" s="81">
        <f t="shared" si="10"/>
        <v>42808657</v>
      </c>
      <c r="G51" s="81">
        <f t="shared" si="10"/>
        <v>-38243000</v>
      </c>
      <c r="H51" s="81">
        <f t="shared" si="10"/>
        <v>4565657</v>
      </c>
      <c r="I51" s="81">
        <f t="shared" si="10"/>
        <v>473803367</v>
      </c>
      <c r="J51" s="81">
        <f t="shared" si="10"/>
        <v>420147710</v>
      </c>
      <c r="K51" s="82">
        <f t="shared" si="10"/>
        <v>440557660</v>
      </c>
    </row>
    <row r="52" spans="1:13" ht="12.75" customHeight="1" x14ac:dyDescent="0.25">
      <c r="A52" s="163" t="s">
        <v>1249</v>
      </c>
      <c r="B52" s="79"/>
      <c r="C52" s="494">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5">
      <c r="A53" s="502"/>
      <c r="B53" s="73"/>
      <c r="C53" s="241"/>
      <c r="D53" s="75"/>
      <c r="E53" s="75"/>
      <c r="F53" s="75"/>
      <c r="G53" s="75"/>
      <c r="H53" s="75"/>
      <c r="I53" s="75"/>
      <c r="J53" s="75"/>
      <c r="K53" s="76"/>
    </row>
    <row r="54" spans="1:13" ht="12.75" customHeight="1" x14ac:dyDescent="0.25">
      <c r="A54" s="163" t="s">
        <v>1250</v>
      </c>
      <c r="B54" s="79"/>
      <c r="C54" s="494">
        <f t="shared" ref="C54:K54" si="12">C27+C51</f>
        <v>1148097710</v>
      </c>
      <c r="D54" s="81">
        <f t="shared" si="12"/>
        <v>0</v>
      </c>
      <c r="E54" s="81">
        <f t="shared" si="12"/>
        <v>0</v>
      </c>
      <c r="F54" s="81">
        <f t="shared" si="12"/>
        <v>42808657</v>
      </c>
      <c r="G54" s="81">
        <f t="shared" si="12"/>
        <v>-38243000</v>
      </c>
      <c r="H54" s="81">
        <f t="shared" si="12"/>
        <v>4565657</v>
      </c>
      <c r="I54" s="81">
        <f t="shared" si="12"/>
        <v>1152663367</v>
      </c>
      <c r="J54" s="81">
        <f t="shared" si="12"/>
        <v>1082240710</v>
      </c>
      <c r="K54" s="82">
        <f t="shared" si="12"/>
        <v>1125760933</v>
      </c>
    </row>
    <row r="55" spans="1:13" ht="12.75" customHeight="1" x14ac:dyDescent="0.25">
      <c r="A55" s="298" t="s">
        <v>1251</v>
      </c>
      <c r="B55" s="88"/>
      <c r="C55" s="89">
        <f t="shared" ref="C55:K55" si="13">C28+C52</f>
        <v>1989577</v>
      </c>
      <c r="D55" s="90">
        <f t="shared" si="13"/>
        <v>0</v>
      </c>
      <c r="E55" s="90">
        <f t="shared" si="13"/>
        <v>0</v>
      </c>
      <c r="F55" s="90">
        <f t="shared" si="13"/>
        <v>0</v>
      </c>
      <c r="G55" s="90">
        <f t="shared" si="13"/>
        <v>0</v>
      </c>
      <c r="H55" s="90">
        <f t="shared" si="13"/>
        <v>0</v>
      </c>
      <c r="I55" s="90">
        <f t="shared" si="13"/>
        <v>1989577</v>
      </c>
      <c r="J55" s="90">
        <f t="shared" si="13"/>
        <v>1989577</v>
      </c>
      <c r="K55" s="91">
        <f t="shared" si="13"/>
        <v>1989577</v>
      </c>
    </row>
    <row r="56" spans="1:13" ht="5.25" customHeight="1" x14ac:dyDescent="0.25">
      <c r="A56" s="509"/>
      <c r="B56" s="799"/>
      <c r="C56" s="510"/>
      <c r="D56" s="510"/>
      <c r="E56" s="510"/>
      <c r="F56" s="510"/>
      <c r="G56" s="510"/>
      <c r="H56" s="510"/>
      <c r="I56" s="510"/>
      <c r="J56" s="510"/>
      <c r="K56" s="510"/>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183</v>
      </c>
      <c r="B58" s="158"/>
      <c r="C58" s="99"/>
      <c r="D58" s="99"/>
      <c r="E58" s="99"/>
      <c r="F58" s="99"/>
      <c r="G58" s="99"/>
      <c r="H58" s="99"/>
      <c r="I58" s="99"/>
      <c r="J58" s="99"/>
      <c r="K58" s="99"/>
    </row>
    <row r="59" spans="1:13" ht="12.75" customHeight="1" x14ac:dyDescent="0.25">
      <c r="A59" s="99" t="s">
        <v>184</v>
      </c>
      <c r="B59" s="158"/>
      <c r="C59" s="99"/>
      <c r="D59" s="99"/>
      <c r="E59" s="99"/>
      <c r="F59" s="99"/>
      <c r="G59" s="99"/>
      <c r="H59" s="99"/>
      <c r="I59" s="99"/>
      <c r="J59" s="99"/>
      <c r="K59" s="99"/>
    </row>
    <row r="60" spans="1:13" ht="12.75" customHeight="1" x14ac:dyDescent="0.25">
      <c r="A60" s="1314" t="s">
        <v>1099</v>
      </c>
      <c r="B60" s="1314"/>
      <c r="C60" s="1314"/>
      <c r="D60" s="1314"/>
      <c r="E60" s="1314"/>
      <c r="F60" s="1314"/>
      <c r="G60" s="1314"/>
      <c r="H60" s="1314"/>
      <c r="I60" s="1314"/>
      <c r="J60" s="1314"/>
      <c r="K60" s="1314"/>
    </row>
    <row r="61" spans="1:13" ht="12.75" customHeight="1" x14ac:dyDescent="0.25">
      <c r="A61" s="99" t="s">
        <v>802</v>
      </c>
      <c r="B61" s="93"/>
      <c r="C61" s="99"/>
      <c r="D61" s="99"/>
      <c r="E61" s="99"/>
      <c r="F61" s="99"/>
      <c r="G61" s="99"/>
      <c r="H61" s="99"/>
      <c r="I61" s="99"/>
      <c r="J61" s="99"/>
      <c r="K61" s="99"/>
    </row>
    <row r="62" spans="1:13" ht="12.75" customHeight="1" x14ac:dyDescent="0.25">
      <c r="A62" s="99" t="s">
        <v>185</v>
      </c>
      <c r="B62" s="93"/>
      <c r="C62" s="99"/>
      <c r="D62" s="99"/>
      <c r="E62" s="99"/>
      <c r="F62" s="99"/>
      <c r="G62" s="99"/>
      <c r="H62" s="99"/>
      <c r="I62" s="99"/>
      <c r="J62" s="99"/>
      <c r="K62" s="99"/>
    </row>
    <row r="63" spans="1:13" ht="24.95" customHeight="1" x14ac:dyDescent="0.25">
      <c r="A63" s="1314" t="s">
        <v>186</v>
      </c>
      <c r="B63" s="1314"/>
      <c r="C63" s="1314"/>
      <c r="D63" s="1314"/>
      <c r="E63" s="1314"/>
      <c r="F63" s="1314"/>
      <c r="G63" s="1314"/>
      <c r="H63" s="1314"/>
      <c r="I63" s="1314"/>
      <c r="J63" s="1314"/>
      <c r="K63" s="1314"/>
      <c r="L63" s="54"/>
      <c r="M63" s="54"/>
    </row>
    <row r="64" spans="1:13" ht="12.75" customHeight="1" x14ac:dyDescent="0.25">
      <c r="A64" s="99" t="s">
        <v>177</v>
      </c>
      <c r="B64" s="93"/>
      <c r="C64" s="99"/>
      <c r="D64" s="99"/>
      <c r="E64" s="99"/>
      <c r="F64" s="99"/>
      <c r="G64" s="99"/>
      <c r="H64" s="99"/>
      <c r="I64" s="99"/>
      <c r="J64" s="99"/>
      <c r="K64" s="99"/>
    </row>
    <row r="65" spans="1:11" ht="12.75" customHeight="1" x14ac:dyDescent="0.25">
      <c r="A65" s="99" t="s">
        <v>178</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13" activePane="bottomRight" state="frozen"/>
      <selection activeCell="M17" sqref="M17:M63"/>
      <selection pane="topRight" activeCell="M17" sqref="M17:M63"/>
      <selection pane="bottomLeft" activeCell="M17" sqref="M17:M63"/>
      <selection pane="bottomRight" activeCell="M25" sqref="M25"/>
    </sheetView>
  </sheetViews>
  <sheetFormatPr defaultRowHeight="12.75" x14ac:dyDescent="0.25"/>
  <cols>
    <col min="1" max="1" width="36.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"&amp;ADJB10&amp;" - "&amp;Date</f>
        <v>LIM354 Polokwane - Supporting Table SB10 Adjustments Budget - transfers and grants made by the municipality - 25 February 2016</v>
      </c>
      <c r="B1" s="5"/>
      <c r="C1" s="58"/>
    </row>
    <row r="2" spans="1:13" ht="38.25" x14ac:dyDescent="0.25">
      <c r="A2" s="1318" t="str">
        <f>desc</f>
        <v>Description</v>
      </c>
      <c r="B2" s="1318" t="str">
        <f>head27</f>
        <v>Ref</v>
      </c>
      <c r="C2" s="1315" t="str">
        <f>Head2</f>
        <v>Budget Year 2015/16</v>
      </c>
      <c r="D2" s="1316"/>
      <c r="E2" s="1316"/>
      <c r="F2" s="1316"/>
      <c r="G2" s="1316"/>
      <c r="H2" s="1316"/>
      <c r="I2" s="1316"/>
      <c r="J2" s="1316"/>
      <c r="K2" s="1316"/>
      <c r="L2" s="103" t="str">
        <f>Head10</f>
        <v>Budget Year +1 2016/17</v>
      </c>
      <c r="M2" s="61" t="str">
        <f>Head11</f>
        <v>Budget Year +2 2017/18</v>
      </c>
    </row>
    <row r="3" spans="1:13" ht="25.5" x14ac:dyDescent="0.25">
      <c r="A3" s="1319"/>
      <c r="B3" s="13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19"/>
      <c r="B4" s="1319"/>
      <c r="C4" s="65"/>
      <c r="D4" s="15">
        <v>6</v>
      </c>
      <c r="E4" s="15">
        <v>7</v>
      </c>
      <c r="F4" s="15">
        <v>8</v>
      </c>
      <c r="G4" s="15">
        <v>9</v>
      </c>
      <c r="H4" s="15">
        <v>10</v>
      </c>
      <c r="I4" s="15">
        <v>11</v>
      </c>
      <c r="J4" s="15">
        <v>12</v>
      </c>
      <c r="K4" s="15">
        <v>13</v>
      </c>
      <c r="L4" s="15"/>
      <c r="M4" s="17"/>
    </row>
    <row r="5" spans="1:13" x14ac:dyDescent="0.25">
      <c r="A5" s="66" t="s">
        <v>641</v>
      </c>
      <c r="B5" s="104"/>
      <c r="C5" s="67" t="s">
        <v>581</v>
      </c>
      <c r="D5" s="68" t="s">
        <v>582</v>
      </c>
      <c r="E5" s="68" t="s">
        <v>583</v>
      </c>
      <c r="F5" s="69" t="s">
        <v>584</v>
      </c>
      <c r="G5" s="69" t="s">
        <v>585</v>
      </c>
      <c r="H5" s="69" t="s">
        <v>586</v>
      </c>
      <c r="I5" s="70" t="s">
        <v>587</v>
      </c>
      <c r="J5" s="70" t="s">
        <v>588</v>
      </c>
      <c r="K5" s="70" t="s">
        <v>589</v>
      </c>
      <c r="L5" s="70"/>
      <c r="M5" s="71"/>
    </row>
    <row r="6" spans="1:13" ht="12.75" customHeight="1" x14ac:dyDescent="0.25">
      <c r="A6" s="126" t="s">
        <v>1584</v>
      </c>
      <c r="B6" s="73"/>
      <c r="C6" s="74"/>
      <c r="D6" s="75"/>
      <c r="E6" s="75"/>
      <c r="F6" s="75"/>
      <c r="G6" s="75"/>
      <c r="H6" s="75"/>
      <c r="I6" s="75"/>
      <c r="J6" s="75"/>
      <c r="K6" s="75"/>
      <c r="L6" s="75"/>
      <c r="M6" s="76"/>
    </row>
    <row r="7" spans="1:13" ht="12.75" customHeight="1" x14ac:dyDescent="0.25">
      <c r="A7" s="295" t="s">
        <v>159</v>
      </c>
      <c r="B7" s="73">
        <v>1</v>
      </c>
      <c r="C7" s="130"/>
      <c r="D7" s="109"/>
      <c r="E7" s="109"/>
      <c r="F7" s="109"/>
      <c r="G7" s="109"/>
      <c r="H7" s="109"/>
      <c r="I7" s="109"/>
      <c r="J7" s="75">
        <f>SUM(E7:I7)</f>
        <v>0</v>
      </c>
      <c r="K7" s="75">
        <f>IF(D7=0,C7+J7,D7+J7)</f>
        <v>0</v>
      </c>
      <c r="L7" s="109"/>
      <c r="M7" s="110"/>
    </row>
    <row r="8" spans="1:13" ht="12.75" customHeight="1" x14ac:dyDescent="0.25">
      <c r="A8" s="295" t="s">
        <v>159</v>
      </c>
      <c r="B8" s="73"/>
      <c r="C8" s="130"/>
      <c r="D8" s="109"/>
      <c r="E8" s="109"/>
      <c r="F8" s="109"/>
      <c r="G8" s="109"/>
      <c r="H8" s="109"/>
      <c r="I8" s="109"/>
      <c r="J8" s="75">
        <f>SUM(E8:I8)</f>
        <v>0</v>
      </c>
      <c r="K8" s="75">
        <f>IF(D8=0,C8+J8,D8+J8)</f>
        <v>0</v>
      </c>
      <c r="L8" s="109"/>
      <c r="M8" s="110"/>
    </row>
    <row r="9" spans="1:13" ht="12.75" customHeight="1" x14ac:dyDescent="0.25">
      <c r="A9" s="295" t="s">
        <v>159</v>
      </c>
      <c r="B9" s="73"/>
      <c r="C9" s="130"/>
      <c r="D9" s="109"/>
      <c r="E9" s="109"/>
      <c r="F9" s="109"/>
      <c r="G9" s="109"/>
      <c r="H9" s="109"/>
      <c r="I9" s="109"/>
      <c r="J9" s="75">
        <f>SUM(E9:I9)</f>
        <v>0</v>
      </c>
      <c r="K9" s="75">
        <f>IF(D9=0,C9+J9,D9+J9)</f>
        <v>0</v>
      </c>
      <c r="L9" s="109"/>
      <c r="M9" s="110"/>
    </row>
    <row r="10" spans="1:13" ht="12.75" customHeight="1" x14ac:dyDescent="0.25">
      <c r="A10" s="163" t="s">
        <v>187</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5">
      <c r="A11" s="136"/>
      <c r="B11" s="73"/>
      <c r="C11" s="74"/>
      <c r="D11" s="75"/>
      <c r="E11" s="75"/>
      <c r="F11" s="75"/>
      <c r="G11" s="75"/>
      <c r="H11" s="75"/>
      <c r="I11" s="75"/>
      <c r="J11" s="75"/>
      <c r="K11" s="75"/>
      <c r="L11" s="75"/>
      <c r="M11" s="76"/>
    </row>
    <row r="12" spans="1:13" ht="12.75" customHeight="1" x14ac:dyDescent="0.25">
      <c r="A12" s="52" t="s">
        <v>1585</v>
      </c>
      <c r="B12" s="137"/>
      <c r="C12" s="74"/>
      <c r="D12" s="75"/>
      <c r="E12" s="75"/>
      <c r="F12" s="75"/>
      <c r="G12" s="75"/>
      <c r="H12" s="75"/>
      <c r="I12" s="75"/>
      <c r="J12" s="75"/>
      <c r="K12" s="75"/>
      <c r="L12" s="75"/>
      <c r="M12" s="76"/>
    </row>
    <row r="13" spans="1:13" ht="12.75" customHeight="1" x14ac:dyDescent="0.25">
      <c r="A13" s="295" t="s">
        <v>159</v>
      </c>
      <c r="B13" s="137">
        <v>2</v>
      </c>
      <c r="C13" s="130"/>
      <c r="D13" s="109"/>
      <c r="E13" s="109"/>
      <c r="F13" s="109"/>
      <c r="G13" s="109"/>
      <c r="H13" s="109"/>
      <c r="I13" s="109"/>
      <c r="J13" s="75">
        <f>SUM(E13:I13)</f>
        <v>0</v>
      </c>
      <c r="K13" s="75">
        <f>IF(D13=0,C13+J13,D13+J13)</f>
        <v>0</v>
      </c>
      <c r="L13" s="109"/>
      <c r="M13" s="110"/>
    </row>
    <row r="14" spans="1:13" ht="12.75" customHeight="1" x14ac:dyDescent="0.25">
      <c r="A14" s="295" t="s">
        <v>159</v>
      </c>
      <c r="B14" s="137"/>
      <c r="C14" s="130"/>
      <c r="D14" s="109"/>
      <c r="E14" s="109"/>
      <c r="F14" s="109"/>
      <c r="G14" s="109"/>
      <c r="H14" s="109"/>
      <c r="I14" s="109"/>
      <c r="J14" s="75">
        <f>SUM(E14:I14)</f>
        <v>0</v>
      </c>
      <c r="K14" s="75">
        <f>IF(D14=0,C14+J14,D14+J14)</f>
        <v>0</v>
      </c>
      <c r="L14" s="109"/>
      <c r="M14" s="110"/>
    </row>
    <row r="15" spans="1:13" ht="12.75" customHeight="1" x14ac:dyDescent="0.25">
      <c r="A15" s="295" t="s">
        <v>159</v>
      </c>
      <c r="B15" s="137"/>
      <c r="C15" s="130"/>
      <c r="D15" s="109"/>
      <c r="E15" s="109"/>
      <c r="F15" s="109"/>
      <c r="G15" s="109"/>
      <c r="H15" s="109"/>
      <c r="I15" s="109"/>
      <c r="J15" s="75">
        <f>SUM(E15:I15)</f>
        <v>0</v>
      </c>
      <c r="K15" s="75">
        <f>IF(D15=0,C15+J15,D15+J15)</f>
        <v>0</v>
      </c>
      <c r="L15" s="109"/>
      <c r="M15" s="110"/>
    </row>
    <row r="16" spans="1:13" ht="12.75" customHeight="1" x14ac:dyDescent="0.25">
      <c r="A16" s="163" t="s">
        <v>188</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x14ac:dyDescent="0.25">
      <c r="A17" s="51"/>
      <c r="B17" s="137"/>
      <c r="C17" s="74"/>
      <c r="D17" s="75"/>
      <c r="E17" s="75"/>
      <c r="F17" s="75"/>
      <c r="G17" s="75"/>
      <c r="H17" s="75"/>
      <c r="I17" s="75"/>
      <c r="J17" s="75"/>
      <c r="K17" s="75"/>
      <c r="L17" s="75"/>
      <c r="M17" s="76"/>
    </row>
    <row r="18" spans="1:13" ht="12.75" customHeight="1" x14ac:dyDescent="0.25">
      <c r="A18" s="52" t="s">
        <v>1586</v>
      </c>
      <c r="B18" s="137"/>
      <c r="C18" s="74"/>
      <c r="D18" s="75"/>
      <c r="E18" s="75"/>
      <c r="F18" s="75"/>
      <c r="G18" s="75"/>
      <c r="H18" s="75"/>
      <c r="I18" s="75"/>
      <c r="J18" s="75"/>
      <c r="K18" s="75"/>
      <c r="L18" s="75"/>
      <c r="M18" s="76"/>
    </row>
    <row r="19" spans="1:13" ht="12.75" customHeight="1" x14ac:dyDescent="0.25">
      <c r="A19" s="295" t="s">
        <v>159</v>
      </c>
      <c r="B19" s="137">
        <v>3</v>
      </c>
      <c r="C19" s="130"/>
      <c r="D19" s="109"/>
      <c r="E19" s="109"/>
      <c r="F19" s="109"/>
      <c r="G19" s="109"/>
      <c r="H19" s="109"/>
      <c r="I19" s="109"/>
      <c r="J19" s="75">
        <f>SUM(E19:I19)</f>
        <v>0</v>
      </c>
      <c r="K19" s="75">
        <f>IF(D19=0,C19+J19,D19+J19)</f>
        <v>0</v>
      </c>
      <c r="L19" s="109"/>
      <c r="M19" s="110"/>
    </row>
    <row r="20" spans="1:13" ht="12.75" customHeight="1" x14ac:dyDescent="0.25">
      <c r="A20" s="295" t="s">
        <v>159</v>
      </c>
      <c r="B20" s="137"/>
      <c r="C20" s="130"/>
      <c r="D20" s="109"/>
      <c r="E20" s="109"/>
      <c r="F20" s="109"/>
      <c r="G20" s="109"/>
      <c r="H20" s="109"/>
      <c r="I20" s="109"/>
      <c r="J20" s="75">
        <f>SUM(E20:I20)</f>
        <v>0</v>
      </c>
      <c r="K20" s="75">
        <f>IF(D20=0,C20+J20,D20+J20)</f>
        <v>0</v>
      </c>
      <c r="L20" s="109"/>
      <c r="M20" s="110"/>
    </row>
    <row r="21" spans="1:13" ht="12.75" customHeight="1" x14ac:dyDescent="0.25">
      <c r="A21" s="295" t="s">
        <v>159</v>
      </c>
      <c r="B21" s="137"/>
      <c r="C21" s="130"/>
      <c r="D21" s="109"/>
      <c r="E21" s="109"/>
      <c r="F21" s="109"/>
      <c r="G21" s="109"/>
      <c r="H21" s="109"/>
      <c r="I21" s="109"/>
      <c r="J21" s="75">
        <f>SUM(E21:I21)</f>
        <v>0</v>
      </c>
      <c r="K21" s="75">
        <f>IF(D21=0,C21+J21,D21+J21)</f>
        <v>0</v>
      </c>
      <c r="L21" s="109"/>
      <c r="M21" s="110"/>
    </row>
    <row r="22" spans="1:13" ht="12.75" customHeight="1" x14ac:dyDescent="0.25">
      <c r="A22" s="163" t="s">
        <v>189</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5">
      <c r="A23" s="50"/>
      <c r="B23" s="137"/>
      <c r="C23" s="74"/>
      <c r="D23" s="75"/>
      <c r="E23" s="75"/>
      <c r="F23" s="75"/>
      <c r="G23" s="75"/>
      <c r="H23" s="75"/>
      <c r="I23" s="75"/>
      <c r="J23" s="75"/>
      <c r="K23" s="75"/>
      <c r="L23" s="75"/>
      <c r="M23" s="76"/>
    </row>
    <row r="24" spans="1:13" ht="12.75" customHeight="1" x14ac:dyDescent="0.25">
      <c r="A24" s="52" t="s">
        <v>1587</v>
      </c>
      <c r="B24" s="137"/>
      <c r="C24" s="74"/>
      <c r="D24" s="75"/>
      <c r="E24" s="75"/>
      <c r="F24" s="75"/>
      <c r="G24" s="75"/>
      <c r="H24" s="75"/>
      <c r="I24" s="75"/>
      <c r="J24" s="75"/>
      <c r="K24" s="75"/>
      <c r="L24" s="75"/>
      <c r="M24" s="76"/>
    </row>
    <row r="25" spans="1:13" ht="12.75" customHeight="1" x14ac:dyDescent="0.25">
      <c r="A25" s="295" t="s">
        <v>1849</v>
      </c>
      <c r="B25" s="137">
        <v>4</v>
      </c>
      <c r="C25" s="130">
        <v>6000000</v>
      </c>
      <c r="D25" s="109"/>
      <c r="E25" s="109"/>
      <c r="F25" s="109"/>
      <c r="G25" s="109"/>
      <c r="H25" s="109"/>
      <c r="I25" s="109">
        <v>700000</v>
      </c>
      <c r="J25" s="75">
        <f>SUM(E25:I25)</f>
        <v>700000</v>
      </c>
      <c r="K25" s="75">
        <f>IF(D25=0,C25+J25,D25+J25)</f>
        <v>6700000</v>
      </c>
      <c r="L25" s="109"/>
      <c r="M25" s="110"/>
    </row>
    <row r="26" spans="1:13" ht="12.75" customHeight="1" x14ac:dyDescent="0.25">
      <c r="A26" s="295" t="s">
        <v>1850</v>
      </c>
      <c r="B26" s="137"/>
      <c r="C26" s="130">
        <v>480000</v>
      </c>
      <c r="D26" s="109"/>
      <c r="E26" s="109"/>
      <c r="F26" s="109"/>
      <c r="G26" s="109"/>
      <c r="H26" s="109"/>
      <c r="I26" s="109"/>
      <c r="J26" s="75">
        <f>SUM(E26:I26)</f>
        <v>0</v>
      </c>
      <c r="K26" s="75">
        <f>IF(D26=0,C26+J26,D26+J26)</f>
        <v>480000</v>
      </c>
      <c r="L26" s="109"/>
      <c r="M26" s="110"/>
    </row>
    <row r="27" spans="1:13" ht="12.75" customHeight="1" x14ac:dyDescent="0.25">
      <c r="A27" s="295" t="s">
        <v>159</v>
      </c>
      <c r="B27" s="137"/>
      <c r="C27" s="130"/>
      <c r="D27" s="109"/>
      <c r="E27" s="109"/>
      <c r="F27" s="109"/>
      <c r="G27" s="109"/>
      <c r="H27" s="109"/>
      <c r="I27" s="109"/>
      <c r="J27" s="75">
        <f>SUM(E27:I27)</f>
        <v>0</v>
      </c>
      <c r="K27" s="75">
        <f>IF(D27=0,C27+J27,D27+J27)</f>
        <v>0</v>
      </c>
      <c r="L27" s="109"/>
      <c r="M27" s="110"/>
    </row>
    <row r="28" spans="1:13" ht="12.75" customHeight="1" x14ac:dyDescent="0.25">
      <c r="A28" s="163" t="s">
        <v>1588</v>
      </c>
      <c r="B28" s="79"/>
      <c r="C28" s="80">
        <f t="shared" ref="C28:M28" si="3">SUM(C25:C27)</f>
        <v>6480000</v>
      </c>
      <c r="D28" s="81">
        <f t="shared" si="3"/>
        <v>0</v>
      </c>
      <c r="E28" s="81">
        <f t="shared" si="3"/>
        <v>0</v>
      </c>
      <c r="F28" s="81">
        <f t="shared" si="3"/>
        <v>0</v>
      </c>
      <c r="G28" s="81">
        <f t="shared" si="3"/>
        <v>0</v>
      </c>
      <c r="H28" s="81">
        <f t="shared" si="3"/>
        <v>0</v>
      </c>
      <c r="I28" s="81">
        <f t="shared" si="3"/>
        <v>700000</v>
      </c>
      <c r="J28" s="81">
        <f t="shared" si="3"/>
        <v>700000</v>
      </c>
      <c r="K28" s="81">
        <f t="shared" si="3"/>
        <v>7180000</v>
      </c>
      <c r="L28" s="81">
        <f t="shared" si="3"/>
        <v>0</v>
      </c>
      <c r="M28" s="82">
        <f t="shared" si="3"/>
        <v>0</v>
      </c>
    </row>
    <row r="29" spans="1:13" ht="5.0999999999999996" customHeight="1" x14ac:dyDescent="0.25">
      <c r="A29" s="50"/>
      <c r="B29" s="137"/>
      <c r="C29" s="74"/>
      <c r="D29" s="75"/>
      <c r="E29" s="75"/>
      <c r="F29" s="75"/>
      <c r="G29" s="75"/>
      <c r="H29" s="75"/>
      <c r="I29" s="75"/>
      <c r="J29" s="75"/>
      <c r="K29" s="75"/>
      <c r="L29" s="75"/>
      <c r="M29" s="76"/>
    </row>
    <row r="30" spans="1:13" ht="12.75" customHeight="1" x14ac:dyDescent="0.25">
      <c r="A30" s="573" t="s">
        <v>1589</v>
      </c>
      <c r="B30" s="105">
        <v>5</v>
      </c>
      <c r="C30" s="150">
        <f t="shared" ref="C30:M30" si="4">C10+C16+C22+C28</f>
        <v>6480000</v>
      </c>
      <c r="D30" s="151">
        <f t="shared" si="4"/>
        <v>0</v>
      </c>
      <c r="E30" s="151">
        <f t="shared" si="4"/>
        <v>0</v>
      </c>
      <c r="F30" s="151">
        <f t="shared" si="4"/>
        <v>0</v>
      </c>
      <c r="G30" s="151">
        <f t="shared" si="4"/>
        <v>0</v>
      </c>
      <c r="H30" s="151">
        <f t="shared" si="4"/>
        <v>0</v>
      </c>
      <c r="I30" s="151">
        <f t="shared" si="4"/>
        <v>700000</v>
      </c>
      <c r="J30" s="151">
        <f t="shared" si="4"/>
        <v>700000</v>
      </c>
      <c r="K30" s="151">
        <f t="shared" si="4"/>
        <v>7180000</v>
      </c>
      <c r="L30" s="151">
        <f t="shared" si="4"/>
        <v>0</v>
      </c>
      <c r="M30" s="152">
        <f t="shared" si="4"/>
        <v>0</v>
      </c>
    </row>
    <row r="31" spans="1:13" ht="12.75" customHeight="1" x14ac:dyDescent="0.25">
      <c r="A31" s="1100"/>
      <c r="B31" s="1101"/>
      <c r="C31" s="1102"/>
      <c r="D31" s="1102"/>
      <c r="E31" s="1102"/>
      <c r="F31" s="1102"/>
      <c r="G31" s="1102"/>
      <c r="H31" s="1102"/>
      <c r="I31" s="1102"/>
      <c r="J31" s="1102"/>
      <c r="K31" s="1102"/>
      <c r="L31" s="1102"/>
      <c r="M31" s="1102"/>
    </row>
    <row r="32" spans="1:13" ht="12.75" customHeight="1" x14ac:dyDescent="0.25">
      <c r="A32" s="126" t="s">
        <v>1590</v>
      </c>
      <c r="B32" s="73"/>
      <c r="C32" s="74"/>
      <c r="D32" s="75"/>
      <c r="E32" s="75"/>
      <c r="F32" s="75"/>
      <c r="G32" s="75"/>
      <c r="H32" s="75"/>
      <c r="I32" s="75"/>
      <c r="J32" s="75"/>
      <c r="K32" s="75"/>
      <c r="L32" s="75"/>
      <c r="M32" s="76"/>
    </row>
    <row r="33" spans="1:13" ht="12.75" customHeight="1" x14ac:dyDescent="0.25">
      <c r="A33" s="295" t="s">
        <v>159</v>
      </c>
      <c r="B33" s="73">
        <v>1</v>
      </c>
      <c r="C33" s="130"/>
      <c r="D33" s="109"/>
      <c r="E33" s="109"/>
      <c r="F33" s="109"/>
      <c r="G33" s="109"/>
      <c r="H33" s="109"/>
      <c r="I33" s="109"/>
      <c r="J33" s="75">
        <f>SUM(E33:I33)</f>
        <v>0</v>
      </c>
      <c r="K33" s="75">
        <f>IF(D33=0,C33+J33,D33+J33)</f>
        <v>0</v>
      </c>
      <c r="L33" s="109"/>
      <c r="M33" s="110"/>
    </row>
    <row r="34" spans="1:13" ht="12.75" customHeight="1" x14ac:dyDescent="0.25">
      <c r="A34" s="295" t="s">
        <v>159</v>
      </c>
      <c r="B34" s="73"/>
      <c r="C34" s="130"/>
      <c r="D34" s="109"/>
      <c r="E34" s="109"/>
      <c r="F34" s="109"/>
      <c r="G34" s="109"/>
      <c r="H34" s="109"/>
      <c r="I34" s="109"/>
      <c r="J34" s="75">
        <f>SUM(E34:I34)</f>
        <v>0</v>
      </c>
      <c r="K34" s="75">
        <f>IF(D34=0,C34+J34,D34+J34)</f>
        <v>0</v>
      </c>
      <c r="L34" s="109"/>
      <c r="M34" s="110"/>
    </row>
    <row r="35" spans="1:13" ht="12.75" customHeight="1" x14ac:dyDescent="0.25">
      <c r="A35" s="295" t="s">
        <v>159</v>
      </c>
      <c r="B35" s="73"/>
      <c r="C35" s="130"/>
      <c r="D35" s="109"/>
      <c r="E35" s="109"/>
      <c r="F35" s="109"/>
      <c r="G35" s="109"/>
      <c r="H35" s="109"/>
      <c r="I35" s="109"/>
      <c r="J35" s="75">
        <f>SUM(E35:I35)</f>
        <v>0</v>
      </c>
      <c r="K35" s="75">
        <f>IF(D35=0,C35+J35,D35+J35)</f>
        <v>0</v>
      </c>
      <c r="L35" s="109"/>
      <c r="M35" s="110"/>
    </row>
    <row r="36" spans="1:13" ht="12.75" customHeight="1" x14ac:dyDescent="0.25">
      <c r="A36" s="163" t="s">
        <v>187</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4.95" customHeight="1" x14ac:dyDescent="0.25">
      <c r="A38" s="52" t="s">
        <v>1591</v>
      </c>
      <c r="B38" s="137"/>
      <c r="C38" s="74"/>
      <c r="D38" s="75"/>
      <c r="E38" s="75"/>
      <c r="F38" s="75"/>
      <c r="G38" s="75"/>
      <c r="H38" s="75"/>
      <c r="I38" s="75"/>
      <c r="J38" s="75"/>
      <c r="K38" s="75"/>
      <c r="L38" s="75"/>
      <c r="M38" s="76"/>
    </row>
    <row r="39" spans="1:13" ht="12.75" customHeight="1" x14ac:dyDescent="0.25">
      <c r="A39" s="295" t="s">
        <v>159</v>
      </c>
      <c r="B39" s="137">
        <v>2</v>
      </c>
      <c r="C39" s="130"/>
      <c r="D39" s="109"/>
      <c r="E39" s="109"/>
      <c r="F39" s="109"/>
      <c r="G39" s="109"/>
      <c r="H39" s="109"/>
      <c r="I39" s="109"/>
      <c r="J39" s="75">
        <f>SUM(E39:I39)</f>
        <v>0</v>
      </c>
      <c r="K39" s="75">
        <f>IF(D39=0,C39+J39,D39+J39)</f>
        <v>0</v>
      </c>
      <c r="L39" s="109"/>
      <c r="M39" s="110"/>
    </row>
    <row r="40" spans="1:13" ht="12.75" customHeight="1" x14ac:dyDescent="0.25">
      <c r="A40" s="295" t="s">
        <v>159</v>
      </c>
      <c r="B40" s="137"/>
      <c r="C40" s="130"/>
      <c r="D40" s="109"/>
      <c r="E40" s="109"/>
      <c r="F40" s="109"/>
      <c r="G40" s="109"/>
      <c r="H40" s="109"/>
      <c r="I40" s="109"/>
      <c r="J40" s="75">
        <f>SUM(E40:I40)</f>
        <v>0</v>
      </c>
      <c r="K40" s="75">
        <f>IF(D40=0,C40+J40,D40+J40)</f>
        <v>0</v>
      </c>
      <c r="L40" s="109"/>
      <c r="M40" s="110"/>
    </row>
    <row r="41" spans="1:13" ht="12.75" customHeight="1" x14ac:dyDescent="0.25">
      <c r="A41" s="295" t="s">
        <v>159</v>
      </c>
      <c r="B41" s="137"/>
      <c r="C41" s="130"/>
      <c r="D41" s="109"/>
      <c r="E41" s="109"/>
      <c r="F41" s="109"/>
      <c r="G41" s="109"/>
      <c r="H41" s="109"/>
      <c r="I41" s="109"/>
      <c r="J41" s="75">
        <f>SUM(E41:I41)</f>
        <v>0</v>
      </c>
      <c r="K41" s="75">
        <f>IF(D41=0,C41+J41,D41+J41)</f>
        <v>0</v>
      </c>
      <c r="L41" s="109"/>
      <c r="M41" s="110"/>
    </row>
    <row r="42" spans="1:13" ht="24.95" customHeight="1" x14ac:dyDescent="0.25">
      <c r="A42" s="163" t="s">
        <v>188</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1592</v>
      </c>
      <c r="B44" s="137"/>
      <c r="C44" s="74"/>
      <c r="D44" s="75"/>
      <c r="E44" s="75"/>
      <c r="F44" s="75"/>
      <c r="G44" s="75"/>
      <c r="H44" s="75"/>
      <c r="I44" s="75"/>
      <c r="J44" s="75"/>
      <c r="K44" s="75"/>
      <c r="L44" s="75"/>
      <c r="M44" s="76"/>
    </row>
    <row r="45" spans="1:13" ht="11.25" customHeight="1" x14ac:dyDescent="0.25">
      <c r="A45" s="295" t="s">
        <v>159</v>
      </c>
      <c r="B45" s="137">
        <v>3</v>
      </c>
      <c r="C45" s="130"/>
      <c r="D45" s="109"/>
      <c r="E45" s="109"/>
      <c r="F45" s="109"/>
      <c r="G45" s="109"/>
      <c r="H45" s="109"/>
      <c r="I45" s="109"/>
      <c r="J45" s="75">
        <f>SUM(E45:I45)</f>
        <v>0</v>
      </c>
      <c r="K45" s="75">
        <f>IF(D45=0,C45+J45,D45+J45)</f>
        <v>0</v>
      </c>
      <c r="L45" s="109"/>
      <c r="M45" s="110"/>
    </row>
    <row r="46" spans="1:13" ht="11.25" customHeight="1" x14ac:dyDescent="0.25">
      <c r="A46" s="295" t="s">
        <v>159</v>
      </c>
      <c r="B46" s="137"/>
      <c r="C46" s="130"/>
      <c r="D46" s="109"/>
      <c r="E46" s="109"/>
      <c r="F46" s="109"/>
      <c r="G46" s="109"/>
      <c r="H46" s="109"/>
      <c r="I46" s="109"/>
      <c r="J46" s="75">
        <f>SUM(E46:I46)</f>
        <v>0</v>
      </c>
      <c r="K46" s="75">
        <f>IF(D46=0,C46+J46,D46+J46)</f>
        <v>0</v>
      </c>
      <c r="L46" s="109"/>
      <c r="M46" s="110"/>
    </row>
    <row r="47" spans="1:13" ht="11.25" customHeight="1" x14ac:dyDescent="0.25">
      <c r="A47" s="295" t="s">
        <v>159</v>
      </c>
      <c r="B47" s="137"/>
      <c r="C47" s="130"/>
      <c r="D47" s="109"/>
      <c r="E47" s="109"/>
      <c r="F47" s="109"/>
      <c r="G47" s="109"/>
      <c r="H47" s="109"/>
      <c r="I47" s="109"/>
      <c r="J47" s="75">
        <f>SUM(E47:I47)</f>
        <v>0</v>
      </c>
      <c r="K47" s="75">
        <f>IF(D47=0,C47+J47,D47+J47)</f>
        <v>0</v>
      </c>
      <c r="L47" s="109"/>
      <c r="M47" s="110"/>
    </row>
    <row r="48" spans="1:13" ht="11.25" customHeight="1" x14ac:dyDescent="0.25">
      <c r="A48" s="163" t="s">
        <v>189</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1593</v>
      </c>
      <c r="B50" s="137"/>
      <c r="C50" s="74"/>
      <c r="D50" s="75"/>
      <c r="E50" s="75"/>
      <c r="F50" s="75"/>
      <c r="G50" s="75"/>
      <c r="H50" s="75"/>
      <c r="I50" s="75"/>
      <c r="J50" s="75"/>
      <c r="K50" s="75"/>
      <c r="L50" s="75"/>
      <c r="M50" s="76"/>
    </row>
    <row r="51" spans="1:13" ht="11.25" customHeight="1" x14ac:dyDescent="0.25">
      <c r="A51" s="295" t="s">
        <v>159</v>
      </c>
      <c r="B51" s="137">
        <v>4</v>
      </c>
      <c r="C51" s="130"/>
      <c r="D51" s="109"/>
      <c r="E51" s="109"/>
      <c r="F51" s="109"/>
      <c r="G51" s="109"/>
      <c r="H51" s="109"/>
      <c r="I51" s="109"/>
      <c r="J51" s="75">
        <f>SUM(E51:I51)</f>
        <v>0</v>
      </c>
      <c r="K51" s="75">
        <f>IF(D51=0,C51+J51,D51+J51)</f>
        <v>0</v>
      </c>
      <c r="L51" s="109"/>
      <c r="M51" s="110"/>
    </row>
    <row r="52" spans="1:13" ht="11.25" customHeight="1" x14ac:dyDescent="0.25">
      <c r="A52" s="295" t="s">
        <v>159</v>
      </c>
      <c r="B52" s="137"/>
      <c r="C52" s="130"/>
      <c r="D52" s="109"/>
      <c r="E52" s="109"/>
      <c r="F52" s="109"/>
      <c r="G52" s="109"/>
      <c r="H52" s="109"/>
      <c r="I52" s="109"/>
      <c r="J52" s="75">
        <f>SUM(E52:I52)</f>
        <v>0</v>
      </c>
      <c r="K52" s="75">
        <f>IF(D52=0,C52+J52,D52+J52)</f>
        <v>0</v>
      </c>
      <c r="L52" s="109"/>
      <c r="M52" s="110"/>
    </row>
    <row r="53" spans="1:13" ht="11.25" customHeight="1" x14ac:dyDescent="0.25">
      <c r="A53" s="295" t="s">
        <v>159</v>
      </c>
      <c r="B53" s="137"/>
      <c r="C53" s="130"/>
      <c r="D53" s="109"/>
      <c r="E53" s="109"/>
      <c r="F53" s="109"/>
      <c r="G53" s="109"/>
      <c r="H53" s="109"/>
      <c r="I53" s="109"/>
      <c r="J53" s="75">
        <f>SUM(E53:I53)</f>
        <v>0</v>
      </c>
      <c r="K53" s="75">
        <f>IF(D53=0,C53+J53,D53+J53)</f>
        <v>0</v>
      </c>
      <c r="L53" s="109"/>
      <c r="M53" s="110"/>
    </row>
    <row r="54" spans="1:13" ht="23.25" customHeight="1" x14ac:dyDescent="0.25">
      <c r="A54" s="1103" t="s">
        <v>1594</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104" t="s">
        <v>1595</v>
      </c>
      <c r="B56" s="1105">
        <v>5</v>
      </c>
      <c r="C56" s="1106">
        <f t="shared" ref="C56:M56" si="9">C35+C41+C47+C53</f>
        <v>0</v>
      </c>
      <c r="D56" s="789">
        <f t="shared" si="9"/>
        <v>0</v>
      </c>
      <c r="E56" s="789">
        <f t="shared" si="9"/>
        <v>0</v>
      </c>
      <c r="F56" s="789">
        <f t="shared" si="9"/>
        <v>0</v>
      </c>
      <c r="G56" s="789">
        <f t="shared" si="9"/>
        <v>0</v>
      </c>
      <c r="H56" s="789">
        <f t="shared" si="9"/>
        <v>0</v>
      </c>
      <c r="I56" s="789">
        <f t="shared" si="9"/>
        <v>0</v>
      </c>
      <c r="J56" s="789">
        <f t="shared" si="9"/>
        <v>0</v>
      </c>
      <c r="K56" s="789">
        <f t="shared" si="9"/>
        <v>0</v>
      </c>
      <c r="L56" s="789">
        <f t="shared" si="9"/>
        <v>0</v>
      </c>
      <c r="M56" s="791">
        <f t="shared" si="9"/>
        <v>0</v>
      </c>
    </row>
    <row r="57" spans="1:13" ht="11.25" customHeight="1" x14ac:dyDescent="0.25">
      <c r="A57" s="155" t="s">
        <v>1596</v>
      </c>
      <c r="B57" s="156"/>
      <c r="C57" s="157">
        <f>C30+C56</f>
        <v>6480000</v>
      </c>
      <c r="D57" s="117">
        <f t="shared" ref="D57:M57" si="10">D30+D56</f>
        <v>0</v>
      </c>
      <c r="E57" s="117">
        <f t="shared" si="10"/>
        <v>0</v>
      </c>
      <c r="F57" s="117">
        <f t="shared" si="10"/>
        <v>0</v>
      </c>
      <c r="G57" s="117">
        <f t="shared" si="10"/>
        <v>0</v>
      </c>
      <c r="H57" s="117">
        <f t="shared" si="10"/>
        <v>0</v>
      </c>
      <c r="I57" s="117">
        <f t="shared" si="10"/>
        <v>700000</v>
      </c>
      <c r="J57" s="117">
        <f t="shared" si="10"/>
        <v>700000</v>
      </c>
      <c r="K57" s="117">
        <f t="shared" si="10"/>
        <v>7180000</v>
      </c>
      <c r="L57" s="117">
        <f t="shared" si="10"/>
        <v>0</v>
      </c>
      <c r="M57" s="118">
        <f t="shared" si="10"/>
        <v>0</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190</v>
      </c>
      <c r="B59" s="93"/>
      <c r="C59" s="99"/>
      <c r="D59" s="99"/>
      <c r="E59" s="99"/>
      <c r="F59" s="99"/>
      <c r="G59" s="99"/>
      <c r="H59" s="99"/>
      <c r="I59" s="99"/>
      <c r="J59" s="99"/>
      <c r="K59" s="99"/>
      <c r="L59" s="99"/>
      <c r="M59" s="99"/>
    </row>
    <row r="60" spans="1:13" ht="11.25" customHeight="1" x14ac:dyDescent="0.25">
      <c r="A60" s="97" t="s">
        <v>191</v>
      </c>
      <c r="B60" s="93"/>
      <c r="C60" s="99"/>
      <c r="D60" s="99"/>
      <c r="E60" s="99"/>
      <c r="F60" s="99"/>
      <c r="G60" s="99"/>
      <c r="H60" s="99"/>
      <c r="I60" s="99"/>
      <c r="J60" s="99"/>
      <c r="K60" s="99"/>
      <c r="L60" s="99"/>
      <c r="M60" s="99"/>
    </row>
    <row r="61" spans="1:13" ht="11.25" customHeight="1" x14ac:dyDescent="0.25">
      <c r="A61" s="97" t="s">
        <v>192</v>
      </c>
      <c r="B61" s="93"/>
      <c r="C61" s="99"/>
      <c r="D61" s="99"/>
      <c r="E61" s="99"/>
      <c r="F61" s="99"/>
      <c r="G61" s="99"/>
      <c r="H61" s="99"/>
      <c r="I61" s="99"/>
      <c r="J61" s="99"/>
      <c r="K61" s="99"/>
      <c r="L61" s="99"/>
      <c r="M61" s="99"/>
    </row>
    <row r="62" spans="1:13" ht="11.25" customHeight="1" x14ac:dyDescent="0.25">
      <c r="A62" s="97" t="s">
        <v>193</v>
      </c>
      <c r="B62" s="93"/>
      <c r="C62" s="99"/>
      <c r="D62" s="99"/>
      <c r="E62" s="99"/>
      <c r="F62" s="99"/>
      <c r="G62" s="99"/>
      <c r="H62" s="99"/>
      <c r="I62" s="99"/>
      <c r="J62" s="99"/>
      <c r="K62" s="99"/>
      <c r="L62" s="99"/>
      <c r="M62" s="99"/>
    </row>
    <row r="63" spans="1:13" ht="11.25" customHeight="1" x14ac:dyDescent="0.25">
      <c r="A63" s="97" t="s">
        <v>194</v>
      </c>
      <c r="B63" s="93"/>
      <c r="C63" s="99"/>
      <c r="D63" s="99"/>
      <c r="E63" s="99"/>
      <c r="F63" s="99"/>
      <c r="G63" s="99"/>
      <c r="H63" s="99"/>
      <c r="I63" s="99"/>
      <c r="J63" s="99"/>
      <c r="K63" s="99"/>
      <c r="L63" s="99"/>
      <c r="M63" s="99"/>
    </row>
    <row r="64" spans="1:13" ht="11.25" customHeight="1" x14ac:dyDescent="0.25">
      <c r="A64" s="98" t="s">
        <v>164</v>
      </c>
      <c r="B64" s="98"/>
      <c r="C64" s="98"/>
      <c r="D64" s="98"/>
      <c r="E64" s="98"/>
      <c r="F64" s="98"/>
      <c r="G64" s="98"/>
      <c r="H64" s="98"/>
      <c r="I64" s="98"/>
      <c r="J64" s="98"/>
      <c r="K64" s="98"/>
      <c r="L64" s="98"/>
      <c r="M64" s="98"/>
    </row>
    <row r="65" spans="1:13" ht="11.25" customHeight="1" x14ac:dyDescent="0.25">
      <c r="A65" s="98" t="s">
        <v>1337</v>
      </c>
      <c r="B65" s="98"/>
      <c r="C65" s="98"/>
      <c r="D65" s="98"/>
      <c r="E65" s="98"/>
      <c r="F65" s="98"/>
      <c r="G65" s="98"/>
      <c r="H65" s="98"/>
      <c r="I65" s="98"/>
      <c r="J65" s="98"/>
      <c r="K65" s="98"/>
      <c r="L65" s="98"/>
      <c r="M65" s="98"/>
    </row>
    <row r="66" spans="1:13" ht="11.25" customHeight="1" x14ac:dyDescent="0.25">
      <c r="A66" s="98" t="s">
        <v>1338</v>
      </c>
      <c r="B66" s="98"/>
      <c r="C66" s="98"/>
      <c r="D66" s="98"/>
      <c r="E66" s="98"/>
      <c r="F66" s="98"/>
      <c r="G66" s="98"/>
      <c r="H66" s="98"/>
      <c r="I66" s="98"/>
      <c r="J66" s="98"/>
      <c r="K66" s="98"/>
      <c r="L66" s="98"/>
      <c r="M66" s="98"/>
    </row>
    <row r="67" spans="1:13" ht="25.5" x14ac:dyDescent="0.25">
      <c r="A67" s="98" t="s">
        <v>1339</v>
      </c>
      <c r="B67" s="98"/>
      <c r="C67" s="98"/>
      <c r="D67" s="98"/>
      <c r="E67" s="98"/>
      <c r="F67" s="98"/>
      <c r="G67" s="98"/>
      <c r="H67" s="98"/>
      <c r="I67" s="98"/>
      <c r="J67" s="98"/>
      <c r="K67" s="98"/>
      <c r="L67" s="98"/>
      <c r="M67" s="98"/>
    </row>
    <row r="68" spans="1:13" x14ac:dyDescent="0.25">
      <c r="A68" s="99" t="s">
        <v>1340</v>
      </c>
      <c r="B68" s="93"/>
      <c r="C68" s="96"/>
      <c r="D68" s="96"/>
      <c r="E68" s="96"/>
      <c r="F68" s="96"/>
      <c r="G68" s="96"/>
      <c r="H68" s="96"/>
      <c r="I68" s="96"/>
      <c r="J68" s="96"/>
      <c r="K68" s="96"/>
      <c r="L68" s="96"/>
      <c r="M68" s="96"/>
    </row>
    <row r="69" spans="1:13" ht="63.75" x14ac:dyDescent="0.25">
      <c r="A69" s="98" t="s">
        <v>1353</v>
      </c>
      <c r="B69" s="98"/>
      <c r="C69" s="98"/>
      <c r="D69" s="98"/>
      <c r="E69" s="98"/>
      <c r="F69" s="98"/>
      <c r="G69" s="98"/>
      <c r="H69" s="98"/>
      <c r="I69" s="98"/>
      <c r="J69" s="98"/>
      <c r="K69" s="98"/>
      <c r="L69" s="98"/>
      <c r="M69" s="98"/>
    </row>
    <row r="70" spans="1:13" x14ac:dyDescent="0.25">
      <c r="A70" s="99" t="s">
        <v>195</v>
      </c>
      <c r="B70" s="93"/>
      <c r="C70" s="96"/>
      <c r="D70" s="96"/>
      <c r="E70" s="96"/>
      <c r="F70" s="96"/>
      <c r="G70" s="96"/>
      <c r="H70" s="96"/>
      <c r="I70" s="96"/>
      <c r="J70" s="96"/>
      <c r="K70" s="96"/>
      <c r="L70" s="96"/>
      <c r="M70" s="96"/>
    </row>
    <row r="71" spans="1:13" x14ac:dyDescent="0.25">
      <c r="A71" s="99" t="s">
        <v>1355</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3"/>
  <sheetViews>
    <sheetView workbookViewId="0">
      <pane ySplit="1" topLeftCell="A2" activePane="bottomLeft" state="frozen"/>
      <selection activeCell="C6" sqref="C6"/>
      <selection pane="bottomLeft" activeCell="C6" sqref="C6"/>
    </sheetView>
  </sheetViews>
  <sheetFormatPr defaultRowHeight="11.25" x14ac:dyDescent="0.2"/>
  <cols>
    <col min="1" max="1" width="10.7109375" style="674" customWidth="1"/>
    <col min="2" max="2" width="92.140625" style="663" customWidth="1"/>
    <col min="3" max="3" width="18.7109375" style="663" customWidth="1"/>
    <col min="4" max="4" width="16.5703125" style="663" customWidth="1"/>
    <col min="5" max="5" width="78.85546875" style="663" bestFit="1" customWidth="1"/>
    <col min="6" max="6" width="70.28515625" style="663" bestFit="1" customWidth="1"/>
    <col min="7" max="16384" width="9.140625" style="663"/>
  </cols>
  <sheetData>
    <row r="1" spans="1:4" x14ac:dyDescent="0.2">
      <c r="A1" s="1284" t="s">
        <v>283</v>
      </c>
      <c r="B1" s="1285"/>
      <c r="C1" s="1285"/>
      <c r="D1" s="1286"/>
    </row>
    <row r="2" spans="1:4" x14ac:dyDescent="0.2">
      <c r="A2" s="803" t="s">
        <v>284</v>
      </c>
      <c r="B2" s="804" t="str">
        <f>HLOOKUP(MTREF,Headings,2)</f>
        <v>2014/15</v>
      </c>
      <c r="C2" s="805" t="s">
        <v>285</v>
      </c>
      <c r="D2" s="806"/>
    </row>
    <row r="3" spans="1:4" x14ac:dyDescent="0.2">
      <c r="A3" s="807" t="s">
        <v>286</v>
      </c>
      <c r="B3" s="808" t="str">
        <f>HLOOKUP(MTREF,Headings,3)</f>
        <v>2013/14</v>
      </c>
      <c r="C3" s="809" t="s">
        <v>287</v>
      </c>
      <c r="D3" s="810"/>
    </row>
    <row r="4" spans="1:4" x14ac:dyDescent="0.2">
      <c r="A4" s="807" t="s">
        <v>288</v>
      </c>
      <c r="B4" s="808" t="str">
        <f>HLOOKUP(MTREF,Headings,4)</f>
        <v>2012/13</v>
      </c>
      <c r="C4" s="809" t="s">
        <v>289</v>
      </c>
      <c r="D4" s="810"/>
    </row>
    <row r="5" spans="1:4" x14ac:dyDescent="0.2">
      <c r="A5" s="807" t="s">
        <v>290</v>
      </c>
      <c r="B5" s="809" t="str">
        <f>HLOOKUP(MTREF,Headings,7)</f>
        <v>Budget Year 2015/16</v>
      </c>
      <c r="C5" s="809" t="s">
        <v>291</v>
      </c>
      <c r="D5" s="810"/>
    </row>
    <row r="6" spans="1:4" x14ac:dyDescent="0.2">
      <c r="A6" s="807" t="s">
        <v>292</v>
      </c>
      <c r="B6" s="809" t="str">
        <f>HLOOKUP(MTREF,Headings,6)</f>
        <v>2015/16</v>
      </c>
      <c r="C6" s="809" t="s">
        <v>293</v>
      </c>
      <c r="D6" s="810"/>
    </row>
    <row r="7" spans="1:4" x14ac:dyDescent="0.2">
      <c r="A7" s="807" t="s">
        <v>294</v>
      </c>
      <c r="B7" s="809" t="str">
        <f>HLOOKUP(MTREF,Headings,5)</f>
        <v>2015/16 Medium Term Revenue &amp; Expenditure Framework</v>
      </c>
      <c r="C7" s="809" t="s">
        <v>295</v>
      </c>
      <c r="D7" s="810"/>
    </row>
    <row r="8" spans="1:4" x14ac:dyDescent="0.2">
      <c r="A8" s="671" t="s">
        <v>296</v>
      </c>
      <c r="B8" s="662" t="s">
        <v>228</v>
      </c>
      <c r="C8" s="662"/>
      <c r="D8" s="672"/>
    </row>
    <row r="9" spans="1:4" x14ac:dyDescent="0.2">
      <c r="A9" s="671" t="s">
        <v>297</v>
      </c>
      <c r="B9" s="662" t="s">
        <v>298</v>
      </c>
      <c r="C9" s="662"/>
      <c r="D9" s="672"/>
    </row>
    <row r="10" spans="1:4" x14ac:dyDescent="0.2">
      <c r="A10" s="671" t="s">
        <v>305</v>
      </c>
      <c r="B10" s="662" t="s">
        <v>306</v>
      </c>
      <c r="C10" s="662"/>
      <c r="D10" s="672"/>
    </row>
    <row r="11" spans="1:4" x14ac:dyDescent="0.2">
      <c r="A11" s="671" t="s">
        <v>307</v>
      </c>
      <c r="B11" s="662" t="s">
        <v>308</v>
      </c>
      <c r="C11" s="662"/>
      <c r="D11" s="672"/>
    </row>
    <row r="12" spans="1:4" x14ac:dyDescent="0.2">
      <c r="A12" s="671" t="s">
        <v>309</v>
      </c>
      <c r="B12" s="662" t="s">
        <v>310</v>
      </c>
      <c r="C12" s="662"/>
      <c r="D12" s="672"/>
    </row>
    <row r="13" spans="1:4" x14ac:dyDescent="0.2">
      <c r="A13" s="671" t="s">
        <v>311</v>
      </c>
      <c r="B13" s="662" t="s">
        <v>312</v>
      </c>
      <c r="C13" s="662"/>
      <c r="D13" s="672"/>
    </row>
    <row r="14" spans="1:4" x14ac:dyDescent="0.2">
      <c r="A14" s="671" t="s">
        <v>313</v>
      </c>
      <c r="B14" s="662" t="s">
        <v>242</v>
      </c>
      <c r="C14" s="662"/>
      <c r="D14" s="672"/>
    </row>
    <row r="15" spans="1:4" x14ac:dyDescent="0.2">
      <c r="A15" s="671" t="s">
        <v>314</v>
      </c>
      <c r="B15" s="662" t="s">
        <v>315</v>
      </c>
      <c r="C15" s="662"/>
      <c r="D15" s="672"/>
    </row>
    <row r="16" spans="1:4" x14ac:dyDescent="0.2">
      <c r="A16" s="807" t="s">
        <v>316</v>
      </c>
      <c r="B16" s="809" t="str">
        <f>HLOOKUP(MTREF,Headings,7)</f>
        <v>Budget Year 2015/16</v>
      </c>
      <c r="C16" s="809" t="s">
        <v>317</v>
      </c>
      <c r="D16" s="811" t="s">
        <v>318</v>
      </c>
    </row>
    <row r="17" spans="1:4" x14ac:dyDescent="0.2">
      <c r="A17" s="807" t="s">
        <v>319</v>
      </c>
      <c r="B17" s="809" t="str">
        <f>HLOOKUP(MTREF,Headings,8)</f>
        <v>Budget Year +1 2016/17</v>
      </c>
      <c r="C17" s="809" t="s">
        <v>320</v>
      </c>
      <c r="D17" s="811" t="s">
        <v>321</v>
      </c>
    </row>
    <row r="18" spans="1:4" x14ac:dyDescent="0.2">
      <c r="A18" s="807" t="s">
        <v>322</v>
      </c>
      <c r="B18" s="809" t="str">
        <f>HLOOKUP(MTREF,Headings,9)</f>
        <v>Budget Year +2 2017/18</v>
      </c>
      <c r="C18" s="809" t="s">
        <v>323</v>
      </c>
      <c r="D18" s="811" t="s">
        <v>324</v>
      </c>
    </row>
    <row r="19" spans="1:4" x14ac:dyDescent="0.2">
      <c r="A19" s="671" t="s">
        <v>325</v>
      </c>
      <c r="B19" s="662" t="s">
        <v>249</v>
      </c>
      <c r="C19" s="662"/>
      <c r="D19" s="673" t="s">
        <v>326</v>
      </c>
    </row>
    <row r="20" spans="1:4" x14ac:dyDescent="0.2">
      <c r="A20" s="671" t="s">
        <v>327</v>
      </c>
      <c r="B20" s="662" t="s">
        <v>328</v>
      </c>
      <c r="C20" s="662"/>
      <c r="D20" s="673" t="s">
        <v>329</v>
      </c>
    </row>
    <row r="21" spans="1:4" x14ac:dyDescent="0.2">
      <c r="A21" s="671" t="s">
        <v>330</v>
      </c>
      <c r="B21" s="662" t="s">
        <v>331</v>
      </c>
      <c r="C21" s="662"/>
      <c r="D21" s="673"/>
    </row>
    <row r="22" spans="1:4" x14ac:dyDescent="0.2">
      <c r="A22" s="671" t="s">
        <v>332</v>
      </c>
      <c r="B22" s="662" t="s">
        <v>547</v>
      </c>
      <c r="C22" s="662"/>
      <c r="D22" s="673"/>
    </row>
    <row r="23" spans="1:4" x14ac:dyDescent="0.2">
      <c r="A23" s="671" t="s">
        <v>333</v>
      </c>
      <c r="B23" s="662" t="s">
        <v>609</v>
      </c>
      <c r="C23" s="662"/>
      <c r="D23" s="673" t="s">
        <v>334</v>
      </c>
    </row>
    <row r="24" spans="1:4" x14ac:dyDescent="0.2">
      <c r="A24" s="671" t="s">
        <v>335</v>
      </c>
      <c r="B24" s="662" t="s">
        <v>279</v>
      </c>
      <c r="C24" s="662"/>
      <c r="D24" s="673"/>
    </row>
    <row r="25" spans="1:4" x14ac:dyDescent="0.2">
      <c r="A25" s="671" t="s">
        <v>336</v>
      </c>
      <c r="B25" s="662" t="s">
        <v>337</v>
      </c>
      <c r="C25" s="662"/>
      <c r="D25" s="673"/>
    </row>
    <row r="26" spans="1:4" x14ac:dyDescent="0.2">
      <c r="A26" s="671" t="s">
        <v>338</v>
      </c>
      <c r="B26" s="662" t="s">
        <v>339</v>
      </c>
      <c r="C26" s="662"/>
      <c r="D26" s="673"/>
    </row>
    <row r="27" spans="1:4" x14ac:dyDescent="0.2">
      <c r="A27" s="671" t="s">
        <v>340</v>
      </c>
      <c r="B27" s="662" t="s">
        <v>341</v>
      </c>
      <c r="C27" s="662"/>
      <c r="D27" s="673"/>
    </row>
    <row r="28" spans="1:4" x14ac:dyDescent="0.2">
      <c r="A28" s="671" t="s">
        <v>342</v>
      </c>
      <c r="B28" s="662" t="s">
        <v>343</v>
      </c>
      <c r="C28" s="662"/>
      <c r="D28" s="673"/>
    </row>
    <row r="29" spans="1:4" x14ac:dyDescent="0.2">
      <c r="A29" s="671" t="s">
        <v>344</v>
      </c>
      <c r="B29" s="662" t="s">
        <v>345</v>
      </c>
      <c r="C29" s="662"/>
      <c r="D29" s="673"/>
    </row>
    <row r="30" spans="1:4" x14ac:dyDescent="0.2">
      <c r="A30" s="671" t="s">
        <v>346</v>
      </c>
      <c r="B30" s="662" t="s">
        <v>347</v>
      </c>
      <c r="C30" s="662"/>
      <c r="D30" s="673"/>
    </row>
    <row r="31" spans="1:4" x14ac:dyDescent="0.2">
      <c r="A31" s="671" t="s">
        <v>348</v>
      </c>
      <c r="B31" s="662" t="s">
        <v>349</v>
      </c>
      <c r="C31" s="662"/>
      <c r="D31" s="673"/>
    </row>
    <row r="32" spans="1:4" x14ac:dyDescent="0.2">
      <c r="A32" s="671" t="s">
        <v>350</v>
      </c>
      <c r="B32" s="662" t="s">
        <v>351</v>
      </c>
      <c r="C32" s="662"/>
      <c r="D32" s="673"/>
    </row>
    <row r="33" spans="1:4" x14ac:dyDescent="0.2">
      <c r="A33" s="671" t="s">
        <v>352</v>
      </c>
      <c r="B33" s="662" t="s">
        <v>353</v>
      </c>
      <c r="C33" s="662"/>
      <c r="D33" s="673"/>
    </row>
    <row r="34" spans="1:4" x14ac:dyDescent="0.2">
      <c r="A34" s="671" t="s">
        <v>354</v>
      </c>
      <c r="B34" s="662" t="s">
        <v>355</v>
      </c>
      <c r="C34" s="662"/>
      <c r="D34" s="673"/>
    </row>
    <row r="35" spans="1:4" x14ac:dyDescent="0.2">
      <c r="A35" s="671" t="s">
        <v>356</v>
      </c>
      <c r="B35" s="661" t="s">
        <v>357</v>
      </c>
      <c r="C35" s="662"/>
      <c r="D35" s="673"/>
    </row>
    <row r="36" spans="1:4" x14ac:dyDescent="0.2">
      <c r="A36" s="671" t="s">
        <v>358</v>
      </c>
      <c r="B36" s="661" t="s">
        <v>359</v>
      </c>
      <c r="C36" s="662"/>
      <c r="D36" s="673"/>
    </row>
    <row r="37" spans="1:4" x14ac:dyDescent="0.2">
      <c r="A37" s="671" t="s">
        <v>360</v>
      </c>
      <c r="B37" s="661" t="s">
        <v>361</v>
      </c>
      <c r="C37" s="662"/>
      <c r="D37" s="673"/>
    </row>
    <row r="38" spans="1:4" x14ac:dyDescent="0.2">
      <c r="A38" s="671" t="s">
        <v>362</v>
      </c>
      <c r="B38" s="661" t="str">
        <f>Head3&amp;" Summary"</f>
        <v>2015/16 Medium Term Revenue &amp; Expenditure Framework Summary</v>
      </c>
      <c r="C38" s="662"/>
      <c r="D38" s="673"/>
    </row>
    <row r="39" spans="1:4" x14ac:dyDescent="0.2">
      <c r="A39" s="671" t="s">
        <v>363</v>
      </c>
      <c r="B39" s="1242" t="s">
        <v>365</v>
      </c>
      <c r="C39" s="662"/>
      <c r="D39" s="673"/>
    </row>
    <row r="40" spans="1:4" x14ac:dyDescent="0.2">
      <c r="A40" s="671" t="s">
        <v>364</v>
      </c>
      <c r="B40" s="1242" t="s">
        <v>1644</v>
      </c>
      <c r="C40" s="662"/>
      <c r="D40" s="673"/>
    </row>
    <row r="41" spans="1:4" x14ac:dyDescent="0.2">
      <c r="A41" s="671" t="s">
        <v>366</v>
      </c>
      <c r="B41" s="1243" t="s">
        <v>1645</v>
      </c>
      <c r="C41" s="664"/>
      <c r="D41" s="673"/>
    </row>
    <row r="42" spans="1:4" x14ac:dyDescent="0.2">
      <c r="A42" s="671" t="s">
        <v>367</v>
      </c>
      <c r="B42" s="1242" t="s">
        <v>368</v>
      </c>
      <c r="C42" s="662"/>
      <c r="D42" s="673"/>
    </row>
    <row r="43" spans="1:4" x14ac:dyDescent="0.2">
      <c r="A43" s="671" t="s">
        <v>369</v>
      </c>
      <c r="B43" s="1242" t="s">
        <v>370</v>
      </c>
      <c r="C43" s="662"/>
      <c r="D43" s="673"/>
    </row>
    <row r="44" spans="1:4" x14ac:dyDescent="0.2">
      <c r="A44" s="671" t="s">
        <v>371</v>
      </c>
      <c r="B44" s="1244"/>
      <c r="C44" s="662"/>
      <c r="D44" s="673"/>
    </row>
    <row r="45" spans="1:4" x14ac:dyDescent="0.2">
      <c r="A45" s="671" t="s">
        <v>372</v>
      </c>
      <c r="B45" s="1242" t="s">
        <v>373</v>
      </c>
      <c r="C45" s="662"/>
      <c r="D45" s="673"/>
    </row>
    <row r="46" spans="1:4" x14ac:dyDescent="0.2">
      <c r="A46" s="671" t="s">
        <v>374</v>
      </c>
      <c r="B46" s="1242" t="s">
        <v>375</v>
      </c>
      <c r="C46" s="662"/>
      <c r="D46" s="673"/>
    </row>
    <row r="47" spans="1:4" x14ac:dyDescent="0.2">
      <c r="A47" s="671" t="s">
        <v>376</v>
      </c>
      <c r="B47" s="1242" t="s">
        <v>377</v>
      </c>
      <c r="C47" s="662"/>
      <c r="D47" s="673"/>
    </row>
    <row r="48" spans="1:4" x14ac:dyDescent="0.2">
      <c r="A48" s="671" t="s">
        <v>378</v>
      </c>
      <c r="B48" s="1242" t="s">
        <v>379</v>
      </c>
      <c r="C48" s="662"/>
      <c r="D48" s="673"/>
    </row>
    <row r="49" spans="1:4" x14ac:dyDescent="0.2">
      <c r="A49" s="671" t="s">
        <v>380</v>
      </c>
      <c r="B49" s="1242" t="s">
        <v>381</v>
      </c>
      <c r="C49" s="662"/>
      <c r="D49" s="673"/>
    </row>
    <row r="50" spans="1:4" x14ac:dyDescent="0.2">
      <c r="A50" s="671" t="s">
        <v>382</v>
      </c>
      <c r="B50" s="1242" t="s">
        <v>383</v>
      </c>
      <c r="C50" s="662"/>
      <c r="D50" s="673"/>
    </row>
    <row r="51" spans="1:4" x14ac:dyDescent="0.2">
      <c r="A51" s="671" t="s">
        <v>384</v>
      </c>
      <c r="B51" s="1242" t="s">
        <v>385</v>
      </c>
      <c r="C51" s="662"/>
      <c r="D51" s="673"/>
    </row>
    <row r="52" spans="1:4" x14ac:dyDescent="0.2">
      <c r="A52" s="671" t="s">
        <v>386</v>
      </c>
      <c r="B52" s="661" t="s">
        <v>387</v>
      </c>
      <c r="C52" s="662"/>
      <c r="D52" s="673"/>
    </row>
    <row r="53" spans="1:4" x14ac:dyDescent="0.2">
      <c r="A53" s="671" t="s">
        <v>388</v>
      </c>
      <c r="B53" s="661" t="s">
        <v>389</v>
      </c>
      <c r="C53" s="662"/>
      <c r="D53" s="673"/>
    </row>
    <row r="54" spans="1:4" x14ac:dyDescent="0.2">
      <c r="A54" s="671" t="s">
        <v>390</v>
      </c>
      <c r="B54" s="661" t="s">
        <v>391</v>
      </c>
      <c r="C54" s="662"/>
      <c r="D54" s="673"/>
    </row>
    <row r="55" spans="1:4" x14ac:dyDescent="0.2">
      <c r="A55" s="671" t="s">
        <v>392</v>
      </c>
      <c r="B55" s="661" t="s">
        <v>393</v>
      </c>
      <c r="C55" s="662"/>
      <c r="D55" s="673"/>
    </row>
    <row r="56" spans="1:4" x14ac:dyDescent="0.2">
      <c r="A56" s="671" t="s">
        <v>394</v>
      </c>
      <c r="B56" s="661" t="s">
        <v>395</v>
      </c>
      <c r="C56" s="662"/>
      <c r="D56" s="673"/>
    </row>
    <row r="57" spans="1:4" x14ac:dyDescent="0.2">
      <c r="A57" s="671" t="s">
        <v>396</v>
      </c>
      <c r="B57" s="661" t="s">
        <v>397</v>
      </c>
      <c r="C57" s="662"/>
      <c r="D57" s="673"/>
    </row>
    <row r="58" spans="1:4" x14ac:dyDescent="0.2">
      <c r="A58" s="671" t="s">
        <v>398</v>
      </c>
      <c r="B58" s="661" t="s">
        <v>399</v>
      </c>
      <c r="C58" s="662"/>
      <c r="D58" s="673"/>
    </row>
    <row r="59" spans="1:4" x14ac:dyDescent="0.2">
      <c r="A59" s="671" t="s">
        <v>400</v>
      </c>
      <c r="B59" s="661" t="s">
        <v>401</v>
      </c>
      <c r="C59" s="662"/>
      <c r="D59" s="673"/>
    </row>
    <row r="60" spans="1:4" x14ac:dyDescent="0.2">
      <c r="A60" s="671" t="s">
        <v>402</v>
      </c>
      <c r="B60" s="661" t="s">
        <v>403</v>
      </c>
      <c r="C60" s="662"/>
      <c r="D60" s="673"/>
    </row>
    <row r="61" spans="1:4" x14ac:dyDescent="0.2">
      <c r="A61" s="671" t="s">
        <v>404</v>
      </c>
      <c r="B61" s="661" t="s">
        <v>405</v>
      </c>
      <c r="C61" s="662"/>
      <c r="D61" s="673"/>
    </row>
    <row r="62" spans="1:4" x14ac:dyDescent="0.2">
      <c r="A62" s="1287" t="s">
        <v>406</v>
      </c>
      <c r="B62" s="1288"/>
      <c r="C62" s="1288"/>
      <c r="D62" s="1289"/>
    </row>
    <row r="63" spans="1:4" x14ac:dyDescent="0.2">
      <c r="A63" s="812" t="s">
        <v>407</v>
      </c>
      <c r="B63" s="684" t="str">
        <f>'Lookup and lists'!B28</f>
        <v>LIM354 Polokwane</v>
      </c>
      <c r="C63" s="684"/>
      <c r="D63" s="674"/>
    </row>
    <row r="64" spans="1:4" x14ac:dyDescent="0.2">
      <c r="A64" s="812" t="s">
        <v>224</v>
      </c>
      <c r="B64" s="813">
        <v>1</v>
      </c>
      <c r="C64" s="684" t="s">
        <v>225</v>
      </c>
      <c r="D64" s="674">
        <v>1</v>
      </c>
    </row>
    <row r="65" spans="1:6" x14ac:dyDescent="0.2">
      <c r="A65" s="712" t="str">
        <f>IF((MuniEntities=1)*(MuniType=2),"YES","NO")</f>
        <v>NO</v>
      </c>
      <c r="B65" s="2" t="s">
        <v>408</v>
      </c>
      <c r="C65" s="685"/>
      <c r="D65" s="674"/>
    </row>
    <row r="66" spans="1:6" x14ac:dyDescent="0.2">
      <c r="A66" s="1290" t="s">
        <v>409</v>
      </c>
      <c r="B66" s="1291"/>
      <c r="C66" s="675"/>
      <c r="D66" s="675"/>
      <c r="E66" s="676" t="s">
        <v>410</v>
      </c>
      <c r="F66" s="676" t="s">
        <v>411</v>
      </c>
    </row>
    <row r="67" spans="1:6" x14ac:dyDescent="0.2">
      <c r="A67" s="671" t="s">
        <v>412</v>
      </c>
      <c r="B67" s="662" t="str">
        <f t="shared" ref="B67:B99" si="0">D67&amp;IF(Consolques="YES",E67,F67)</f>
        <v>Table B1 Adjustments Budget Summary</v>
      </c>
      <c r="C67" s="662"/>
      <c r="D67" s="677" t="s">
        <v>413</v>
      </c>
      <c r="E67" s="663" t="str">
        <f>"Consolidated "&amp;F67</f>
        <v>Consolidated Adjustments Budget Summary</v>
      </c>
      <c r="F67" s="663" t="str">
        <f>"Adjustments Budget Summary"</f>
        <v>Adjustments Budget Summary</v>
      </c>
    </row>
    <row r="68" spans="1:6" x14ac:dyDescent="0.2">
      <c r="A68" s="671" t="s">
        <v>414</v>
      </c>
      <c r="B68" s="662" t="str">
        <f t="shared" si="0"/>
        <v>Table B3 Adjustments Budget Financial Performance (revenue and expenditure by municipal vote)</v>
      </c>
      <c r="C68" s="662"/>
      <c r="D68" s="677" t="s">
        <v>417</v>
      </c>
      <c r="E68" s="663" t="str">
        <f t="shared" ref="E68:E98" si="1">"Consolidated "&amp;F68</f>
        <v>Consolidated Adjustments Budget Financial Performance (revenue and expenditure by municipal vote)</v>
      </c>
      <c r="F68" s="663" t="str">
        <f>"Adjustments Budget Financial Performance (revenue and expenditure by municipal vote)"</f>
        <v>Adjustments Budget Financial Performance (revenue and expenditure by municipal vote)</v>
      </c>
    </row>
    <row r="69" spans="1:6" x14ac:dyDescent="0.2">
      <c r="A69" s="671" t="s">
        <v>416</v>
      </c>
      <c r="B69" s="662" t="str">
        <f t="shared" si="0"/>
        <v>Table B2 Adjustments Budget Financial Performance (standard classification)</v>
      </c>
      <c r="C69" s="662"/>
      <c r="D69" s="677" t="s">
        <v>415</v>
      </c>
      <c r="E69" s="663" t="str">
        <f t="shared" si="1"/>
        <v>Consolidated Adjustments Budget Financial Performance (standard classification)</v>
      </c>
      <c r="F69" s="663" t="str">
        <f>"Adjustments Budget Financial Performance (standard classification)"</f>
        <v>Adjustments Budget Financial Performance (standard classification)</v>
      </c>
    </row>
    <row r="70" spans="1:6" x14ac:dyDescent="0.2">
      <c r="A70" s="671" t="s">
        <v>418</v>
      </c>
      <c r="B70" s="662" t="str">
        <f t="shared" si="0"/>
        <v>Table B4 Adjustments Budget Financial Performance (revenue and expenditure)</v>
      </c>
      <c r="C70" s="662"/>
      <c r="D70" s="677" t="s">
        <v>419</v>
      </c>
      <c r="E70" s="663" t="str">
        <f t="shared" si="1"/>
        <v>Consolidated Adjustments Budget Financial Performance (revenue and expenditure)</v>
      </c>
      <c r="F70" s="663" t="str">
        <f>"Adjustments Budget Financial Performance (revenue and expenditure)"</f>
        <v>Adjustments Budget Financial Performance (revenue and expenditure)</v>
      </c>
    </row>
    <row r="71" spans="1:6" x14ac:dyDescent="0.2">
      <c r="A71" s="671" t="s">
        <v>420</v>
      </c>
      <c r="B71" s="662" t="str">
        <f t="shared" si="0"/>
        <v>Table B5 Adjustments Capital Expenditure Budget by vote and funding</v>
      </c>
      <c r="C71" s="662"/>
      <c r="D71" s="677" t="s">
        <v>421</v>
      </c>
      <c r="E71" s="663" t="str">
        <f t="shared" si="1"/>
        <v>Consolidated Adjustments Capital Expenditure Budget by vote and funding</v>
      </c>
      <c r="F71" s="663" t="str">
        <f>"Adjustments Capital Expenditure Budget by vote and funding"</f>
        <v>Adjustments Capital Expenditure Budget by vote and funding</v>
      </c>
    </row>
    <row r="72" spans="1:6" x14ac:dyDescent="0.2">
      <c r="A72" s="671" t="s">
        <v>422</v>
      </c>
      <c r="B72" s="662" t="str">
        <f t="shared" si="0"/>
        <v>Table B6 Adjustments Budget Financial Position</v>
      </c>
      <c r="C72" s="662"/>
      <c r="D72" s="677" t="s">
        <v>423</v>
      </c>
      <c r="E72" s="663" t="str">
        <f t="shared" si="1"/>
        <v>Consolidated Adjustments Budget Financial Position</v>
      </c>
      <c r="F72" s="663" t="str">
        <f>"Adjustments Budget Financial Position"</f>
        <v>Adjustments Budget Financial Position</v>
      </c>
    </row>
    <row r="73" spans="1:6" x14ac:dyDescent="0.2">
      <c r="A73" s="671" t="s">
        <v>424</v>
      </c>
      <c r="B73" s="662" t="str">
        <f t="shared" si="0"/>
        <v>Table B7 Adjustments Budget Cash Flows</v>
      </c>
      <c r="C73" s="662"/>
      <c r="D73" s="677" t="s">
        <v>425</v>
      </c>
      <c r="E73" s="663" t="str">
        <f t="shared" si="1"/>
        <v>Consolidated Adjustments Budget Cash Flows</v>
      </c>
      <c r="F73" s="663" t="str">
        <f>"Adjustments Budget Cash Flows"</f>
        <v>Adjustments Budget Cash Flows</v>
      </c>
    </row>
    <row r="74" spans="1:6" x14ac:dyDescent="0.2">
      <c r="A74" s="671" t="s">
        <v>426</v>
      </c>
      <c r="B74" s="662" t="str">
        <f t="shared" si="0"/>
        <v>Table B8 Cash backed reserves/accumulated surplus reconciliation</v>
      </c>
      <c r="C74" s="662"/>
      <c r="D74" s="677" t="s">
        <v>427</v>
      </c>
      <c r="E74" s="663" t="str">
        <f t="shared" si="1"/>
        <v>Consolidated Cash backed reserves/accumulated surplus reconciliation</v>
      </c>
      <c r="F74" s="663" t="str">
        <f>"Cash backed reserves/accumulated surplus reconciliation"</f>
        <v>Cash backed reserves/accumulated surplus reconciliation</v>
      </c>
    </row>
    <row r="75" spans="1:6" x14ac:dyDescent="0.2">
      <c r="A75" s="671" t="s">
        <v>428</v>
      </c>
      <c r="B75" s="662" t="str">
        <f t="shared" si="0"/>
        <v>Table B9 Asset Management</v>
      </c>
      <c r="C75" s="662"/>
      <c r="D75" s="677" t="s">
        <v>429</v>
      </c>
      <c r="E75" s="663" t="str">
        <f t="shared" si="1"/>
        <v>Consolidated Asset Management</v>
      </c>
      <c r="F75" s="663" t="str">
        <f>"Asset Management"</f>
        <v>Asset Management</v>
      </c>
    </row>
    <row r="76" spans="1:6" x14ac:dyDescent="0.2">
      <c r="A76" s="671" t="s">
        <v>430</v>
      </c>
      <c r="B76" s="662" t="str">
        <f t="shared" si="0"/>
        <v>Table B10 Basic service delivery measurement</v>
      </c>
      <c r="C76" s="662"/>
      <c r="D76" s="677" t="s">
        <v>431</v>
      </c>
      <c r="E76" s="663" t="str">
        <f t="shared" si="1"/>
        <v>Consolidated Basic service delivery measurement</v>
      </c>
      <c r="F76" s="663" t="str">
        <f>"Basic service delivery measurement"</f>
        <v>Basic service delivery measurement</v>
      </c>
    </row>
    <row r="77" spans="1:6" x14ac:dyDescent="0.2">
      <c r="A77" s="671" t="s">
        <v>432</v>
      </c>
      <c r="B77" s="662" t="str">
        <f t="shared" si="0"/>
        <v>Supporting Table SB1 Supporting detail to 'Budgeted Financial Performance'</v>
      </c>
      <c r="C77" s="662"/>
      <c r="D77" s="677" t="str">
        <f>D100&amp;"Table SB1 "</f>
        <v xml:space="preserve">Supporting Table SB1 </v>
      </c>
      <c r="E77" s="663" t="str">
        <f t="shared" si="1"/>
        <v>Consolidated Supporting detail to 'Budgeted Financial Performance'</v>
      </c>
      <c r="F77" s="663" t="str">
        <f>"Supporting detail to 'Budgeted Financial Performance'"</f>
        <v>Supporting detail to 'Budgeted Financial Performance'</v>
      </c>
    </row>
    <row r="78" spans="1:6" x14ac:dyDescent="0.2">
      <c r="A78" s="671" t="s">
        <v>433</v>
      </c>
      <c r="B78" s="662" t="str">
        <f t="shared" si="0"/>
        <v>Supporting Table SB2 Supporting detail to 'Financial Position Budget'</v>
      </c>
      <c r="C78" s="662"/>
      <c r="D78" s="677" t="str">
        <f>D100&amp;"Table SB2 "</f>
        <v xml:space="preserve">Supporting Table SB2 </v>
      </c>
      <c r="E78" s="663" t="str">
        <f t="shared" si="1"/>
        <v>Consolidated Supporting detail to 'Financial Position Budget'</v>
      </c>
      <c r="F78" s="663" t="str">
        <f>"Supporting detail to 'Financial Position Budget'"</f>
        <v>Supporting detail to 'Financial Position Budget'</v>
      </c>
    </row>
    <row r="79" spans="1:6" x14ac:dyDescent="0.2">
      <c r="A79" s="671" t="s">
        <v>434</v>
      </c>
      <c r="B79" s="662" t="str">
        <f t="shared" si="0"/>
        <v>Supporting Table SB3 Adjustments to the SDBIP - performance objectives</v>
      </c>
      <c r="C79" s="662"/>
      <c r="D79" s="677" t="str">
        <f>D100&amp;"Table SB3 "</f>
        <v xml:space="preserve">Supporting Table SB3 </v>
      </c>
      <c r="E79" s="663" t="str">
        <f t="shared" si="1"/>
        <v>Consolidated Adjustments to the SDBIP - performance objectives</v>
      </c>
      <c r="F79" s="663" t="str">
        <f>"Adjustments to the SDBIP - performance objectives"</f>
        <v>Adjustments to the SDBIP - performance objectives</v>
      </c>
    </row>
    <row r="80" spans="1:6" x14ac:dyDescent="0.2">
      <c r="A80" s="671" t="s">
        <v>435</v>
      </c>
      <c r="B80" s="662" t="str">
        <f t="shared" si="0"/>
        <v>Supporting Table SB4 Adjustments to budgeted performance indicators and benchmarks</v>
      </c>
      <c r="C80" s="678"/>
      <c r="D80" s="677" t="str">
        <f>D100&amp;"Table SB4 "</f>
        <v xml:space="preserve">Supporting Table SB4 </v>
      </c>
      <c r="E80" s="663" t="str">
        <f t="shared" si="1"/>
        <v>Consolidated Adjustments to budgeted performance indicators and benchmarks</v>
      </c>
      <c r="F80" s="679" t="str">
        <f>"Adjustments to budgeted performance indicators and benchmarks"</f>
        <v>Adjustments to budgeted performance indicators and benchmarks</v>
      </c>
    </row>
    <row r="81" spans="1:6" x14ac:dyDescent="0.2">
      <c r="A81" s="671" t="s">
        <v>436</v>
      </c>
      <c r="B81" s="662" t="str">
        <f t="shared" si="0"/>
        <v>Supporting Table SB5 Adjustments Budget - social, economic and demographic statistics and assumptions</v>
      </c>
      <c r="C81" s="678"/>
      <c r="D81" s="677" t="str">
        <f>D100&amp;"Table SB5 "</f>
        <v xml:space="preserve">Supporting Table SB5 </v>
      </c>
      <c r="E81" s="663" t="str">
        <f t="shared" si="1"/>
        <v>Consolidated Adjustments Budget - social, economic and demographic statistics and assumptions</v>
      </c>
      <c r="F81" s="678" t="str">
        <f>"Adjustments Budget - social, economic and demographic statistics and assumptions"</f>
        <v>Adjustments Budget - social, economic and demographic statistics and assumptions</v>
      </c>
    </row>
    <row r="82" spans="1:6" x14ac:dyDescent="0.2">
      <c r="A82" s="671" t="s">
        <v>437</v>
      </c>
      <c r="B82" s="662" t="str">
        <f t="shared" si="0"/>
        <v>Supporting Table SB6 Adjustments Budget - funding measurement</v>
      </c>
      <c r="C82" s="678"/>
      <c r="D82" s="677" t="str">
        <f>D100&amp;"Table SB6 "</f>
        <v xml:space="preserve">Supporting Table SB6 </v>
      </c>
      <c r="E82" s="663" t="str">
        <f t="shared" si="1"/>
        <v>Consolidated Adjustments Budget - funding measurement</v>
      </c>
      <c r="F82" s="678" t="str">
        <f>"Adjustments Budget - funding measurement"</f>
        <v>Adjustments Budget - funding measurement</v>
      </c>
    </row>
    <row r="83" spans="1:6" x14ac:dyDescent="0.2">
      <c r="A83" s="671" t="s">
        <v>438</v>
      </c>
      <c r="B83" s="662" t="str">
        <f t="shared" si="0"/>
        <v>Supporting Table SB7 Adjustments Budget - transfers and grant receipts</v>
      </c>
      <c r="C83" s="678"/>
      <c r="D83" s="677" t="str">
        <f>D100&amp;"Table SB7 "</f>
        <v xml:space="preserve">Supporting Table SB7 </v>
      </c>
      <c r="E83" s="663" t="str">
        <f t="shared" si="1"/>
        <v>Consolidated Adjustments Budget - transfers and grant receipts</v>
      </c>
      <c r="F83" s="678" t="str">
        <f>"Adjustments Budget - transfers and grant receipts"</f>
        <v>Adjustments Budget - transfers and grant receipts</v>
      </c>
    </row>
    <row r="84" spans="1:6" x14ac:dyDescent="0.2">
      <c r="A84" s="671" t="s">
        <v>439</v>
      </c>
      <c r="B84" s="662" t="str">
        <f t="shared" si="0"/>
        <v>Supporting Table SB8 Adjustments Budget - expenditure on transfers and grant programme</v>
      </c>
      <c r="C84" s="678"/>
      <c r="D84" s="677" t="str">
        <f>D100&amp;"Table SB8 "</f>
        <v xml:space="preserve">Supporting Table SB8 </v>
      </c>
      <c r="E84" s="663" t="str">
        <f t="shared" si="1"/>
        <v>Consolidated Adjustments Budget - expenditure on transfers and grant programme</v>
      </c>
      <c r="F84" s="678" t="str">
        <f>"Adjustments Budget - expenditure on transfers and grant programme"</f>
        <v>Adjustments Budget - expenditure on transfers and grant programme</v>
      </c>
    </row>
    <row r="85" spans="1:6" x14ac:dyDescent="0.2">
      <c r="A85" s="671" t="s">
        <v>440</v>
      </c>
      <c r="B85" s="662" t="str">
        <f t="shared" si="0"/>
        <v>Supporting Table SB9 Adjustments Budget - reconciliation of transfers, grant receipts, and unspent funds</v>
      </c>
      <c r="C85" s="678"/>
      <c r="D85" s="677" t="str">
        <f>D100&amp;"Table SB9 "</f>
        <v xml:space="preserve">Supporting Table SB9 </v>
      </c>
      <c r="E85" s="663" t="str">
        <f t="shared" si="1"/>
        <v>Consolidated Adjustments Budget - reconciliation of transfers, grant receipts, and unspent funds</v>
      </c>
      <c r="F85" s="678" t="str">
        <f>"Adjustments Budget - reconciliation of transfers, grant receipts, and unspent funds"</f>
        <v>Adjustments Budget - reconciliation of transfers, grant receipts, and unspent funds</v>
      </c>
    </row>
    <row r="86" spans="1:6" x14ac:dyDescent="0.2">
      <c r="A86" s="671" t="s">
        <v>441</v>
      </c>
      <c r="B86" s="662" t="str">
        <f t="shared" si="0"/>
        <v>Supporting Table SB10 Adjustments Budget - transfers and grants made by the municipality</v>
      </c>
      <c r="C86" s="678"/>
      <c r="D86" s="677" t="str">
        <f>D100&amp;"Table SB10 "</f>
        <v xml:space="preserve">Supporting Table SB10 </v>
      </c>
      <c r="E86" s="663" t="str">
        <f t="shared" si="1"/>
        <v>Consolidated Adjustments Budget - transfers and grants made by the municipality</v>
      </c>
      <c r="F86" s="678" t="str">
        <f>"Adjustments Budget - transfers and grants made by the municipality"</f>
        <v>Adjustments Budget - transfers and grants made by the municipality</v>
      </c>
    </row>
    <row r="87" spans="1:6" x14ac:dyDescent="0.2">
      <c r="A87" s="671" t="s">
        <v>442</v>
      </c>
      <c r="B87" s="662" t="str">
        <f t="shared" si="0"/>
        <v>Supporting Table SB11 Adjustments Budget - councillor and staff benefits</v>
      </c>
      <c r="C87" s="678"/>
      <c r="D87" s="677" t="str">
        <f>D100&amp;"Table SB11 "</f>
        <v xml:space="preserve">Supporting Table SB11 </v>
      </c>
      <c r="E87" s="663" t="str">
        <f t="shared" si="1"/>
        <v>Consolidated Adjustments Budget - councillor and staff benefits</v>
      </c>
      <c r="F87" s="678" t="str">
        <f>"Adjustments Budget - councillor and staff benefits"</f>
        <v>Adjustments Budget - councillor and staff benefits</v>
      </c>
    </row>
    <row r="88" spans="1:6" x14ac:dyDescent="0.2">
      <c r="A88" s="671" t="s">
        <v>443</v>
      </c>
      <c r="B88" s="662" t="str">
        <f t="shared" si="0"/>
        <v>Supporting Table SB12 Adjustments Budget - monthly revenue and expenditure (municipal vote)</v>
      </c>
      <c r="C88" s="662"/>
      <c r="D88" s="677" t="str">
        <f>D100&amp;"Table SB12 "</f>
        <v xml:space="preserve">Supporting Table SB12 </v>
      </c>
      <c r="E88" s="663" t="str">
        <f t="shared" si="1"/>
        <v>Consolidated Adjustments Budget - monthly revenue and expenditure (municipal vote)</v>
      </c>
      <c r="F88" s="679" t="str">
        <f>"Adjustments Budget - monthly revenue and expenditure (municipal vote)"</f>
        <v>Adjustments Budget - monthly revenue and expenditure (municipal vote)</v>
      </c>
    </row>
    <row r="89" spans="1:6" x14ac:dyDescent="0.2">
      <c r="A89" s="671" t="s">
        <v>444</v>
      </c>
      <c r="B89" s="662" t="str">
        <f t="shared" si="0"/>
        <v>Supporting Table SB13 Adjustments Budget - monthly revenue and expenditure (standard classification)</v>
      </c>
      <c r="C89" s="662"/>
      <c r="D89" s="677" t="str">
        <f>D100&amp;"Table SB13 "</f>
        <v xml:space="preserve">Supporting Table SB13 </v>
      </c>
      <c r="E89" s="663" t="str">
        <f t="shared" si="1"/>
        <v>Consolidated Adjustments Budget - monthly revenue and expenditure (standard classification)</v>
      </c>
      <c r="F89" s="663" t="str">
        <f>"Adjustments Budget - monthly revenue and expenditure (standard classification)"</f>
        <v>Adjustments Budget - monthly revenue and expenditure (standard classification)</v>
      </c>
    </row>
    <row r="90" spans="1:6" x14ac:dyDescent="0.2">
      <c r="A90" s="671" t="s">
        <v>445</v>
      </c>
      <c r="B90" s="662" t="str">
        <f t="shared" si="0"/>
        <v>Supporting Table SB14 Adjustments Budget - monthly revenue and expenditure</v>
      </c>
      <c r="C90" s="662"/>
      <c r="D90" s="677" t="str">
        <f>D100&amp;"Table SB14 "</f>
        <v xml:space="preserve">Supporting Table SB14 </v>
      </c>
      <c r="E90" s="663" t="str">
        <f t="shared" si="1"/>
        <v>Consolidated Adjustments Budget - monthly revenue and expenditure</v>
      </c>
      <c r="F90" s="663" t="str">
        <f>"Adjustments Budget - monthly revenue and expenditure"</f>
        <v>Adjustments Budget - monthly revenue and expenditure</v>
      </c>
    </row>
    <row r="91" spans="1:6" x14ac:dyDescent="0.2">
      <c r="A91" s="671" t="s">
        <v>446</v>
      </c>
      <c r="B91" s="662" t="str">
        <f t="shared" si="0"/>
        <v>Supporting Table SB15 Adjustments Budget - monthly cash flow</v>
      </c>
      <c r="C91" s="662"/>
      <c r="D91" s="677" t="str">
        <f>D100&amp;"Table SB15 "</f>
        <v xml:space="preserve">Supporting Table SB15 </v>
      </c>
      <c r="E91" s="663" t="str">
        <f t="shared" si="1"/>
        <v>Consolidated Adjustments Budget - monthly cash flow</v>
      </c>
      <c r="F91" s="663" t="str">
        <f>"Adjustments Budget - monthly cash flow"</f>
        <v>Adjustments Budget - monthly cash flow</v>
      </c>
    </row>
    <row r="92" spans="1:6" x14ac:dyDescent="0.2">
      <c r="A92" s="671" t="s">
        <v>447</v>
      </c>
      <c r="B92" s="662" t="str">
        <f t="shared" si="0"/>
        <v>Supporting Table SB16 Adjustments Budget - monthly capital expenditure (municipal vote)</v>
      </c>
      <c r="C92" s="662"/>
      <c r="D92" s="677" t="str">
        <f>D100&amp;"Table SB16 "</f>
        <v xml:space="preserve">Supporting Table SB16 </v>
      </c>
      <c r="E92" s="663" t="str">
        <f t="shared" si="1"/>
        <v>Consolidated Adjustments Budget - monthly capital expenditure (municipal vote)</v>
      </c>
      <c r="F92" s="663" t="str">
        <f>"Adjustments Budget - monthly capital expenditure (municipal vote)"</f>
        <v>Adjustments Budget - monthly capital expenditure (municipal vote)</v>
      </c>
    </row>
    <row r="93" spans="1:6" x14ac:dyDescent="0.2">
      <c r="A93" s="671" t="s">
        <v>448</v>
      </c>
      <c r="B93" s="662" t="str">
        <f t="shared" si="0"/>
        <v>Supporting Table SB17 Adjustments Budget - monthly capital expenditure (standard classification)</v>
      </c>
      <c r="C93" s="662"/>
      <c r="D93" s="677" t="str">
        <f>D100&amp;"Table SB17 "</f>
        <v xml:space="preserve">Supporting Table SB17 </v>
      </c>
      <c r="E93" s="663" t="str">
        <f t="shared" si="1"/>
        <v>Consolidated Adjustments Budget - monthly capital expenditure (standard classification)</v>
      </c>
      <c r="F93" s="663" t="str">
        <f>"Adjustments Budget - monthly capital expenditure (standard classification)"</f>
        <v>Adjustments Budget - monthly capital expenditure (standard classification)</v>
      </c>
    </row>
    <row r="94" spans="1:6" x14ac:dyDescent="0.2">
      <c r="A94" s="671" t="s">
        <v>1328</v>
      </c>
      <c r="B94" s="662" t="str">
        <f t="shared" si="0"/>
        <v>Supporting Table SB18a Adjustments Budget - capital expenditure on new assets by asset class</v>
      </c>
      <c r="C94" s="662"/>
      <c r="D94" s="677" t="str">
        <f>D100&amp;"Table SB18a "</f>
        <v xml:space="preserve">Supporting Table SB18a </v>
      </c>
      <c r="E94" s="663" t="str">
        <f t="shared" si="1"/>
        <v>Consolidated Adjustments Budget - capital expenditure on new assets by asset class</v>
      </c>
      <c r="F94" s="663" t="str">
        <f>"Adjustments Budget - capital expenditure on new assets by asset class"</f>
        <v>Adjustments Budget - capital expenditure on new assets by asset class</v>
      </c>
    </row>
    <row r="95" spans="1:6" x14ac:dyDescent="0.2">
      <c r="A95" s="671" t="s">
        <v>1329</v>
      </c>
      <c r="B95" s="662" t="str">
        <f t="shared" si="0"/>
        <v>Supporting Table SB18b Adjustments Budget - capital expenditure on renewal of existing assets by asset class</v>
      </c>
      <c r="C95" s="662"/>
      <c r="D95" s="677" t="str">
        <f>D100&amp;"Table SB18b "</f>
        <v xml:space="preserve">Supporting Table SB18b </v>
      </c>
      <c r="E95" s="663" t="str">
        <f>"Consolidated "&amp;F95</f>
        <v>Consolidated Adjustments Budget - capital expenditure on renewal of existing assets by asset class</v>
      </c>
      <c r="F95" s="663" t="str">
        <f>"Adjustments Budget - capital expenditure on renewal of existing assets by asset class"</f>
        <v>Adjustments Budget - capital expenditure on renewal of existing assets by asset class</v>
      </c>
    </row>
    <row r="96" spans="1:6" x14ac:dyDescent="0.2">
      <c r="A96" s="671" t="s">
        <v>1330</v>
      </c>
      <c r="B96" s="662" t="str">
        <f t="shared" si="0"/>
        <v>Supporting Table SB18c Adjustments Budget - expenditure on repairs and maintenance by asset class</v>
      </c>
      <c r="C96" s="662"/>
      <c r="D96" s="677" t="str">
        <f>D100&amp;"Table SB18c "</f>
        <v xml:space="preserve">Supporting Table SB18c </v>
      </c>
      <c r="E96" s="663" t="str">
        <f>"Consolidated "&amp;F96</f>
        <v>Consolidated Adjustments Budget - expenditure on repairs and maintenance by asset class</v>
      </c>
      <c r="F96" s="663" t="str">
        <f>"Adjustments Budget - expenditure on repairs and maintenance by asset class"</f>
        <v>Adjustments Budget - expenditure on repairs and maintenance by asset class</v>
      </c>
    </row>
    <row r="97" spans="1:6" x14ac:dyDescent="0.2">
      <c r="A97" s="671" t="s">
        <v>1501</v>
      </c>
      <c r="B97" s="662" t="str">
        <f t="shared" si="0"/>
        <v>Supporting Table SB18d Adjustments Budget - depreciation by asset class</v>
      </c>
      <c r="C97" s="662"/>
      <c r="D97" s="677" t="str">
        <f>D100&amp;"Table SB18d "</f>
        <v xml:space="preserve">Supporting Table SB18d </v>
      </c>
      <c r="E97" s="663" t="str">
        <f>"Consolidated "&amp;F97</f>
        <v>Consolidated Adjustments Budget - depreciation by asset class</v>
      </c>
      <c r="F97" s="663" t="str">
        <f>"Adjustments Budget - depreciation by asset class"</f>
        <v>Adjustments Budget - depreciation by asset class</v>
      </c>
    </row>
    <row r="98" spans="1:6" x14ac:dyDescent="0.2">
      <c r="A98" s="671" t="s">
        <v>449</v>
      </c>
      <c r="B98" s="662" t="str">
        <f t="shared" si="0"/>
        <v>Supporting Table SB19 List of capital programmes and projects affected by Adjustments Budget</v>
      </c>
      <c r="C98" s="662"/>
      <c r="D98" s="677" t="str">
        <f>D100&amp;"Table SB19 "</f>
        <v xml:space="preserve">Supporting Table SB19 </v>
      </c>
      <c r="E98" s="663" t="str">
        <f t="shared" si="1"/>
        <v>Consolidated List of capital programmes and projects affected by Adjustments Budget</v>
      </c>
      <c r="F98" s="663" t="str">
        <f>"List of capital programmes and projects affected by Adjustments Budget"</f>
        <v>List of capital programmes and projects affected by Adjustments Budget</v>
      </c>
    </row>
    <row r="99" spans="1:6" x14ac:dyDescent="0.2">
      <c r="A99" s="680" t="s">
        <v>450</v>
      </c>
      <c r="B99" s="662" t="str">
        <f t="shared" si="0"/>
        <v>Supporting Table SB20 Not required</v>
      </c>
      <c r="C99" s="668"/>
      <c r="D99" s="681" t="str">
        <f>D100&amp;"Table SB20 "</f>
        <v xml:space="preserve">Supporting Table SB20 </v>
      </c>
      <c r="E99" s="663" t="str">
        <f>"Adjusted Budget Municipal Entity Performance Summary"</f>
        <v>Adjusted Budget Municipal Entity Performance Summary</v>
      </c>
      <c r="F99" s="663" t="s">
        <v>451</v>
      </c>
    </row>
    <row r="100" spans="1:6" x14ac:dyDescent="0.2">
      <c r="A100" s="663"/>
      <c r="D100" s="663" t="s">
        <v>452</v>
      </c>
    </row>
    <row r="101" spans="1:6" x14ac:dyDescent="0.2">
      <c r="A101" s="663"/>
    </row>
    <row r="102" spans="1:6" x14ac:dyDescent="0.2">
      <c r="A102" s="663"/>
    </row>
    <row r="103" spans="1:6" x14ac:dyDescent="0.2">
      <c r="D103" s="682"/>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86" activePane="bottomRight" state="frozen"/>
      <selection activeCell="C6" sqref="C6"/>
      <selection pane="topRight" activeCell="C6" sqref="C6"/>
      <selection pane="bottomLeft" activeCell="C6" sqref="C6"/>
      <selection pane="bottomRight" activeCell="G59" sqref="G59"/>
    </sheetView>
  </sheetViews>
  <sheetFormatPr defaultRowHeight="12.75" x14ac:dyDescent="0.25"/>
  <cols>
    <col min="1" max="1" width="35.7109375" style="5" customWidth="1"/>
    <col min="2" max="2" width="3.140625" style="58" customWidth="1"/>
    <col min="3" max="11" width="8.7109375" style="5" customWidth="1"/>
    <col min="12" max="12" width="5.710937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x14ac:dyDescent="0.25">
      <c r="A1" s="57" t="str">
        <f>muni&amp;" - "&amp;ADJB11&amp;" - "&amp;Date</f>
        <v>LIM354 Polokwane - Supporting Table SB11 Adjustments Budget - councillor and staff benefits - 25 February 2016</v>
      </c>
      <c r="B1" s="5"/>
      <c r="C1" s="58"/>
    </row>
    <row r="2" spans="1:14" x14ac:dyDescent="0.25">
      <c r="A2" s="1321" t="s">
        <v>196</v>
      </c>
      <c r="B2" s="1318" t="str">
        <f>head27</f>
        <v>Ref</v>
      </c>
      <c r="C2" s="1315" t="str">
        <f>Head2</f>
        <v>Budget Year 2015/16</v>
      </c>
      <c r="D2" s="1316"/>
      <c r="E2" s="1316"/>
      <c r="F2" s="1316"/>
      <c r="G2" s="1316"/>
      <c r="H2" s="1316"/>
      <c r="I2" s="1316"/>
      <c r="J2" s="1316"/>
      <c r="K2" s="1365"/>
      <c r="L2" s="511"/>
    </row>
    <row r="3" spans="1:14" ht="25.5" x14ac:dyDescent="0.25">
      <c r="A3" s="1322"/>
      <c r="B3" s="13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2" t="str">
        <f>Head7</f>
        <v>Adjusted Budget</v>
      </c>
      <c r="L3" s="513" t="s">
        <v>197</v>
      </c>
    </row>
    <row r="4" spans="1:14" x14ac:dyDescent="0.25">
      <c r="A4" s="64"/>
      <c r="B4" s="300"/>
      <c r="C4" s="65"/>
      <c r="D4" s="15">
        <v>5</v>
      </c>
      <c r="E4" s="15">
        <v>6</v>
      </c>
      <c r="F4" s="15">
        <v>7</v>
      </c>
      <c r="G4" s="15">
        <v>8</v>
      </c>
      <c r="H4" s="15">
        <v>9</v>
      </c>
      <c r="I4" s="16">
        <v>10</v>
      </c>
      <c r="J4" s="16">
        <v>11</v>
      </c>
      <c r="K4" s="16">
        <v>12</v>
      </c>
      <c r="L4" s="73"/>
    </row>
    <row r="5" spans="1:14" x14ac:dyDescent="0.25">
      <c r="A5" s="66" t="s">
        <v>641</v>
      </c>
      <c r="B5" s="104"/>
      <c r="C5" s="67" t="s">
        <v>581</v>
      </c>
      <c r="D5" s="68" t="s">
        <v>582</v>
      </c>
      <c r="E5" s="68" t="s">
        <v>583</v>
      </c>
      <c r="F5" s="69" t="s">
        <v>584</v>
      </c>
      <c r="G5" s="69" t="s">
        <v>585</v>
      </c>
      <c r="H5" s="69" t="s">
        <v>586</v>
      </c>
      <c r="I5" s="70" t="s">
        <v>587</v>
      </c>
      <c r="J5" s="514" t="s">
        <v>588</v>
      </c>
      <c r="K5" s="515" t="s">
        <v>589</v>
      </c>
      <c r="L5" s="73"/>
    </row>
    <row r="6" spans="1:14" ht="12.75" customHeight="1" x14ac:dyDescent="0.25">
      <c r="A6" s="516" t="s">
        <v>198</v>
      </c>
      <c r="B6" s="105"/>
      <c r="C6" s="74"/>
      <c r="D6" s="75"/>
      <c r="E6" s="75"/>
      <c r="F6" s="75"/>
      <c r="G6" s="75"/>
      <c r="H6" s="75"/>
      <c r="I6" s="75"/>
      <c r="J6" s="517"/>
      <c r="K6" s="517"/>
      <c r="L6" s="73"/>
    </row>
    <row r="7" spans="1:14" ht="12.75" customHeight="1" x14ac:dyDescent="0.25">
      <c r="A7" s="597" t="s">
        <v>206</v>
      </c>
      <c r="B7" s="73"/>
      <c r="C7" s="130">
        <v>14959231.98</v>
      </c>
      <c r="D7" s="109"/>
      <c r="E7" s="518"/>
      <c r="F7" s="518"/>
      <c r="G7" s="109"/>
      <c r="H7" s="518"/>
      <c r="I7" s="109"/>
      <c r="J7" s="517">
        <f t="shared" ref="J7:J13" si="0">G7+I7</f>
        <v>0</v>
      </c>
      <c r="K7" s="517">
        <f t="shared" ref="K7:K13" si="1">IF(D7=0,C7+J7,D7+J7)</f>
        <v>14959231.98</v>
      </c>
      <c r="L7" s="519">
        <f>IF(K7=0,"",(K7/C7)-1)</f>
        <v>0</v>
      </c>
    </row>
    <row r="8" spans="1:14" ht="12.75" customHeight="1" x14ac:dyDescent="0.25">
      <c r="A8" s="597" t="s">
        <v>1554</v>
      </c>
      <c r="B8" s="73"/>
      <c r="C8" s="130">
        <v>2243884.7969999998</v>
      </c>
      <c r="D8" s="109"/>
      <c r="E8" s="518"/>
      <c r="F8" s="518"/>
      <c r="G8" s="109"/>
      <c r="H8" s="518"/>
      <c r="I8" s="109"/>
      <c r="J8" s="517">
        <f t="shared" si="0"/>
        <v>0</v>
      </c>
      <c r="K8" s="517">
        <f t="shared" si="1"/>
        <v>2243884.7969999998</v>
      </c>
      <c r="L8" s="519">
        <f>IF(K8=0,"",(K8/C8)-1)</f>
        <v>0</v>
      </c>
    </row>
    <row r="9" spans="1:14" ht="12.75" customHeight="1" x14ac:dyDescent="0.25">
      <c r="A9" s="597" t="s">
        <v>199</v>
      </c>
      <c r="B9" s="73"/>
      <c r="C9" s="130">
        <v>443768</v>
      </c>
      <c r="D9" s="109"/>
      <c r="E9" s="518"/>
      <c r="F9" s="518"/>
      <c r="G9" s="109"/>
      <c r="H9" s="518"/>
      <c r="I9" s="109"/>
      <c r="J9" s="517">
        <f t="shared" si="0"/>
        <v>0</v>
      </c>
      <c r="K9" s="517">
        <f t="shared" si="1"/>
        <v>443768</v>
      </c>
      <c r="L9" s="519">
        <f>IF(K9=0,"",(K9/C9)-1)</f>
        <v>0</v>
      </c>
    </row>
    <row r="10" spans="1:14" ht="12.75" customHeight="1" x14ac:dyDescent="0.25">
      <c r="A10" s="597" t="s">
        <v>1555</v>
      </c>
      <c r="B10" s="73"/>
      <c r="C10" s="130">
        <v>5882195</v>
      </c>
      <c r="D10" s="109"/>
      <c r="E10" s="518"/>
      <c r="F10" s="518"/>
      <c r="G10" s="109"/>
      <c r="H10" s="518"/>
      <c r="I10" s="109"/>
      <c r="J10" s="517">
        <f t="shared" si="0"/>
        <v>0</v>
      </c>
      <c r="K10" s="517">
        <f t="shared" si="1"/>
        <v>5882195</v>
      </c>
      <c r="L10" s="519">
        <f>IF(K10=0,"",(K10/C10)-1)</f>
        <v>0</v>
      </c>
    </row>
    <row r="11" spans="1:14" ht="12.75" customHeight="1" x14ac:dyDescent="0.25">
      <c r="A11" s="129" t="s">
        <v>1556</v>
      </c>
      <c r="B11" s="73"/>
      <c r="C11" s="130">
        <v>1606920</v>
      </c>
      <c r="D11" s="109"/>
      <c r="E11" s="518"/>
      <c r="F11" s="518"/>
      <c r="G11" s="109"/>
      <c r="H11" s="518"/>
      <c r="I11" s="109"/>
      <c r="J11" s="517">
        <f t="shared" si="0"/>
        <v>0</v>
      </c>
      <c r="K11" s="517">
        <f t="shared" si="1"/>
        <v>1606920</v>
      </c>
      <c r="L11" s="519"/>
    </row>
    <row r="12" spans="1:14" ht="12.75" customHeight="1" x14ac:dyDescent="0.25">
      <c r="A12" s="129" t="s">
        <v>1557</v>
      </c>
      <c r="B12" s="73"/>
      <c r="C12" s="130">
        <v>0</v>
      </c>
      <c r="D12" s="109"/>
      <c r="E12" s="518"/>
      <c r="F12" s="518"/>
      <c r="G12" s="109"/>
      <c r="H12" s="518"/>
      <c r="I12" s="109"/>
      <c r="J12" s="517">
        <f t="shared" si="0"/>
        <v>0</v>
      </c>
      <c r="K12" s="517">
        <f t="shared" si="1"/>
        <v>0</v>
      </c>
      <c r="L12" s="519"/>
      <c r="N12" s="128"/>
    </row>
    <row r="13" spans="1:14" ht="12.75" customHeight="1" x14ac:dyDescent="0.25">
      <c r="A13" s="129" t="s">
        <v>1341</v>
      </c>
      <c r="B13" s="73"/>
      <c r="C13" s="130">
        <v>273600</v>
      </c>
      <c r="D13" s="109"/>
      <c r="E13" s="518"/>
      <c r="F13" s="518"/>
      <c r="G13" s="109"/>
      <c r="H13" s="518"/>
      <c r="I13" s="109"/>
      <c r="J13" s="517">
        <f t="shared" si="0"/>
        <v>0</v>
      </c>
      <c r="K13" s="517">
        <f t="shared" si="1"/>
        <v>273600</v>
      </c>
      <c r="L13" s="519"/>
      <c r="N13" s="128"/>
    </row>
    <row r="14" spans="1:14" ht="12.75" customHeight="1" x14ac:dyDescent="0.25">
      <c r="A14" s="139" t="s">
        <v>200</v>
      </c>
      <c r="B14" s="73"/>
      <c r="C14" s="305">
        <f>SUM(C7:C13)</f>
        <v>25409599.776999999</v>
      </c>
      <c r="D14" s="151">
        <f>SUM(D7:D13)</f>
        <v>0</v>
      </c>
      <c r="E14" s="520"/>
      <c r="F14" s="520"/>
      <c r="G14" s="151">
        <f>SUM(G7:G13)</f>
        <v>0</v>
      </c>
      <c r="H14" s="520"/>
      <c r="I14" s="151">
        <f>SUM(I7:I13)</f>
        <v>0</v>
      </c>
      <c r="J14" s="151">
        <f>SUM(J7:J13)</f>
        <v>0</v>
      </c>
      <c r="K14" s="152">
        <f>SUM(K7:K13)</f>
        <v>25409599.776999999</v>
      </c>
      <c r="L14" s="521">
        <f>IF(K14=0,"",(K14/C14)-1)</f>
        <v>0</v>
      </c>
    </row>
    <row r="15" spans="1:14" ht="12.75" customHeight="1" x14ac:dyDescent="0.25">
      <c r="A15" s="847" t="s">
        <v>201</v>
      </c>
      <c r="B15" s="73"/>
      <c r="C15" s="522"/>
      <c r="D15" s="141">
        <f>IF(ISERROR((D14/C14)-1),0,((D14/C14)-1))</f>
        <v>-1</v>
      </c>
      <c r="E15" s="523"/>
      <c r="F15" s="523"/>
      <c r="G15" s="523"/>
      <c r="H15" s="523"/>
      <c r="I15" s="523"/>
      <c r="J15" s="524"/>
      <c r="K15" s="525">
        <f>IF(ISERROR((K14/J14)-1),0,((K14/J14)-1))</f>
        <v>0</v>
      </c>
      <c r="L15" s="521"/>
    </row>
    <row r="16" spans="1:14" ht="3.75" customHeight="1" x14ac:dyDescent="0.25">
      <c r="A16" s="139"/>
      <c r="B16" s="73"/>
      <c r="C16" s="140"/>
      <c r="D16" s="141"/>
      <c r="E16" s="523"/>
      <c r="F16" s="523"/>
      <c r="G16" s="141"/>
      <c r="H16" s="523"/>
      <c r="I16" s="141"/>
      <c r="J16" s="525"/>
      <c r="K16" s="525"/>
      <c r="L16" s="521"/>
    </row>
    <row r="17" spans="1:12" ht="12.75" customHeight="1" x14ac:dyDescent="0.25">
      <c r="A17" s="126" t="s">
        <v>202</v>
      </c>
      <c r="B17" s="73"/>
      <c r="C17" s="74"/>
      <c r="D17" s="75"/>
      <c r="E17" s="75"/>
      <c r="F17" s="75"/>
      <c r="G17" s="75"/>
      <c r="H17" s="75"/>
      <c r="I17" s="75"/>
      <c r="J17" s="517"/>
      <c r="K17" s="517"/>
      <c r="L17" s="519"/>
    </row>
    <row r="18" spans="1:12" ht="12.75" customHeight="1" x14ac:dyDescent="0.25">
      <c r="A18" s="129" t="s">
        <v>206</v>
      </c>
      <c r="B18" s="73"/>
      <c r="C18" s="130">
        <v>8114034.661822875</v>
      </c>
      <c r="D18" s="109"/>
      <c r="E18" s="109"/>
      <c r="F18" s="518"/>
      <c r="G18" s="109"/>
      <c r="H18" s="518"/>
      <c r="I18" s="109"/>
      <c r="J18" s="517">
        <f t="shared" ref="J18:J29" si="2">E18+G18+I18</f>
        <v>0</v>
      </c>
      <c r="K18" s="517">
        <f t="shared" ref="K18:K29" si="3">IF(D18=0,C18+J18,D18+J18)</f>
        <v>8114034.661822875</v>
      </c>
      <c r="L18" s="519">
        <f t="shared" ref="L18:L30" si="4">IF(K18=0,"",(K18/C18)-1)</f>
        <v>0</v>
      </c>
    </row>
    <row r="19" spans="1:12" ht="12.75" customHeight="1" x14ac:dyDescent="0.25">
      <c r="A19" s="129" t="s">
        <v>1554</v>
      </c>
      <c r="B19" s="73"/>
      <c r="C19" s="130">
        <v>1057161.9157475398</v>
      </c>
      <c r="D19" s="109"/>
      <c r="E19" s="109"/>
      <c r="F19" s="518"/>
      <c r="G19" s="109"/>
      <c r="H19" s="518"/>
      <c r="I19" s="109"/>
      <c r="J19" s="517">
        <f t="shared" si="2"/>
        <v>0</v>
      </c>
      <c r="K19" s="517">
        <f t="shared" si="3"/>
        <v>1057161.9157475398</v>
      </c>
      <c r="L19" s="519">
        <f t="shared" si="4"/>
        <v>0</v>
      </c>
    </row>
    <row r="20" spans="1:12" ht="12.75" customHeight="1" x14ac:dyDescent="0.25">
      <c r="A20" s="129" t="s">
        <v>199</v>
      </c>
      <c r="B20" s="73"/>
      <c r="C20" s="130">
        <v>189175.2</v>
      </c>
      <c r="D20" s="109"/>
      <c r="E20" s="109"/>
      <c r="F20" s="518"/>
      <c r="G20" s="109"/>
      <c r="H20" s="518"/>
      <c r="I20" s="109"/>
      <c r="J20" s="517">
        <f t="shared" si="2"/>
        <v>0</v>
      </c>
      <c r="K20" s="517">
        <f t="shared" si="3"/>
        <v>189175.2</v>
      </c>
      <c r="L20" s="519">
        <f t="shared" si="4"/>
        <v>0</v>
      </c>
    </row>
    <row r="21" spans="1:12" ht="12.75" customHeight="1" x14ac:dyDescent="0.25">
      <c r="A21" s="129" t="s">
        <v>1307</v>
      </c>
      <c r="B21" s="73"/>
      <c r="C21" s="130"/>
      <c r="D21" s="109"/>
      <c r="E21" s="109"/>
      <c r="F21" s="518"/>
      <c r="G21" s="109"/>
      <c r="H21" s="518"/>
      <c r="I21" s="109"/>
      <c r="J21" s="517">
        <f>E21+G21+I21</f>
        <v>0</v>
      </c>
      <c r="K21" s="517">
        <f t="shared" si="3"/>
        <v>0</v>
      </c>
      <c r="L21" s="519" t="str">
        <f t="shared" si="4"/>
        <v/>
      </c>
    </row>
    <row r="22" spans="1:12" ht="12.75" customHeight="1" x14ac:dyDescent="0.25">
      <c r="A22" s="129" t="s">
        <v>203</v>
      </c>
      <c r="B22" s="73"/>
      <c r="C22" s="130"/>
      <c r="D22" s="109"/>
      <c r="E22" s="109"/>
      <c r="F22" s="518"/>
      <c r="G22" s="109"/>
      <c r="H22" s="518"/>
      <c r="I22" s="109"/>
      <c r="J22" s="517">
        <f>E22+G22+I22</f>
        <v>0</v>
      </c>
      <c r="K22" s="517">
        <f>IF(D22=0,C22+J22,D22+J22)</f>
        <v>0</v>
      </c>
      <c r="L22" s="519"/>
    </row>
    <row r="23" spans="1:12" ht="12.75" customHeight="1" x14ac:dyDescent="0.25">
      <c r="A23" s="129" t="s">
        <v>1555</v>
      </c>
      <c r="B23" s="73"/>
      <c r="C23" s="130">
        <v>1260000</v>
      </c>
      <c r="D23" s="109"/>
      <c r="E23" s="109"/>
      <c r="F23" s="518"/>
      <c r="G23" s="109"/>
      <c r="H23" s="518"/>
      <c r="I23" s="109"/>
      <c r="J23" s="517">
        <f t="shared" si="2"/>
        <v>0</v>
      </c>
      <c r="K23" s="517">
        <f t="shared" si="3"/>
        <v>1260000</v>
      </c>
      <c r="L23" s="519">
        <f t="shared" si="4"/>
        <v>0</v>
      </c>
    </row>
    <row r="24" spans="1:12" ht="12.75" customHeight="1" x14ac:dyDescent="0.25">
      <c r="A24" s="129" t="s">
        <v>1556</v>
      </c>
      <c r="B24" s="73"/>
      <c r="C24" s="130"/>
      <c r="D24" s="109"/>
      <c r="E24" s="109"/>
      <c r="F24" s="518"/>
      <c r="G24" s="109"/>
      <c r="H24" s="518"/>
      <c r="I24" s="109"/>
      <c r="J24" s="517">
        <f t="shared" si="2"/>
        <v>0</v>
      </c>
      <c r="K24" s="517">
        <f t="shared" si="3"/>
        <v>0</v>
      </c>
      <c r="L24" s="519" t="str">
        <f t="shared" si="4"/>
        <v/>
      </c>
    </row>
    <row r="25" spans="1:12" ht="12.75" customHeight="1" x14ac:dyDescent="0.25">
      <c r="A25" s="129" t="s">
        <v>1557</v>
      </c>
      <c r="B25" s="73"/>
      <c r="C25" s="130"/>
      <c r="D25" s="109"/>
      <c r="E25" s="109"/>
      <c r="F25" s="518"/>
      <c r="G25" s="109"/>
      <c r="H25" s="518"/>
      <c r="I25" s="109"/>
      <c r="J25" s="517">
        <f>E25+G25+I25</f>
        <v>0</v>
      </c>
      <c r="K25" s="517">
        <f>IF(D25=0,C25+J25,D25+J25)</f>
        <v>0</v>
      </c>
      <c r="L25" s="519"/>
    </row>
    <row r="26" spans="1:12" ht="12.75" customHeight="1" x14ac:dyDescent="0.25">
      <c r="A26" s="129" t="s">
        <v>1341</v>
      </c>
      <c r="B26" s="73"/>
      <c r="C26" s="130">
        <v>390166</v>
      </c>
      <c r="D26" s="109"/>
      <c r="E26" s="109"/>
      <c r="F26" s="518"/>
      <c r="G26" s="109"/>
      <c r="H26" s="518"/>
      <c r="I26" s="109"/>
      <c r="J26" s="517">
        <f>E26+G26+I26</f>
        <v>0</v>
      </c>
      <c r="K26" s="517">
        <f>IF(D26=0,C26+J26,D26+J26)</f>
        <v>390166</v>
      </c>
      <c r="L26" s="519"/>
    </row>
    <row r="27" spans="1:12" ht="12.75" customHeight="1" x14ac:dyDescent="0.25">
      <c r="A27" s="129" t="s">
        <v>1309</v>
      </c>
      <c r="B27" s="73"/>
      <c r="C27" s="130"/>
      <c r="D27" s="109"/>
      <c r="E27" s="109"/>
      <c r="F27" s="518"/>
      <c r="G27" s="109"/>
      <c r="H27" s="518"/>
      <c r="I27" s="109"/>
      <c r="J27" s="517">
        <f>E27+G27+I27</f>
        <v>0</v>
      </c>
      <c r="K27" s="517">
        <f>IF(D27=0,C27+J27,D27+J27)</f>
        <v>0</v>
      </c>
      <c r="L27" s="519"/>
    </row>
    <row r="28" spans="1:12" ht="12.75" customHeight="1" x14ac:dyDescent="0.25">
      <c r="A28" s="129" t="s">
        <v>1308</v>
      </c>
      <c r="B28" s="73"/>
      <c r="C28" s="130"/>
      <c r="D28" s="109"/>
      <c r="E28" s="109"/>
      <c r="F28" s="518"/>
      <c r="G28" s="109"/>
      <c r="H28" s="518"/>
      <c r="I28" s="109"/>
      <c r="J28" s="517">
        <f t="shared" si="2"/>
        <v>0</v>
      </c>
      <c r="K28" s="517">
        <f t="shared" si="3"/>
        <v>0</v>
      </c>
      <c r="L28" s="519" t="str">
        <f t="shared" si="4"/>
        <v/>
      </c>
    </row>
    <row r="29" spans="1:12" ht="12.75" customHeight="1" x14ac:dyDescent="0.25">
      <c r="A29" s="129" t="s">
        <v>1310</v>
      </c>
      <c r="B29" s="73">
        <v>5</v>
      </c>
      <c r="C29" s="130"/>
      <c r="D29" s="109"/>
      <c r="E29" s="109"/>
      <c r="F29" s="518"/>
      <c r="G29" s="109"/>
      <c r="H29" s="518"/>
      <c r="I29" s="109"/>
      <c r="J29" s="517">
        <f t="shared" si="2"/>
        <v>0</v>
      </c>
      <c r="K29" s="517">
        <f t="shared" si="3"/>
        <v>0</v>
      </c>
      <c r="L29" s="519" t="str">
        <f t="shared" si="4"/>
        <v/>
      </c>
    </row>
    <row r="30" spans="1:12" ht="12.75" customHeight="1" x14ac:dyDescent="0.25">
      <c r="A30" s="139" t="s">
        <v>204</v>
      </c>
      <c r="B30" s="73"/>
      <c r="C30" s="305">
        <f>SUM(C18:C29)</f>
        <v>11010537.777570413</v>
      </c>
      <c r="D30" s="151">
        <f>SUM(D18:D29)</f>
        <v>0</v>
      </c>
      <c r="E30" s="151">
        <f>SUM(E18:E29)</f>
        <v>0</v>
      </c>
      <c r="F30" s="520"/>
      <c r="G30" s="151">
        <f>SUM(G18:G29)</f>
        <v>0</v>
      </c>
      <c r="H30" s="520"/>
      <c r="I30" s="151">
        <f>SUM(I18:I29)</f>
        <v>0</v>
      </c>
      <c r="J30" s="151">
        <f>SUM(J18:J29)</f>
        <v>0</v>
      </c>
      <c r="K30" s="152">
        <f>SUM(K18:K29)</f>
        <v>11010537.777570413</v>
      </c>
      <c r="L30" s="521">
        <f t="shared" si="4"/>
        <v>0</v>
      </c>
    </row>
    <row r="31" spans="1:12" ht="12.75" customHeight="1" x14ac:dyDescent="0.25">
      <c r="A31" s="847" t="str">
        <f>$A$15</f>
        <v>% increase</v>
      </c>
      <c r="B31" s="73"/>
      <c r="C31" s="522"/>
      <c r="D31" s="141">
        <f>IF(ISERROR((D30/C30)-1),0,((D30/C30)-1))</f>
        <v>-1</v>
      </c>
      <c r="E31" s="523"/>
      <c r="F31" s="523"/>
      <c r="G31" s="523"/>
      <c r="H31" s="523"/>
      <c r="I31" s="523"/>
      <c r="J31" s="524"/>
      <c r="K31" s="525">
        <f>IF(ISERROR((K30/J30)-1),0,((K30/J30)-1))</f>
        <v>0</v>
      </c>
      <c r="L31" s="521"/>
    </row>
    <row r="32" spans="1:12" ht="4.5" customHeight="1" x14ac:dyDescent="0.25">
      <c r="A32" s="139"/>
      <c r="B32" s="73"/>
      <c r="C32" s="140"/>
      <c r="D32" s="141"/>
      <c r="E32" s="141"/>
      <c r="F32" s="523"/>
      <c r="G32" s="141"/>
      <c r="H32" s="523"/>
      <c r="I32" s="141"/>
      <c r="J32" s="525"/>
      <c r="K32" s="525"/>
      <c r="L32" s="521"/>
    </row>
    <row r="33" spans="1:12" ht="12.75" customHeight="1" x14ac:dyDescent="0.25">
      <c r="A33" s="126" t="s">
        <v>205</v>
      </c>
      <c r="B33" s="73"/>
      <c r="C33" s="74"/>
      <c r="D33" s="75"/>
      <c r="E33" s="75"/>
      <c r="F33" s="75"/>
      <c r="G33" s="75"/>
      <c r="H33" s="75"/>
      <c r="I33" s="75"/>
      <c r="J33" s="517"/>
      <c r="K33" s="517"/>
      <c r="L33" s="519"/>
    </row>
    <row r="34" spans="1:12" ht="12.75" customHeight="1" x14ac:dyDescent="0.25">
      <c r="A34" s="129" t="s">
        <v>206</v>
      </c>
      <c r="B34" s="73"/>
      <c r="C34" s="130">
        <v>352901136.33817714</v>
      </c>
      <c r="D34" s="109"/>
      <c r="E34" s="109"/>
      <c r="F34" s="109"/>
      <c r="G34" s="109"/>
      <c r="H34" s="109"/>
      <c r="I34" s="109"/>
      <c r="J34" s="517">
        <f t="shared" ref="J34:J45" si="5">SUM(E34:I34)</f>
        <v>0</v>
      </c>
      <c r="K34" s="517">
        <f t="shared" ref="K34:K45" si="6">IF(D34=0,C34+J34,D34+J34)</f>
        <v>352901136.33817714</v>
      </c>
      <c r="L34" s="519">
        <f t="shared" ref="L34:L46" si="7">IF(K34=0,"",(K34/C34)-1)</f>
        <v>0</v>
      </c>
    </row>
    <row r="35" spans="1:12" ht="12.75" customHeight="1" x14ac:dyDescent="0.25">
      <c r="A35" s="129" t="s">
        <v>1554</v>
      </c>
      <c r="B35" s="73"/>
      <c r="C35" s="130">
        <v>75765167.084252462</v>
      </c>
      <c r="D35" s="109"/>
      <c r="E35" s="109"/>
      <c r="F35" s="109"/>
      <c r="G35" s="109"/>
      <c r="H35" s="109"/>
      <c r="I35" s="109"/>
      <c r="J35" s="517">
        <f t="shared" si="5"/>
        <v>0</v>
      </c>
      <c r="K35" s="517">
        <f t="shared" si="6"/>
        <v>75765167.084252462</v>
      </c>
      <c r="L35" s="519">
        <f t="shared" si="7"/>
        <v>0</v>
      </c>
    </row>
    <row r="36" spans="1:12" ht="12.75" customHeight="1" x14ac:dyDescent="0.25">
      <c r="A36" s="129" t="s">
        <v>199</v>
      </c>
      <c r="B36" s="73"/>
      <c r="C36" s="130">
        <v>16017684.800000001</v>
      </c>
      <c r="D36" s="109"/>
      <c r="E36" s="109"/>
      <c r="F36" s="109"/>
      <c r="G36" s="109"/>
      <c r="H36" s="109"/>
      <c r="I36" s="109"/>
      <c r="J36" s="517">
        <f t="shared" si="5"/>
        <v>0</v>
      </c>
      <c r="K36" s="517">
        <f t="shared" si="6"/>
        <v>16017684.800000001</v>
      </c>
      <c r="L36" s="519">
        <f t="shared" si="7"/>
        <v>0</v>
      </c>
    </row>
    <row r="37" spans="1:12" ht="12.75" customHeight="1" x14ac:dyDescent="0.25">
      <c r="A37" s="129" t="s">
        <v>1307</v>
      </c>
      <c r="B37" s="73"/>
      <c r="C37" s="130">
        <v>31582000</v>
      </c>
      <c r="D37" s="109"/>
      <c r="E37" s="109"/>
      <c r="F37" s="109"/>
      <c r="G37" s="109"/>
      <c r="H37" s="109"/>
      <c r="I37" s="109">
        <v>-20000</v>
      </c>
      <c r="J37" s="517">
        <f t="shared" si="5"/>
        <v>-20000</v>
      </c>
      <c r="K37" s="517">
        <f t="shared" si="6"/>
        <v>31562000</v>
      </c>
      <c r="L37" s="519">
        <f t="shared" si="7"/>
        <v>-6.3327211702868258E-4</v>
      </c>
    </row>
    <row r="38" spans="1:12" ht="12.75" customHeight="1" x14ac:dyDescent="0.25">
      <c r="A38" s="129" t="s">
        <v>203</v>
      </c>
      <c r="B38" s="73"/>
      <c r="C38" s="130"/>
      <c r="D38" s="109"/>
      <c r="E38" s="109"/>
      <c r="F38" s="109"/>
      <c r="G38" s="109"/>
      <c r="H38" s="109"/>
      <c r="I38" s="109"/>
      <c r="J38" s="517">
        <f>SUM(E38:I38)</f>
        <v>0</v>
      </c>
      <c r="K38" s="517">
        <f>IF(D38=0,C38+J38,D38+J38)</f>
        <v>0</v>
      </c>
      <c r="L38" s="519"/>
    </row>
    <row r="39" spans="1:12" ht="12.75" customHeight="1" x14ac:dyDescent="0.25">
      <c r="A39" s="129" t="s">
        <v>1555</v>
      </c>
      <c r="B39" s="73"/>
      <c r="C39" s="130">
        <v>34103885</v>
      </c>
      <c r="D39" s="109"/>
      <c r="E39" s="109"/>
      <c r="F39" s="109"/>
      <c r="G39" s="109"/>
      <c r="H39" s="109"/>
      <c r="I39" s="109"/>
      <c r="J39" s="517">
        <f t="shared" si="5"/>
        <v>0</v>
      </c>
      <c r="K39" s="517">
        <f t="shared" si="6"/>
        <v>34103885</v>
      </c>
      <c r="L39" s="519">
        <f t="shared" si="7"/>
        <v>0</v>
      </c>
    </row>
    <row r="40" spans="1:12" ht="12.75" customHeight="1" x14ac:dyDescent="0.25">
      <c r="A40" s="129" t="s">
        <v>1556</v>
      </c>
      <c r="B40" s="73"/>
      <c r="C40" s="130"/>
      <c r="D40" s="109"/>
      <c r="E40" s="109"/>
      <c r="F40" s="109"/>
      <c r="G40" s="109"/>
      <c r="H40" s="109"/>
      <c r="I40" s="109"/>
      <c r="J40" s="517">
        <f t="shared" si="5"/>
        <v>0</v>
      </c>
      <c r="K40" s="517">
        <f t="shared" si="6"/>
        <v>0</v>
      </c>
      <c r="L40" s="519" t="str">
        <f t="shared" si="7"/>
        <v/>
      </c>
    </row>
    <row r="41" spans="1:12" ht="12.75" customHeight="1" x14ac:dyDescent="0.25">
      <c r="A41" s="129" t="s">
        <v>1557</v>
      </c>
      <c r="B41" s="73"/>
      <c r="C41" s="130">
        <v>3794213</v>
      </c>
      <c r="D41" s="109"/>
      <c r="E41" s="109"/>
      <c r="F41" s="109"/>
      <c r="G41" s="109"/>
      <c r="H41" s="109"/>
      <c r="I41" s="109"/>
      <c r="J41" s="517">
        <f>SUM(E41:I41)</f>
        <v>0</v>
      </c>
      <c r="K41" s="517">
        <f>IF(D41=0,C41+J41,D41+J41)</f>
        <v>3794213</v>
      </c>
      <c r="L41" s="519"/>
    </row>
    <row r="42" spans="1:12" ht="12.75" customHeight="1" x14ac:dyDescent="0.25">
      <c r="A42" s="129" t="s">
        <v>1341</v>
      </c>
      <c r="B42" s="73"/>
      <c r="C42" s="130">
        <v>31553273</v>
      </c>
      <c r="D42" s="109"/>
      <c r="E42" s="109"/>
      <c r="F42" s="109"/>
      <c r="G42" s="109"/>
      <c r="H42" s="109"/>
      <c r="I42" s="109"/>
      <c r="J42" s="517">
        <f>SUM(E42:I42)</f>
        <v>0</v>
      </c>
      <c r="K42" s="517">
        <f>IF(D42=0,C42+J42,D42+J42)</f>
        <v>31553273</v>
      </c>
      <c r="L42" s="519"/>
    </row>
    <row r="43" spans="1:12" ht="12.75" customHeight="1" x14ac:dyDescent="0.25">
      <c r="A43" s="129" t="s">
        <v>1309</v>
      </c>
      <c r="B43" s="73"/>
      <c r="C43" s="130"/>
      <c r="D43" s="109"/>
      <c r="E43" s="109"/>
      <c r="F43" s="109"/>
      <c r="G43" s="109"/>
      <c r="H43" s="109"/>
      <c r="I43" s="109"/>
      <c r="J43" s="517">
        <f t="shared" si="5"/>
        <v>0</v>
      </c>
      <c r="K43" s="517">
        <f t="shared" si="6"/>
        <v>0</v>
      </c>
      <c r="L43" s="519" t="str">
        <f t="shared" si="7"/>
        <v/>
      </c>
    </row>
    <row r="44" spans="1:12" ht="12.75" customHeight="1" x14ac:dyDescent="0.25">
      <c r="A44" s="129" t="s">
        <v>1308</v>
      </c>
      <c r="B44" s="73"/>
      <c r="C44" s="130"/>
      <c r="D44" s="109"/>
      <c r="E44" s="109"/>
      <c r="F44" s="109"/>
      <c r="G44" s="109"/>
      <c r="H44" s="109"/>
      <c r="I44" s="109"/>
      <c r="J44" s="517">
        <f t="shared" si="5"/>
        <v>0</v>
      </c>
      <c r="K44" s="517">
        <f t="shared" si="6"/>
        <v>0</v>
      </c>
      <c r="L44" s="519" t="str">
        <f t="shared" si="7"/>
        <v/>
      </c>
    </row>
    <row r="45" spans="1:12" ht="12.75" customHeight="1" x14ac:dyDescent="0.25">
      <c r="A45" s="129" t="s">
        <v>1310</v>
      </c>
      <c r="B45" s="73">
        <v>5</v>
      </c>
      <c r="C45" s="130"/>
      <c r="D45" s="109"/>
      <c r="E45" s="109"/>
      <c r="F45" s="109"/>
      <c r="G45" s="109"/>
      <c r="H45" s="109"/>
      <c r="I45" s="109"/>
      <c r="J45" s="517">
        <f t="shared" si="5"/>
        <v>0</v>
      </c>
      <c r="K45" s="517">
        <f t="shared" si="6"/>
        <v>0</v>
      </c>
      <c r="L45" s="519" t="str">
        <f t="shared" si="7"/>
        <v/>
      </c>
    </row>
    <row r="46" spans="1:12" ht="12.75" customHeight="1" x14ac:dyDescent="0.25">
      <c r="A46" s="139" t="s">
        <v>207</v>
      </c>
      <c r="B46" s="73"/>
      <c r="C46" s="305">
        <f t="shared" ref="C46:K46" si="8">SUM(C34:C45)</f>
        <v>545717359.22242963</v>
      </c>
      <c r="D46" s="151">
        <f t="shared" si="8"/>
        <v>0</v>
      </c>
      <c r="E46" s="151">
        <f t="shared" si="8"/>
        <v>0</v>
      </c>
      <c r="F46" s="151">
        <f t="shared" si="8"/>
        <v>0</v>
      </c>
      <c r="G46" s="151">
        <f t="shared" si="8"/>
        <v>0</v>
      </c>
      <c r="H46" s="151">
        <f t="shared" si="8"/>
        <v>0</v>
      </c>
      <c r="I46" s="151">
        <f t="shared" si="8"/>
        <v>-20000</v>
      </c>
      <c r="J46" s="151">
        <f t="shared" si="8"/>
        <v>-20000</v>
      </c>
      <c r="K46" s="152">
        <f t="shared" si="8"/>
        <v>545697359.22242963</v>
      </c>
      <c r="L46" s="521">
        <f t="shared" si="7"/>
        <v>-3.6649008249400872E-5</v>
      </c>
    </row>
    <row r="47" spans="1:12" ht="12.75" customHeight="1" x14ac:dyDescent="0.25">
      <c r="A47" s="847" t="str">
        <f>$A$15</f>
        <v>% increase</v>
      </c>
      <c r="B47" s="73"/>
      <c r="C47" s="526"/>
      <c r="D47" s="238"/>
      <c r="E47" s="238"/>
      <c r="F47" s="238"/>
      <c r="G47" s="238"/>
      <c r="H47" s="238"/>
      <c r="I47" s="238"/>
      <c r="J47" s="238"/>
      <c r="K47" s="527"/>
      <c r="L47" s="521"/>
    </row>
    <row r="48" spans="1:12" ht="12.75" customHeight="1" x14ac:dyDescent="0.25">
      <c r="A48" s="163" t="s">
        <v>208</v>
      </c>
      <c r="B48" s="79"/>
      <c r="C48" s="80">
        <f t="shared" ref="C48:K48" si="9">C14+C30+C46</f>
        <v>582137496.77700007</v>
      </c>
      <c r="D48" s="81">
        <f t="shared" si="9"/>
        <v>0</v>
      </c>
      <c r="E48" s="81">
        <f t="shared" si="9"/>
        <v>0</v>
      </c>
      <c r="F48" s="81">
        <f t="shared" si="9"/>
        <v>0</v>
      </c>
      <c r="G48" s="81">
        <f t="shared" si="9"/>
        <v>0</v>
      </c>
      <c r="H48" s="81">
        <f t="shared" si="9"/>
        <v>0</v>
      </c>
      <c r="I48" s="81">
        <f t="shared" si="9"/>
        <v>-20000</v>
      </c>
      <c r="J48" s="81">
        <f t="shared" si="9"/>
        <v>-20000</v>
      </c>
      <c r="K48" s="528">
        <f t="shared" si="9"/>
        <v>582117496.77700007</v>
      </c>
      <c r="L48" s="521">
        <f>IF(K48=0,"",(K48/C48)-1)</f>
        <v>-3.4356144571923153E-5</v>
      </c>
    </row>
    <row r="49" spans="1:12" ht="14.25" customHeight="1" x14ac:dyDescent="0.25">
      <c r="A49" s="139"/>
      <c r="B49" s="73"/>
      <c r="C49" s="140"/>
      <c r="D49" s="141"/>
      <c r="E49" s="141"/>
      <c r="F49" s="141"/>
      <c r="G49" s="141"/>
      <c r="H49" s="141"/>
      <c r="I49" s="141"/>
      <c r="J49" s="525"/>
      <c r="K49" s="525"/>
      <c r="L49" s="521"/>
    </row>
    <row r="50" spans="1:12" ht="5.25" customHeight="1" x14ac:dyDescent="0.25">
      <c r="A50" s="139"/>
      <c r="B50" s="73"/>
      <c r="C50" s="140"/>
      <c r="D50" s="141"/>
      <c r="E50" s="141"/>
      <c r="F50" s="141"/>
      <c r="G50" s="141"/>
      <c r="H50" s="141"/>
      <c r="I50" s="141"/>
      <c r="J50" s="525"/>
      <c r="K50" s="525"/>
      <c r="L50" s="521"/>
    </row>
    <row r="51" spans="1:12" ht="12.75" customHeight="1" x14ac:dyDescent="0.25">
      <c r="A51" s="126" t="s">
        <v>209</v>
      </c>
      <c r="B51" s="73"/>
      <c r="C51" s="74"/>
      <c r="D51" s="75"/>
      <c r="E51" s="75"/>
      <c r="F51" s="75"/>
      <c r="G51" s="75"/>
      <c r="H51" s="75"/>
      <c r="I51" s="75"/>
      <c r="J51" s="517"/>
      <c r="K51" s="517"/>
      <c r="L51" s="519"/>
    </row>
    <row r="52" spans="1:12" ht="12.75" customHeight="1" x14ac:dyDescent="0.25">
      <c r="A52" s="129" t="s">
        <v>206</v>
      </c>
      <c r="B52" s="73"/>
      <c r="C52" s="130">
        <v>1122763.8</v>
      </c>
      <c r="D52" s="109"/>
      <c r="E52" s="109"/>
      <c r="F52" s="109"/>
      <c r="G52" s="109"/>
      <c r="H52" s="109"/>
      <c r="I52" s="109"/>
      <c r="J52" s="517">
        <f t="shared" ref="J52:J58" si="10">SUM(E52:I52)</f>
        <v>0</v>
      </c>
      <c r="K52" s="517">
        <f t="shared" ref="K52:K64" si="11">IF(D52=0,C52+J52,D52+J52)</f>
        <v>1122763.8</v>
      </c>
      <c r="L52" s="519">
        <f>IF(K52=0,"",(K52/C52)-1)</f>
        <v>0</v>
      </c>
    </row>
    <row r="53" spans="1:12" ht="12.75" customHeight="1" x14ac:dyDescent="0.25">
      <c r="A53" s="129" t="s">
        <v>1554</v>
      </c>
      <c r="B53" s="73"/>
      <c r="C53" s="130"/>
      <c r="D53" s="109"/>
      <c r="E53" s="109"/>
      <c r="F53" s="109"/>
      <c r="G53" s="109"/>
      <c r="H53" s="109"/>
      <c r="I53" s="109"/>
      <c r="J53" s="517">
        <f t="shared" si="10"/>
        <v>0</v>
      </c>
      <c r="K53" s="517">
        <f t="shared" si="11"/>
        <v>0</v>
      </c>
      <c r="L53" s="519" t="str">
        <f>IF(K53=0,"",(K53/C53)-1)</f>
        <v/>
      </c>
    </row>
    <row r="54" spans="1:12" ht="12.75" customHeight="1" x14ac:dyDescent="0.25">
      <c r="A54" s="129" t="s">
        <v>199</v>
      </c>
      <c r="B54" s="73"/>
      <c r="C54" s="130"/>
      <c r="D54" s="109"/>
      <c r="E54" s="109"/>
      <c r="F54" s="109"/>
      <c r="G54" s="109"/>
      <c r="H54" s="109"/>
      <c r="I54" s="109"/>
      <c r="J54" s="517">
        <f t="shared" si="10"/>
        <v>0</v>
      </c>
      <c r="K54" s="517">
        <f t="shared" si="11"/>
        <v>0</v>
      </c>
      <c r="L54" s="519" t="str">
        <f>IF(K54=0,"",(K54/C54)-1)</f>
        <v/>
      </c>
    </row>
    <row r="55" spans="1:12" ht="12.75" customHeight="1" x14ac:dyDescent="0.25">
      <c r="A55" s="129" t="s">
        <v>1307</v>
      </c>
      <c r="B55" s="73"/>
      <c r="C55" s="130"/>
      <c r="D55" s="109"/>
      <c r="E55" s="109"/>
      <c r="F55" s="109"/>
      <c r="G55" s="109"/>
      <c r="H55" s="109"/>
      <c r="I55" s="109"/>
      <c r="J55" s="517">
        <f t="shared" si="10"/>
        <v>0</v>
      </c>
      <c r="K55" s="517">
        <f>IF(D55=0,C55+J55,D55+J55)</f>
        <v>0</v>
      </c>
      <c r="L55" s="519"/>
    </row>
    <row r="56" spans="1:12" ht="12.75" customHeight="1" x14ac:dyDescent="0.25">
      <c r="A56" s="129" t="s">
        <v>203</v>
      </c>
      <c r="B56" s="73"/>
      <c r="C56" s="130"/>
      <c r="D56" s="109"/>
      <c r="E56" s="109"/>
      <c r="F56" s="109"/>
      <c r="G56" s="109"/>
      <c r="H56" s="109"/>
      <c r="I56" s="109"/>
      <c r="J56" s="517">
        <f t="shared" si="10"/>
        <v>0</v>
      </c>
      <c r="K56" s="517">
        <f>IF(D56=0,C56+J56,D56+J56)</f>
        <v>0</v>
      </c>
      <c r="L56" s="519"/>
    </row>
    <row r="57" spans="1:12" ht="12.75" customHeight="1" x14ac:dyDescent="0.25">
      <c r="A57" s="129" t="s">
        <v>1555</v>
      </c>
      <c r="B57" s="73"/>
      <c r="C57" s="130">
        <v>227051.44</v>
      </c>
      <c r="D57" s="109"/>
      <c r="E57" s="109"/>
      <c r="F57" s="109"/>
      <c r="G57" s="109"/>
      <c r="H57" s="109"/>
      <c r="I57" s="109"/>
      <c r="J57" s="517">
        <f t="shared" si="10"/>
        <v>0</v>
      </c>
      <c r="K57" s="517">
        <f>IF(D57=0,C57+J57,D57+J57)</f>
        <v>227051.44</v>
      </c>
      <c r="L57" s="519"/>
    </row>
    <row r="58" spans="1:12" ht="12.75" customHeight="1" x14ac:dyDescent="0.25">
      <c r="A58" s="129" t="s">
        <v>1556</v>
      </c>
      <c r="B58" s="73"/>
      <c r="C58" s="130"/>
      <c r="D58" s="109"/>
      <c r="E58" s="109"/>
      <c r="F58" s="109"/>
      <c r="G58" s="109"/>
      <c r="H58" s="109"/>
      <c r="I58" s="109"/>
      <c r="J58" s="517">
        <f t="shared" si="10"/>
        <v>0</v>
      </c>
      <c r="K58" s="517">
        <f>IF(D58=0,C58+J58,D58+J58)</f>
        <v>0</v>
      </c>
      <c r="L58" s="519"/>
    </row>
    <row r="59" spans="1:12" ht="12.75" customHeight="1" x14ac:dyDescent="0.25">
      <c r="A59" s="129" t="s">
        <v>1557</v>
      </c>
      <c r="B59" s="73"/>
      <c r="C59" s="130"/>
      <c r="D59" s="109"/>
      <c r="E59" s="518"/>
      <c r="F59" s="518"/>
      <c r="G59" s="109"/>
      <c r="H59" s="518"/>
      <c r="I59" s="109"/>
      <c r="J59" s="517">
        <f>G59+I59</f>
        <v>0</v>
      </c>
      <c r="K59" s="517">
        <f t="shared" si="11"/>
        <v>0</v>
      </c>
      <c r="L59" s="519" t="str">
        <f>IF(K59=0,"",(K59/C59)-1)</f>
        <v/>
      </c>
    </row>
    <row r="60" spans="1:12" ht="12.75" customHeight="1" x14ac:dyDescent="0.25">
      <c r="A60" s="129" t="s">
        <v>1341</v>
      </c>
      <c r="B60" s="73"/>
      <c r="C60" s="130"/>
      <c r="D60" s="109"/>
      <c r="E60" s="518"/>
      <c r="F60" s="518"/>
      <c r="G60" s="109"/>
      <c r="H60" s="518"/>
      <c r="I60" s="109"/>
      <c r="J60" s="517">
        <f>G60+I60</f>
        <v>0</v>
      </c>
      <c r="K60" s="517">
        <f t="shared" si="11"/>
        <v>0</v>
      </c>
      <c r="L60" s="519"/>
    </row>
    <row r="61" spans="1:12" ht="12.75" customHeight="1" x14ac:dyDescent="0.25">
      <c r="A61" s="129" t="s">
        <v>210</v>
      </c>
      <c r="B61" s="73"/>
      <c r="C61" s="130"/>
      <c r="D61" s="109"/>
      <c r="E61" s="109"/>
      <c r="F61" s="109"/>
      <c r="G61" s="109"/>
      <c r="H61" s="109"/>
      <c r="I61" s="109"/>
      <c r="J61" s="517">
        <f>SUM(E61:I61)</f>
        <v>0</v>
      </c>
      <c r="K61" s="517">
        <f t="shared" si="11"/>
        <v>0</v>
      </c>
      <c r="L61" s="519" t="str">
        <f>IF(K61=0,"",(K61/C61)-1)</f>
        <v/>
      </c>
    </row>
    <row r="62" spans="1:12" ht="12.75" customHeight="1" x14ac:dyDescent="0.25">
      <c r="A62" s="129" t="s">
        <v>1309</v>
      </c>
      <c r="B62" s="73"/>
      <c r="C62" s="130"/>
      <c r="D62" s="109"/>
      <c r="E62" s="109"/>
      <c r="F62" s="109"/>
      <c r="G62" s="109"/>
      <c r="H62" s="109"/>
      <c r="I62" s="109"/>
      <c r="J62" s="517">
        <f>SUM(E62:I62)</f>
        <v>0</v>
      </c>
      <c r="K62" s="517">
        <f t="shared" si="11"/>
        <v>0</v>
      </c>
      <c r="L62" s="519" t="str">
        <f>IF(K62=0,"",(K62/C62)-1)</f>
        <v/>
      </c>
    </row>
    <row r="63" spans="1:12" ht="12.75" customHeight="1" x14ac:dyDescent="0.25">
      <c r="A63" s="129" t="s">
        <v>1308</v>
      </c>
      <c r="B63" s="73"/>
      <c r="C63" s="130"/>
      <c r="D63" s="109"/>
      <c r="E63" s="109"/>
      <c r="F63" s="109"/>
      <c r="G63" s="109"/>
      <c r="H63" s="109"/>
      <c r="I63" s="109"/>
      <c r="J63" s="517">
        <f>SUM(E63:I63)</f>
        <v>0</v>
      </c>
      <c r="K63" s="517">
        <f>IF(D63=0,C63+J63,D63+J63)</f>
        <v>0</v>
      </c>
      <c r="L63" s="519"/>
    </row>
    <row r="64" spans="1:12" ht="12.75" customHeight="1" x14ac:dyDescent="0.25">
      <c r="A64" s="129" t="s">
        <v>1310</v>
      </c>
      <c r="B64" s="137">
        <v>5</v>
      </c>
      <c r="C64" s="130"/>
      <c r="D64" s="109"/>
      <c r="E64" s="109"/>
      <c r="F64" s="109"/>
      <c r="G64" s="109"/>
      <c r="H64" s="109"/>
      <c r="I64" s="109"/>
      <c r="J64" s="517">
        <f>SUM(E64:I64)</f>
        <v>0</v>
      </c>
      <c r="K64" s="517">
        <f t="shared" si="11"/>
        <v>0</v>
      </c>
      <c r="L64" s="519" t="str">
        <f>IF(K64=0,"",(K64/C64)-1)</f>
        <v/>
      </c>
    </row>
    <row r="65" spans="1:12" ht="12.75" customHeight="1" x14ac:dyDescent="0.25">
      <c r="A65" s="139" t="s">
        <v>211</v>
      </c>
      <c r="B65" s="73"/>
      <c r="C65" s="305">
        <f t="shared" ref="C65:K65" si="12">SUM(C52:C64)</f>
        <v>1349815.24</v>
      </c>
      <c r="D65" s="151">
        <f t="shared" si="12"/>
        <v>0</v>
      </c>
      <c r="E65" s="151">
        <f t="shared" si="12"/>
        <v>0</v>
      </c>
      <c r="F65" s="151">
        <f t="shared" si="12"/>
        <v>0</v>
      </c>
      <c r="G65" s="151">
        <f t="shared" si="12"/>
        <v>0</v>
      </c>
      <c r="H65" s="151">
        <f t="shared" si="12"/>
        <v>0</v>
      </c>
      <c r="I65" s="151">
        <f t="shared" si="12"/>
        <v>0</v>
      </c>
      <c r="J65" s="151">
        <f t="shared" si="12"/>
        <v>0</v>
      </c>
      <c r="K65" s="152">
        <f t="shared" si="12"/>
        <v>1349815.24</v>
      </c>
      <c r="L65" s="521">
        <f>IF(K65=0,"",(K65/C65)-1)</f>
        <v>0</v>
      </c>
    </row>
    <row r="66" spans="1:12" ht="12.75" customHeight="1" x14ac:dyDescent="0.25">
      <c r="A66" s="847" t="str">
        <f>$A$15</f>
        <v>% increase</v>
      </c>
      <c r="B66" s="73"/>
      <c r="C66" s="140"/>
      <c r="D66" s="141"/>
      <c r="E66" s="141"/>
      <c r="F66" s="141"/>
      <c r="G66" s="141"/>
      <c r="H66" s="141"/>
      <c r="I66" s="141"/>
      <c r="J66" s="525"/>
      <c r="K66" s="525"/>
      <c r="L66" s="521"/>
    </row>
    <row r="67" spans="1:12" ht="5.25" customHeight="1" x14ac:dyDescent="0.25">
      <c r="A67" s="847"/>
      <c r="B67" s="73"/>
      <c r="C67" s="140"/>
      <c r="D67" s="141"/>
      <c r="E67" s="141"/>
      <c r="F67" s="141"/>
      <c r="G67" s="141"/>
      <c r="H67" s="141"/>
      <c r="I67" s="141"/>
      <c r="J67" s="525"/>
      <c r="K67" s="525"/>
      <c r="L67" s="521"/>
    </row>
    <row r="68" spans="1:12" ht="12.75" customHeight="1" x14ac:dyDescent="0.25">
      <c r="A68" s="126" t="s">
        <v>212</v>
      </c>
      <c r="B68" s="73"/>
      <c r="C68" s="74"/>
      <c r="D68" s="75"/>
      <c r="E68" s="75"/>
      <c r="F68" s="75"/>
      <c r="G68" s="75"/>
      <c r="H68" s="75"/>
      <c r="I68" s="75"/>
      <c r="J68" s="517"/>
      <c r="K68" s="517"/>
      <c r="L68" s="519"/>
    </row>
    <row r="69" spans="1:12" ht="12.75" customHeight="1" x14ac:dyDescent="0.25">
      <c r="A69" s="597" t="s">
        <v>206</v>
      </c>
      <c r="B69" s="73"/>
      <c r="C69" s="130">
        <v>931162</v>
      </c>
      <c r="D69" s="109"/>
      <c r="E69" s="109"/>
      <c r="F69" s="109"/>
      <c r="G69" s="109"/>
      <c r="H69" s="109"/>
      <c r="I69" s="109"/>
      <c r="J69" s="517">
        <f t="shared" ref="J69:J80" si="13">SUM(E69:I69)</f>
        <v>0</v>
      </c>
      <c r="K69" s="517">
        <f t="shared" ref="K69:K80" si="14">IF(D69=0,C69+J69,D69+J69)</f>
        <v>931162</v>
      </c>
      <c r="L69" s="519">
        <f t="shared" ref="L69:L81" si="15">IF(K69=0,"",(K69/C69)-1)</f>
        <v>0</v>
      </c>
    </row>
    <row r="70" spans="1:12" ht="12.75" customHeight="1" x14ac:dyDescent="0.25">
      <c r="A70" s="597" t="s">
        <v>1554</v>
      </c>
      <c r="B70" s="73"/>
      <c r="C70" s="130"/>
      <c r="D70" s="109"/>
      <c r="E70" s="109"/>
      <c r="F70" s="109"/>
      <c r="G70" s="109"/>
      <c r="H70" s="109"/>
      <c r="I70" s="109"/>
      <c r="J70" s="517">
        <f t="shared" si="13"/>
        <v>0</v>
      </c>
      <c r="K70" s="517">
        <f t="shared" si="14"/>
        <v>0</v>
      </c>
      <c r="L70" s="519" t="str">
        <f t="shared" si="15"/>
        <v/>
      </c>
    </row>
    <row r="71" spans="1:12" ht="12.75" customHeight="1" x14ac:dyDescent="0.25">
      <c r="A71" s="597" t="s">
        <v>199</v>
      </c>
      <c r="B71" s="73"/>
      <c r="C71" s="130"/>
      <c r="D71" s="109"/>
      <c r="E71" s="109"/>
      <c r="F71" s="109"/>
      <c r="G71" s="109"/>
      <c r="H71" s="109"/>
      <c r="I71" s="109"/>
      <c r="J71" s="517">
        <f t="shared" si="13"/>
        <v>0</v>
      </c>
      <c r="K71" s="517">
        <f t="shared" si="14"/>
        <v>0</v>
      </c>
      <c r="L71" s="519" t="str">
        <f t="shared" si="15"/>
        <v/>
      </c>
    </row>
    <row r="72" spans="1:12" ht="12.75" customHeight="1" x14ac:dyDescent="0.25">
      <c r="A72" s="597" t="s">
        <v>1307</v>
      </c>
      <c r="B72" s="73"/>
      <c r="C72" s="130"/>
      <c r="D72" s="109"/>
      <c r="E72" s="109"/>
      <c r="F72" s="109"/>
      <c r="G72" s="109"/>
      <c r="H72" s="109"/>
      <c r="I72" s="109"/>
      <c r="J72" s="517">
        <f>SUM(E72:I72)</f>
        <v>0</v>
      </c>
      <c r="K72" s="517">
        <f>IF(D72=0,C72+J72,D72+J72)</f>
        <v>0</v>
      </c>
      <c r="L72" s="519"/>
    </row>
    <row r="73" spans="1:12" ht="12.75" customHeight="1" x14ac:dyDescent="0.25">
      <c r="A73" s="597" t="s">
        <v>203</v>
      </c>
      <c r="B73" s="73"/>
      <c r="C73" s="130"/>
      <c r="D73" s="109"/>
      <c r="E73" s="109"/>
      <c r="F73" s="109"/>
      <c r="G73" s="109"/>
      <c r="H73" s="109"/>
      <c r="I73" s="109"/>
      <c r="J73" s="517">
        <f>SUM(E73:I73)</f>
        <v>0</v>
      </c>
      <c r="K73" s="517">
        <f>IF(D73=0,C73+J73,D73+J73)</f>
        <v>0</v>
      </c>
      <c r="L73" s="519"/>
    </row>
    <row r="74" spans="1:12" ht="12.75" customHeight="1" x14ac:dyDescent="0.25">
      <c r="A74" s="597" t="s">
        <v>1555</v>
      </c>
      <c r="B74" s="73"/>
      <c r="C74" s="130"/>
      <c r="D74" s="109"/>
      <c r="E74" s="109"/>
      <c r="F74" s="109"/>
      <c r="G74" s="109"/>
      <c r="H74" s="109"/>
      <c r="I74" s="109"/>
      <c r="J74" s="517">
        <f>SUM(E74:I74)</f>
        <v>0</v>
      </c>
      <c r="K74" s="517">
        <f>IF(D74=0,C74+J74,D74+J74)</f>
        <v>0</v>
      </c>
      <c r="L74" s="519"/>
    </row>
    <row r="75" spans="1:12" ht="12.75" customHeight="1" x14ac:dyDescent="0.25">
      <c r="A75" s="597" t="s">
        <v>1556</v>
      </c>
      <c r="B75" s="73"/>
      <c r="C75" s="130"/>
      <c r="D75" s="109"/>
      <c r="E75" s="109"/>
      <c r="F75" s="109"/>
      <c r="G75" s="109"/>
      <c r="H75" s="109"/>
      <c r="I75" s="109"/>
      <c r="J75" s="517">
        <f>SUM(E75:I75)</f>
        <v>0</v>
      </c>
      <c r="K75" s="517">
        <f>IF(D75=0,C75+J75,D75+J75)</f>
        <v>0</v>
      </c>
      <c r="L75" s="519"/>
    </row>
    <row r="76" spans="1:12" ht="12.75" customHeight="1" x14ac:dyDescent="0.25">
      <c r="A76" s="597" t="s">
        <v>1557</v>
      </c>
      <c r="B76" s="73"/>
      <c r="C76" s="130"/>
      <c r="D76" s="109"/>
      <c r="E76" s="109"/>
      <c r="F76" s="109"/>
      <c r="G76" s="109"/>
      <c r="H76" s="109"/>
      <c r="I76" s="109"/>
      <c r="J76" s="517">
        <f t="shared" si="13"/>
        <v>0</v>
      </c>
      <c r="K76" s="517">
        <f t="shared" si="14"/>
        <v>0</v>
      </c>
      <c r="L76" s="519" t="str">
        <f t="shared" si="15"/>
        <v/>
      </c>
    </row>
    <row r="77" spans="1:12" ht="12.75" customHeight="1" x14ac:dyDescent="0.25">
      <c r="A77" s="597" t="s">
        <v>1341</v>
      </c>
      <c r="B77" s="73"/>
      <c r="C77" s="130"/>
      <c r="D77" s="109"/>
      <c r="E77" s="109"/>
      <c r="F77" s="109"/>
      <c r="G77" s="109"/>
      <c r="H77" s="109"/>
      <c r="I77" s="109"/>
      <c r="J77" s="517">
        <f>SUM(E77:I77)</f>
        <v>0</v>
      </c>
      <c r="K77" s="517">
        <f>IF(D77=0,C77+J77,D77+J77)</f>
        <v>0</v>
      </c>
      <c r="L77" s="519"/>
    </row>
    <row r="78" spans="1:12" ht="12.75" customHeight="1" x14ac:dyDescent="0.25">
      <c r="A78" s="597" t="s">
        <v>1309</v>
      </c>
      <c r="B78" s="73"/>
      <c r="C78" s="130"/>
      <c r="D78" s="109"/>
      <c r="E78" s="109"/>
      <c r="F78" s="109"/>
      <c r="G78" s="109"/>
      <c r="H78" s="109"/>
      <c r="I78" s="109"/>
      <c r="J78" s="517">
        <f t="shared" si="13"/>
        <v>0</v>
      </c>
      <c r="K78" s="517">
        <f t="shared" si="14"/>
        <v>0</v>
      </c>
      <c r="L78" s="519" t="str">
        <f t="shared" si="15"/>
        <v/>
      </c>
    </row>
    <row r="79" spans="1:12" ht="12.75" customHeight="1" x14ac:dyDescent="0.25">
      <c r="A79" s="597" t="s">
        <v>1308</v>
      </c>
      <c r="B79" s="73"/>
      <c r="C79" s="130"/>
      <c r="D79" s="109"/>
      <c r="E79" s="109"/>
      <c r="F79" s="109"/>
      <c r="G79" s="109"/>
      <c r="H79" s="109"/>
      <c r="I79" s="109"/>
      <c r="J79" s="517">
        <f t="shared" si="13"/>
        <v>0</v>
      </c>
      <c r="K79" s="517">
        <f t="shared" si="14"/>
        <v>0</v>
      </c>
      <c r="L79" s="519" t="str">
        <f t="shared" si="15"/>
        <v/>
      </c>
    </row>
    <row r="80" spans="1:12" ht="12.75" customHeight="1" x14ac:dyDescent="0.25">
      <c r="A80" s="597" t="s">
        <v>1310</v>
      </c>
      <c r="B80" s="73">
        <v>5</v>
      </c>
      <c r="C80" s="130"/>
      <c r="D80" s="109"/>
      <c r="E80" s="109"/>
      <c r="F80" s="109"/>
      <c r="G80" s="109"/>
      <c r="H80" s="109"/>
      <c r="I80" s="109"/>
      <c r="J80" s="517">
        <f t="shared" si="13"/>
        <v>0</v>
      </c>
      <c r="K80" s="517">
        <f t="shared" si="14"/>
        <v>0</v>
      </c>
      <c r="L80" s="519" t="str">
        <f t="shared" si="15"/>
        <v/>
      </c>
    </row>
    <row r="81" spans="1:12" ht="12.75" customHeight="1" x14ac:dyDescent="0.25">
      <c r="A81" s="139" t="s">
        <v>213</v>
      </c>
      <c r="B81" s="73"/>
      <c r="C81" s="305">
        <f t="shared" ref="C81:K81" si="16">SUM(C69:C80)</f>
        <v>931162</v>
      </c>
      <c r="D81" s="151">
        <f t="shared" si="16"/>
        <v>0</v>
      </c>
      <c r="E81" s="151">
        <f t="shared" si="16"/>
        <v>0</v>
      </c>
      <c r="F81" s="151">
        <f t="shared" si="16"/>
        <v>0</v>
      </c>
      <c r="G81" s="151">
        <f t="shared" si="16"/>
        <v>0</v>
      </c>
      <c r="H81" s="151">
        <f t="shared" si="16"/>
        <v>0</v>
      </c>
      <c r="I81" s="151">
        <f t="shared" si="16"/>
        <v>0</v>
      </c>
      <c r="J81" s="151">
        <f t="shared" si="16"/>
        <v>0</v>
      </c>
      <c r="K81" s="152">
        <f t="shared" si="16"/>
        <v>931162</v>
      </c>
      <c r="L81" s="521">
        <f t="shared" si="15"/>
        <v>0</v>
      </c>
    </row>
    <row r="82" spans="1:12" ht="12.75" customHeight="1" x14ac:dyDescent="0.25">
      <c r="A82" s="847" t="str">
        <f>$A$15</f>
        <v>% increase</v>
      </c>
      <c r="B82" s="73"/>
      <c r="C82" s="140"/>
      <c r="D82" s="141"/>
      <c r="E82" s="141"/>
      <c r="F82" s="141"/>
      <c r="G82" s="141"/>
      <c r="H82" s="141"/>
      <c r="I82" s="141"/>
      <c r="J82" s="525"/>
      <c r="K82" s="525"/>
      <c r="L82" s="521"/>
    </row>
    <row r="83" spans="1:12" ht="3.75" customHeight="1" x14ac:dyDescent="0.25">
      <c r="A83" s="847"/>
      <c r="B83" s="73"/>
      <c r="C83" s="140"/>
      <c r="D83" s="141"/>
      <c r="E83" s="141"/>
      <c r="F83" s="141"/>
      <c r="G83" s="141"/>
      <c r="H83" s="141"/>
      <c r="I83" s="141"/>
      <c r="J83" s="525"/>
      <c r="K83" s="525"/>
      <c r="L83" s="521"/>
    </row>
    <row r="84" spans="1:12" ht="12.75" customHeight="1" x14ac:dyDescent="0.25">
      <c r="A84" s="126" t="s">
        <v>214</v>
      </c>
      <c r="B84" s="73"/>
      <c r="C84" s="74"/>
      <c r="D84" s="75"/>
      <c r="E84" s="75"/>
      <c r="F84" s="75"/>
      <c r="G84" s="75"/>
      <c r="H84" s="75"/>
      <c r="I84" s="75"/>
      <c r="J84" s="517"/>
      <c r="K84" s="517"/>
      <c r="L84" s="519"/>
    </row>
    <row r="85" spans="1:12" ht="12.75" customHeight="1" x14ac:dyDescent="0.25">
      <c r="A85" s="597" t="s">
        <v>206</v>
      </c>
      <c r="B85" s="73"/>
      <c r="C85" s="130">
        <v>3446342</v>
      </c>
      <c r="D85" s="109"/>
      <c r="E85" s="109"/>
      <c r="F85" s="109"/>
      <c r="G85" s="109"/>
      <c r="H85" s="109"/>
      <c r="I85" s="109"/>
      <c r="J85" s="517">
        <f t="shared" ref="J85:J96" si="17">SUM(E85:I85)</f>
        <v>0</v>
      </c>
      <c r="K85" s="517">
        <f t="shared" ref="K85:K96" si="18">IF(D85=0,C85+J85,D85+J85)</f>
        <v>3446342</v>
      </c>
      <c r="L85" s="519">
        <f t="shared" ref="L85:L97" si="19">IF(K85=0,"",(K85/C85)-1)</f>
        <v>0</v>
      </c>
    </row>
    <row r="86" spans="1:12" ht="12.75" customHeight="1" x14ac:dyDescent="0.25">
      <c r="A86" s="597" t="s">
        <v>1554</v>
      </c>
      <c r="B86" s="73"/>
      <c r="C86" s="130">
        <v>251067</v>
      </c>
      <c r="D86" s="109"/>
      <c r="E86" s="109"/>
      <c r="F86" s="109"/>
      <c r="G86" s="109"/>
      <c r="H86" s="109"/>
      <c r="I86" s="109"/>
      <c r="J86" s="517">
        <f t="shared" si="17"/>
        <v>0</v>
      </c>
      <c r="K86" s="517">
        <f t="shared" si="18"/>
        <v>251067</v>
      </c>
      <c r="L86" s="519">
        <f t="shared" si="19"/>
        <v>0</v>
      </c>
    </row>
    <row r="87" spans="1:12" ht="12.75" customHeight="1" x14ac:dyDescent="0.25">
      <c r="A87" s="597" t="s">
        <v>199</v>
      </c>
      <c r="B87" s="73"/>
      <c r="C87" s="130">
        <v>374750</v>
      </c>
      <c r="D87" s="109"/>
      <c r="E87" s="109"/>
      <c r="F87" s="109"/>
      <c r="G87" s="109"/>
      <c r="H87" s="109"/>
      <c r="I87" s="109"/>
      <c r="J87" s="517">
        <f t="shared" si="17"/>
        <v>0</v>
      </c>
      <c r="K87" s="517">
        <f t="shared" si="18"/>
        <v>374750</v>
      </c>
      <c r="L87" s="519">
        <f t="shared" si="19"/>
        <v>0</v>
      </c>
    </row>
    <row r="88" spans="1:12" ht="12.75" customHeight="1" x14ac:dyDescent="0.25">
      <c r="A88" s="597" t="s">
        <v>1307</v>
      </c>
      <c r="B88" s="73"/>
      <c r="C88" s="130">
        <v>50000</v>
      </c>
      <c r="D88" s="109"/>
      <c r="E88" s="109"/>
      <c r="F88" s="109"/>
      <c r="G88" s="109"/>
      <c r="H88" s="109"/>
      <c r="I88" s="109"/>
      <c r="J88" s="517">
        <f t="shared" si="17"/>
        <v>0</v>
      </c>
      <c r="K88" s="517">
        <f t="shared" si="18"/>
        <v>50000</v>
      </c>
      <c r="L88" s="519">
        <f t="shared" si="19"/>
        <v>0</v>
      </c>
    </row>
    <row r="89" spans="1:12" ht="12.75" customHeight="1" x14ac:dyDescent="0.25">
      <c r="A89" s="597" t="s">
        <v>203</v>
      </c>
      <c r="B89" s="73"/>
      <c r="C89" s="130"/>
      <c r="D89" s="109"/>
      <c r="E89" s="109"/>
      <c r="F89" s="109"/>
      <c r="G89" s="109"/>
      <c r="H89" s="109"/>
      <c r="I89" s="109"/>
      <c r="J89" s="517">
        <f>SUM(E89:I89)</f>
        <v>0</v>
      </c>
      <c r="K89" s="517">
        <f>IF(D89=0,C89+J89,D89+J89)</f>
        <v>0</v>
      </c>
      <c r="L89" s="519"/>
    </row>
    <row r="90" spans="1:12" ht="12.75" customHeight="1" x14ac:dyDescent="0.25">
      <c r="A90" s="597" t="s">
        <v>1555</v>
      </c>
      <c r="B90" s="73"/>
      <c r="C90" s="130"/>
      <c r="D90" s="109"/>
      <c r="E90" s="109"/>
      <c r="F90" s="109"/>
      <c r="G90" s="109"/>
      <c r="H90" s="109"/>
      <c r="I90" s="109"/>
      <c r="J90" s="517">
        <f t="shared" si="17"/>
        <v>0</v>
      </c>
      <c r="K90" s="517">
        <f t="shared" si="18"/>
        <v>0</v>
      </c>
      <c r="L90" s="519" t="str">
        <f t="shared" si="19"/>
        <v/>
      </c>
    </row>
    <row r="91" spans="1:12" ht="12.75" customHeight="1" x14ac:dyDescent="0.25">
      <c r="A91" s="597" t="s">
        <v>1556</v>
      </c>
      <c r="B91" s="73"/>
      <c r="C91" s="130"/>
      <c r="D91" s="109"/>
      <c r="E91" s="109"/>
      <c r="F91" s="109"/>
      <c r="G91" s="109"/>
      <c r="H91" s="109"/>
      <c r="I91" s="109"/>
      <c r="J91" s="517">
        <f t="shared" si="17"/>
        <v>0</v>
      </c>
      <c r="K91" s="517">
        <f t="shared" si="18"/>
        <v>0</v>
      </c>
      <c r="L91" s="519" t="str">
        <f t="shared" si="19"/>
        <v/>
      </c>
    </row>
    <row r="92" spans="1:12" ht="12.75" customHeight="1" x14ac:dyDescent="0.25">
      <c r="A92" s="597" t="s">
        <v>1557</v>
      </c>
      <c r="B92" s="73"/>
      <c r="C92" s="130">
        <v>108000</v>
      </c>
      <c r="D92" s="109"/>
      <c r="E92" s="109"/>
      <c r="F92" s="109"/>
      <c r="G92" s="109"/>
      <c r="H92" s="109"/>
      <c r="I92" s="109"/>
      <c r="J92" s="517">
        <f>SUM(E92:I92)</f>
        <v>0</v>
      </c>
      <c r="K92" s="517">
        <f>IF(D92=0,C92+J92,D92+J92)</f>
        <v>108000</v>
      </c>
      <c r="L92" s="519"/>
    </row>
    <row r="93" spans="1:12" ht="12.75" customHeight="1" x14ac:dyDescent="0.25">
      <c r="A93" s="597" t="s">
        <v>1341</v>
      </c>
      <c r="B93" s="73"/>
      <c r="C93" s="130">
        <v>281938</v>
      </c>
      <c r="D93" s="109"/>
      <c r="E93" s="109"/>
      <c r="F93" s="109"/>
      <c r="G93" s="109"/>
      <c r="H93" s="109"/>
      <c r="I93" s="109"/>
      <c r="J93" s="517">
        <f>SUM(E93:I93)</f>
        <v>0</v>
      </c>
      <c r="K93" s="517">
        <f>IF(D93=0,C93+J93,D93+J93)</f>
        <v>281938</v>
      </c>
      <c r="L93" s="519"/>
    </row>
    <row r="94" spans="1:12" ht="12.75" customHeight="1" x14ac:dyDescent="0.25">
      <c r="A94" s="597" t="s">
        <v>1309</v>
      </c>
      <c r="B94" s="73"/>
      <c r="C94" s="130"/>
      <c r="D94" s="109"/>
      <c r="E94" s="109"/>
      <c r="F94" s="109"/>
      <c r="G94" s="109"/>
      <c r="H94" s="109"/>
      <c r="I94" s="109"/>
      <c r="J94" s="517">
        <f t="shared" si="17"/>
        <v>0</v>
      </c>
      <c r="K94" s="517">
        <f t="shared" si="18"/>
        <v>0</v>
      </c>
      <c r="L94" s="519" t="str">
        <f t="shared" si="19"/>
        <v/>
      </c>
    </row>
    <row r="95" spans="1:12" ht="12.75" customHeight="1" x14ac:dyDescent="0.25">
      <c r="A95" s="597" t="s">
        <v>1308</v>
      </c>
      <c r="B95" s="73"/>
      <c r="C95" s="130"/>
      <c r="D95" s="109"/>
      <c r="E95" s="109"/>
      <c r="F95" s="109"/>
      <c r="G95" s="109"/>
      <c r="H95" s="109"/>
      <c r="I95" s="109"/>
      <c r="J95" s="517">
        <f t="shared" si="17"/>
        <v>0</v>
      </c>
      <c r="K95" s="517">
        <f t="shared" si="18"/>
        <v>0</v>
      </c>
      <c r="L95" s="519" t="str">
        <f t="shared" si="19"/>
        <v/>
      </c>
    </row>
    <row r="96" spans="1:12" ht="12.75" customHeight="1" x14ac:dyDescent="0.25">
      <c r="A96" s="597" t="s">
        <v>1310</v>
      </c>
      <c r="B96" s="73">
        <v>5</v>
      </c>
      <c r="C96" s="130"/>
      <c r="D96" s="109"/>
      <c r="E96" s="109"/>
      <c r="F96" s="109"/>
      <c r="G96" s="109"/>
      <c r="H96" s="109"/>
      <c r="I96" s="109"/>
      <c r="J96" s="517">
        <f t="shared" si="17"/>
        <v>0</v>
      </c>
      <c r="K96" s="517">
        <f t="shared" si="18"/>
        <v>0</v>
      </c>
      <c r="L96" s="519" t="str">
        <f t="shared" si="19"/>
        <v/>
      </c>
    </row>
    <row r="97" spans="1:15" ht="12.75" customHeight="1" x14ac:dyDescent="0.25">
      <c r="A97" s="139" t="s">
        <v>215</v>
      </c>
      <c r="B97" s="73"/>
      <c r="C97" s="305">
        <f t="shared" ref="C97:K97" si="20">SUM(C85:C96)</f>
        <v>4512097</v>
      </c>
      <c r="D97" s="151">
        <f t="shared" si="20"/>
        <v>0</v>
      </c>
      <c r="E97" s="151">
        <f t="shared" si="20"/>
        <v>0</v>
      </c>
      <c r="F97" s="151">
        <f t="shared" si="20"/>
        <v>0</v>
      </c>
      <c r="G97" s="151">
        <f t="shared" si="20"/>
        <v>0</v>
      </c>
      <c r="H97" s="151">
        <f t="shared" si="20"/>
        <v>0</v>
      </c>
      <c r="I97" s="151">
        <f t="shared" si="20"/>
        <v>0</v>
      </c>
      <c r="J97" s="151">
        <f t="shared" si="20"/>
        <v>0</v>
      </c>
      <c r="K97" s="152">
        <f t="shared" si="20"/>
        <v>4512097</v>
      </c>
      <c r="L97" s="521">
        <f t="shared" si="19"/>
        <v>0</v>
      </c>
    </row>
    <row r="98" spans="1:15" ht="12.75" customHeight="1" x14ac:dyDescent="0.25">
      <c r="A98" s="847" t="str">
        <f>$A$15</f>
        <v>% increase</v>
      </c>
      <c r="B98" s="154"/>
      <c r="C98" s="526"/>
      <c r="D98" s="238"/>
      <c r="E98" s="238"/>
      <c r="F98" s="238"/>
      <c r="G98" s="238"/>
      <c r="H98" s="238"/>
      <c r="I98" s="238"/>
      <c r="J98" s="238"/>
      <c r="K98" s="527"/>
      <c r="L98" s="521"/>
    </row>
    <row r="99" spans="1:15" ht="12.75" customHeight="1" x14ac:dyDescent="0.25">
      <c r="A99" s="163" t="s">
        <v>216</v>
      </c>
      <c r="B99" s="79"/>
      <c r="C99" s="80">
        <f t="shared" ref="C99:K99" si="21">C65+C81+C97</f>
        <v>6793074.2400000002</v>
      </c>
      <c r="D99" s="81">
        <f t="shared" si="21"/>
        <v>0</v>
      </c>
      <c r="E99" s="81">
        <f t="shared" si="21"/>
        <v>0</v>
      </c>
      <c r="F99" s="81">
        <f t="shared" si="21"/>
        <v>0</v>
      </c>
      <c r="G99" s="81">
        <f t="shared" si="21"/>
        <v>0</v>
      </c>
      <c r="H99" s="81">
        <f t="shared" si="21"/>
        <v>0</v>
      </c>
      <c r="I99" s="81">
        <f t="shared" si="21"/>
        <v>0</v>
      </c>
      <c r="J99" s="81">
        <f t="shared" si="21"/>
        <v>0</v>
      </c>
      <c r="K99" s="528">
        <f t="shared" si="21"/>
        <v>6793074.2400000002</v>
      </c>
      <c r="L99" s="521">
        <f>IF(K99=0,"",(K99/C99)-1)</f>
        <v>0</v>
      </c>
    </row>
    <row r="100" spans="1:15" ht="5.0999999999999996" customHeight="1" x14ac:dyDescent="0.25">
      <c r="A100" s="136"/>
      <c r="B100" s="105"/>
      <c r="C100" s="106"/>
      <c r="D100" s="489"/>
      <c r="E100" s="489"/>
      <c r="F100" s="489"/>
      <c r="G100" s="489"/>
      <c r="H100" s="489"/>
      <c r="I100" s="489"/>
      <c r="J100" s="489"/>
      <c r="K100" s="529"/>
      <c r="L100" s="521"/>
    </row>
    <row r="101" spans="1:15" ht="24.75" customHeight="1" x14ac:dyDescent="0.25">
      <c r="A101" s="1246" t="s">
        <v>1647</v>
      </c>
      <c r="B101" s="154"/>
      <c r="C101" s="526">
        <f t="shared" ref="C101:K101" si="22">C48+C99</f>
        <v>588930571.01700008</v>
      </c>
      <c r="D101" s="238">
        <f t="shared" si="22"/>
        <v>0</v>
      </c>
      <c r="E101" s="238">
        <f t="shared" si="22"/>
        <v>0</v>
      </c>
      <c r="F101" s="238">
        <f t="shared" si="22"/>
        <v>0</v>
      </c>
      <c r="G101" s="238">
        <f t="shared" si="22"/>
        <v>0</v>
      </c>
      <c r="H101" s="238">
        <f t="shared" si="22"/>
        <v>0</v>
      </c>
      <c r="I101" s="238">
        <f t="shared" si="22"/>
        <v>-20000</v>
      </c>
      <c r="J101" s="238">
        <f t="shared" si="22"/>
        <v>-20000</v>
      </c>
      <c r="K101" s="527">
        <f t="shared" si="22"/>
        <v>588910571.01700008</v>
      </c>
      <c r="L101" s="521">
        <f>IF(K101=0,"",(K101/C101)-1)</f>
        <v>-3.3959860438970146E-5</v>
      </c>
    </row>
    <row r="102" spans="1:15" x14ac:dyDescent="0.25">
      <c r="A102" s="847" t="str">
        <f>$A$15</f>
        <v>% increase</v>
      </c>
      <c r="B102" s="105"/>
      <c r="C102" s="150"/>
      <c r="D102" s="151"/>
      <c r="E102" s="151"/>
      <c r="F102" s="151"/>
      <c r="G102" s="151"/>
      <c r="H102" s="151"/>
      <c r="I102" s="151"/>
      <c r="J102" s="151"/>
      <c r="K102" s="530"/>
      <c r="L102" s="521"/>
    </row>
    <row r="103" spans="1:15" ht="12.75" customHeight="1" x14ac:dyDescent="0.25">
      <c r="A103" s="155" t="s">
        <v>217</v>
      </c>
      <c r="B103" s="156"/>
      <c r="C103" s="157">
        <f t="shared" ref="C103:K103" si="23">C30+C46+C81+C97</f>
        <v>562171156</v>
      </c>
      <c r="D103" s="117">
        <f t="shared" si="23"/>
        <v>0</v>
      </c>
      <c r="E103" s="117">
        <f t="shared" si="23"/>
        <v>0</v>
      </c>
      <c r="F103" s="117">
        <f t="shared" si="23"/>
        <v>0</v>
      </c>
      <c r="G103" s="117">
        <f t="shared" si="23"/>
        <v>0</v>
      </c>
      <c r="H103" s="117">
        <f t="shared" si="23"/>
        <v>0</v>
      </c>
      <c r="I103" s="117">
        <f t="shared" si="23"/>
        <v>-20000</v>
      </c>
      <c r="J103" s="117">
        <f t="shared" si="23"/>
        <v>-20000</v>
      </c>
      <c r="K103" s="531">
        <f t="shared" si="23"/>
        <v>562151156</v>
      </c>
      <c r="L103" s="532">
        <f>IF(K103=0,"",(K103/C103)-1)</f>
        <v>-3.5576353903166158E-5</v>
      </c>
    </row>
    <row r="104" spans="1:15" ht="12.75" customHeight="1" x14ac:dyDescent="0.25">
      <c r="A104" s="158" t="str">
        <f>head27a</f>
        <v>References</v>
      </c>
      <c r="B104" s="93"/>
      <c r="C104" s="500"/>
      <c r="D104" s="500"/>
      <c r="E104" s="500"/>
      <c r="F104" s="500"/>
      <c r="G104" s="500"/>
      <c r="H104" s="500"/>
      <c r="I104" s="500"/>
      <c r="J104" s="500"/>
      <c r="K104" s="500"/>
      <c r="L104" s="533"/>
      <c r="M104" s="48"/>
      <c r="N104" s="48"/>
      <c r="O104" s="48"/>
    </row>
    <row r="105" spans="1:15" ht="12.75" customHeight="1" x14ac:dyDescent="0.25">
      <c r="A105" s="99" t="s">
        <v>218</v>
      </c>
      <c r="B105" s="93"/>
      <c r="C105" s="500"/>
      <c r="D105" s="500"/>
      <c r="E105" s="500"/>
      <c r="F105" s="500"/>
      <c r="G105" s="500"/>
      <c r="H105" s="500"/>
      <c r="I105" s="500"/>
      <c r="J105" s="500"/>
      <c r="K105" s="500"/>
      <c r="L105" s="533"/>
      <c r="M105" s="48"/>
      <c r="N105" s="48"/>
      <c r="O105" s="48"/>
    </row>
    <row r="106" spans="1:15" ht="12.75" customHeight="1" x14ac:dyDescent="0.25">
      <c r="A106" s="99" t="s">
        <v>219</v>
      </c>
      <c r="B106" s="93"/>
      <c r="C106" s="500"/>
      <c r="D106" s="500"/>
      <c r="E106" s="500"/>
      <c r="F106" s="500"/>
      <c r="G106" s="500"/>
      <c r="H106" s="500"/>
      <c r="I106" s="500"/>
      <c r="J106" s="500"/>
      <c r="K106" s="500"/>
      <c r="L106" s="533"/>
      <c r="M106" s="48"/>
      <c r="N106" s="48"/>
      <c r="O106" s="48"/>
    </row>
    <row r="107" spans="1:15" ht="12.75" customHeight="1" x14ac:dyDescent="0.25">
      <c r="A107" s="99" t="s">
        <v>220</v>
      </c>
      <c r="B107" s="93"/>
      <c r="C107" s="99"/>
      <c r="D107" s="99"/>
      <c r="E107" s="99"/>
      <c r="F107" s="99"/>
      <c r="G107" s="99"/>
      <c r="H107" s="99"/>
      <c r="I107" s="99"/>
      <c r="J107" s="99"/>
      <c r="K107" s="99"/>
      <c r="L107" s="93"/>
    </row>
    <row r="108" spans="1:15" ht="12.75" customHeight="1" x14ac:dyDescent="0.25">
      <c r="A108" s="159" t="s">
        <v>221</v>
      </c>
      <c r="B108" s="93"/>
      <c r="C108" s="99"/>
      <c r="D108" s="99"/>
      <c r="E108" s="99"/>
      <c r="F108" s="99"/>
      <c r="G108" s="99"/>
      <c r="H108" s="99"/>
      <c r="I108" s="99"/>
      <c r="J108" s="99"/>
      <c r="K108" s="99"/>
      <c r="L108" s="93"/>
    </row>
    <row r="109" spans="1:15" ht="12.75" customHeight="1" x14ac:dyDescent="0.25">
      <c r="A109" s="1074" t="s">
        <v>1558</v>
      </c>
      <c r="B109" s="93"/>
      <c r="C109" s="99"/>
      <c r="D109" s="99"/>
      <c r="E109" s="99"/>
      <c r="F109" s="99"/>
      <c r="G109" s="99"/>
      <c r="H109" s="99"/>
      <c r="I109" s="99"/>
      <c r="J109" s="99"/>
      <c r="K109" s="99"/>
      <c r="L109" s="93"/>
    </row>
    <row r="110" spans="1:15" ht="12.75" customHeight="1" x14ac:dyDescent="0.25">
      <c r="A110" s="1074"/>
      <c r="B110" s="93"/>
      <c r="C110" s="99"/>
      <c r="D110" s="99"/>
      <c r="E110" s="99"/>
      <c r="F110" s="99"/>
      <c r="G110" s="99"/>
      <c r="H110" s="99"/>
      <c r="I110" s="99"/>
      <c r="J110" s="99"/>
      <c r="K110" s="99"/>
      <c r="L110" s="93"/>
    </row>
    <row r="111" spans="1:15" ht="12.75" customHeight="1" x14ac:dyDescent="0.25">
      <c r="A111" s="158" t="s">
        <v>222</v>
      </c>
      <c r="B111" s="93"/>
      <c r="C111" s="99"/>
      <c r="D111" s="99"/>
      <c r="E111" s="99"/>
      <c r="F111" s="99"/>
      <c r="G111" s="99"/>
      <c r="H111" s="99"/>
      <c r="I111" s="99"/>
      <c r="J111" s="99"/>
      <c r="K111" s="99"/>
      <c r="L111" s="93"/>
    </row>
    <row r="112" spans="1:15" ht="12.75" customHeight="1" x14ac:dyDescent="0.25">
      <c r="A112" s="99" t="s">
        <v>223</v>
      </c>
      <c r="B112" s="93"/>
      <c r="C112" s="99"/>
      <c r="D112" s="99"/>
      <c r="E112" s="99"/>
      <c r="F112" s="99"/>
      <c r="G112" s="99"/>
      <c r="H112" s="99"/>
      <c r="I112" s="99"/>
      <c r="J112" s="99"/>
      <c r="K112" s="99"/>
      <c r="L112" s="93"/>
    </row>
    <row r="113" spans="1:12" ht="12.75" customHeight="1" x14ac:dyDescent="0.25">
      <c r="A113" s="1314" t="s">
        <v>1100</v>
      </c>
      <c r="B113" s="1314"/>
      <c r="C113" s="1314"/>
      <c r="D113" s="1314"/>
      <c r="E113" s="1314"/>
      <c r="F113" s="1314"/>
      <c r="G113" s="1314"/>
      <c r="H113" s="1314"/>
      <c r="I113" s="1314"/>
      <c r="J113" s="1314"/>
      <c r="K113" s="1314"/>
      <c r="L113" s="1314"/>
    </row>
    <row r="114" spans="1:12" ht="24.95" customHeight="1" x14ac:dyDescent="0.25">
      <c r="A114" s="1314" t="s">
        <v>723</v>
      </c>
      <c r="B114" s="1314"/>
      <c r="C114" s="1314"/>
      <c r="D114" s="1314"/>
      <c r="E114" s="1314"/>
      <c r="F114" s="1314"/>
      <c r="G114" s="1314"/>
      <c r="H114" s="1314"/>
      <c r="I114" s="1314"/>
      <c r="J114" s="1314"/>
      <c r="K114" s="1314"/>
      <c r="L114" s="1314"/>
    </row>
    <row r="115" spans="1:12" ht="12.75" customHeight="1" x14ac:dyDescent="0.25">
      <c r="A115" s="1314" t="s">
        <v>676</v>
      </c>
      <c r="B115" s="1314"/>
      <c r="C115" s="1314"/>
      <c r="D115" s="1314"/>
      <c r="E115" s="1314"/>
      <c r="F115" s="1314"/>
      <c r="G115" s="1314"/>
      <c r="H115" s="1314"/>
      <c r="I115" s="1314"/>
      <c r="J115" s="1314"/>
      <c r="K115" s="98"/>
      <c r="L115" s="534"/>
    </row>
    <row r="116" spans="1:12" ht="12.75" customHeight="1" x14ac:dyDescent="0.25">
      <c r="A116" s="1314" t="s">
        <v>677</v>
      </c>
      <c r="B116" s="1314"/>
      <c r="C116" s="1314"/>
      <c r="D116" s="1314"/>
      <c r="E116" s="1314"/>
      <c r="F116" s="1314"/>
      <c r="G116" s="1314"/>
      <c r="H116" s="1314"/>
      <c r="I116" s="1314"/>
      <c r="J116" s="1314"/>
      <c r="K116" s="1314"/>
      <c r="L116" s="1314"/>
    </row>
    <row r="117" spans="1:12" ht="12.75" customHeight="1" x14ac:dyDescent="0.25">
      <c r="A117" s="99" t="s">
        <v>226</v>
      </c>
      <c r="B117" s="93"/>
      <c r="C117" s="96"/>
      <c r="D117" s="96"/>
      <c r="E117" s="96"/>
      <c r="F117" s="96"/>
      <c r="G117" s="96"/>
      <c r="H117" s="96"/>
      <c r="I117" s="96"/>
      <c r="J117" s="96"/>
      <c r="K117" s="96"/>
      <c r="L117" s="535"/>
    </row>
    <row r="118" spans="1:12" ht="24.95" customHeight="1" x14ac:dyDescent="0.25">
      <c r="A118" s="1314" t="s">
        <v>679</v>
      </c>
      <c r="B118" s="1314"/>
      <c r="C118" s="1314"/>
      <c r="D118" s="1314"/>
      <c r="E118" s="1314"/>
      <c r="F118" s="1314"/>
      <c r="G118" s="1314"/>
      <c r="H118" s="1314"/>
      <c r="I118" s="1314"/>
      <c r="J118" s="1314"/>
      <c r="K118" s="1314"/>
      <c r="L118" s="1314"/>
    </row>
    <row r="119" spans="1:12" ht="12.75" customHeight="1" x14ac:dyDescent="0.25">
      <c r="A119" s="99" t="s">
        <v>227</v>
      </c>
      <c r="B119" s="93"/>
      <c r="C119" s="96"/>
      <c r="D119" s="96"/>
      <c r="E119" s="96"/>
      <c r="F119" s="96"/>
      <c r="G119" s="96"/>
      <c r="H119" s="96"/>
      <c r="I119" s="96"/>
      <c r="J119" s="96"/>
      <c r="K119" s="96"/>
      <c r="L119" s="535"/>
    </row>
    <row r="120" spans="1:12" ht="12.75" customHeight="1" x14ac:dyDescent="0.25">
      <c r="A120" s="1314" t="s">
        <v>681</v>
      </c>
      <c r="B120" s="1314"/>
      <c r="C120" s="1314"/>
      <c r="D120" s="1314"/>
      <c r="E120" s="1314"/>
      <c r="F120" s="1314"/>
      <c r="G120" s="1314"/>
      <c r="H120" s="1314"/>
      <c r="I120" s="1314"/>
      <c r="J120" s="1314"/>
      <c r="K120" s="1314"/>
      <c r="L120" s="1314"/>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tabSelected="1" zoomScaleNormal="100" workbookViewId="0">
      <pane xSplit="2" ySplit="4" topLeftCell="F34" activePane="bottomRight" state="frozen"/>
      <selection activeCell="C6" sqref="C6"/>
      <selection pane="topRight" activeCell="C6" sqref="C6"/>
      <selection pane="bottomLeft" activeCell="C6" sqref="C6"/>
      <selection pane="bottomRight" activeCell="I47" sqref="I47"/>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LIM354 Polokwane - Supporting Table SB12 Adjustments Budget - monthly revenue and expenditure (municipal vote) - 25 February 2016</v>
      </c>
      <c r="B1" s="57"/>
      <c r="D1" s="58"/>
    </row>
    <row r="2" spans="1:18" ht="25.5" x14ac:dyDescent="0.25">
      <c r="A2" s="1321" t="str">
        <f>desc</f>
        <v>Description</v>
      </c>
      <c r="B2" s="1318" t="str">
        <f>head27</f>
        <v>Ref</v>
      </c>
      <c r="C2" s="1315" t="str">
        <f>Head2</f>
        <v>Budget Year 2015/16</v>
      </c>
      <c r="D2" s="1316"/>
      <c r="E2" s="1316"/>
      <c r="F2" s="1316"/>
      <c r="G2" s="1316"/>
      <c r="H2" s="1316"/>
      <c r="I2" s="1316"/>
      <c r="J2" s="1316"/>
      <c r="K2" s="1316"/>
      <c r="L2" s="1316"/>
      <c r="M2" s="1316"/>
      <c r="N2" s="1317"/>
      <c r="O2" s="536"/>
      <c r="P2" s="537" t="s">
        <v>228</v>
      </c>
      <c r="Q2" s="538"/>
      <c r="R2" s="539"/>
    </row>
    <row r="3" spans="1:18" ht="38.25" x14ac:dyDescent="0.25">
      <c r="A3" s="1322"/>
      <c r="B3" s="1319"/>
      <c r="C3" s="461" t="s">
        <v>229</v>
      </c>
      <c r="D3" s="329" t="s">
        <v>230</v>
      </c>
      <c r="E3" s="329" t="s">
        <v>231</v>
      </c>
      <c r="F3" s="329" t="s">
        <v>232</v>
      </c>
      <c r="G3" s="329" t="s">
        <v>233</v>
      </c>
      <c r="H3" s="330" t="s">
        <v>234</v>
      </c>
      <c r="I3" s="540" t="s">
        <v>235</v>
      </c>
      <c r="J3" s="541" t="s">
        <v>236</v>
      </c>
      <c r="K3" s="329" t="s">
        <v>237</v>
      </c>
      <c r="L3" s="329" t="s">
        <v>238</v>
      </c>
      <c r="M3" s="542" t="s">
        <v>239</v>
      </c>
      <c r="N3" s="541" t="s">
        <v>240</v>
      </c>
      <c r="O3" s="543" t="s">
        <v>241</v>
      </c>
      <c r="P3" s="540" t="str">
        <f>Head9</f>
        <v>Budget Year 2015/16</v>
      </c>
      <c r="Q3" s="541" t="str">
        <f>Head10</f>
        <v>Budget Year +1 2016/17</v>
      </c>
      <c r="R3" s="331" t="str">
        <f>Head11</f>
        <v>Budget Year +2 2017/18</v>
      </c>
    </row>
    <row r="4" spans="1:18" ht="25.5" x14ac:dyDescent="0.25">
      <c r="A4" s="544" t="s">
        <v>641</v>
      </c>
      <c r="B4" s="104"/>
      <c r="C4" s="821" t="str">
        <f t="shared" ref="C4:H4" si="0">Head5A</f>
        <v>Outcome</v>
      </c>
      <c r="D4" s="822" t="str">
        <f t="shared" si="0"/>
        <v>Outcome</v>
      </c>
      <c r="E4" s="822" t="str">
        <f t="shared" si="0"/>
        <v>Outcome</v>
      </c>
      <c r="F4" s="822" t="str">
        <f t="shared" si="0"/>
        <v>Outcome</v>
      </c>
      <c r="G4" s="822" t="str">
        <f t="shared" si="0"/>
        <v>Outcome</v>
      </c>
      <c r="H4" s="823" t="str">
        <f t="shared" si="0"/>
        <v>Outcome</v>
      </c>
      <c r="I4" s="821" t="str">
        <f t="shared" ref="I4:N4" si="1">Head7</f>
        <v>Adjusted Budget</v>
      </c>
      <c r="J4" s="823" t="str">
        <f t="shared" si="1"/>
        <v>Adjusted Budget</v>
      </c>
      <c r="K4" s="822" t="str">
        <f t="shared" si="1"/>
        <v>Adjusted Budget</v>
      </c>
      <c r="L4" s="822" t="str">
        <f t="shared" si="1"/>
        <v>Adjusted Budget</v>
      </c>
      <c r="M4" s="822" t="str">
        <f t="shared" si="1"/>
        <v>Adjusted Budget</v>
      </c>
      <c r="N4" s="823" t="str">
        <f t="shared" si="1"/>
        <v>Adjusted Budget</v>
      </c>
      <c r="O4" s="545"/>
      <c r="P4" s="546" t="str">
        <f>Head7</f>
        <v>Adjusted Budget</v>
      </c>
      <c r="Q4" s="547" t="s">
        <v>242</v>
      </c>
      <c r="R4" s="548" t="s">
        <v>242</v>
      </c>
    </row>
    <row r="5" spans="1:18" ht="12.75" customHeight="1" x14ac:dyDescent="0.25">
      <c r="A5" s="516" t="str">
        <f>'B3-FinPerf V'!A6</f>
        <v>Revenue by Vote</v>
      </c>
      <c r="B5" s="129"/>
      <c r="C5" s="241"/>
      <c r="D5" s="75"/>
      <c r="E5" s="75"/>
      <c r="F5" s="75"/>
      <c r="G5" s="75"/>
      <c r="H5" s="517"/>
      <c r="I5" s="241"/>
      <c r="J5" s="75"/>
      <c r="K5" s="75"/>
      <c r="L5" s="75"/>
      <c r="M5" s="75"/>
      <c r="N5" s="517"/>
      <c r="O5" s="549"/>
      <c r="P5" s="241"/>
      <c r="Q5" s="75"/>
      <c r="R5" s="76"/>
    </row>
    <row r="6" spans="1:18" ht="12.75" customHeight="1" x14ac:dyDescent="0.25">
      <c r="A6" s="129" t="str">
        <f>'B3-FinPerf V'!A7</f>
        <v>Vote 1 - COUNCIL</v>
      </c>
      <c r="B6" s="129"/>
      <c r="C6" s="391">
        <v>0</v>
      </c>
      <c r="D6" s="109">
        <v>0</v>
      </c>
      <c r="E6" s="109">
        <v>0</v>
      </c>
      <c r="F6" s="109">
        <v>0</v>
      </c>
      <c r="G6" s="109">
        <v>0</v>
      </c>
      <c r="H6" s="390">
        <v>0</v>
      </c>
      <c r="I6" s="391">
        <v>0</v>
      </c>
      <c r="J6" s="109">
        <v>0</v>
      </c>
      <c r="K6" s="109">
        <v>0</v>
      </c>
      <c r="L6" s="109">
        <v>0</v>
      </c>
      <c r="M6" s="109">
        <v>0</v>
      </c>
      <c r="N6" s="517">
        <f t="shared" ref="N6:N20" si="2">P6-SUM(C6:M6)</f>
        <v>0</v>
      </c>
      <c r="O6" s="549">
        <f t="shared" ref="O6:O14" si="3">SUM(C6:N6)</f>
        <v>0</v>
      </c>
      <c r="P6" s="241">
        <f>'B3-FinPerf V'!K7</f>
        <v>0</v>
      </c>
      <c r="Q6" s="75">
        <f>'B3-FinPerf V'!L7</f>
        <v>0</v>
      </c>
      <c r="R6" s="76">
        <f>'B3-FinPerf V'!M7</f>
        <v>0</v>
      </c>
    </row>
    <row r="7" spans="1:18" ht="12.75" customHeight="1" x14ac:dyDescent="0.25">
      <c r="A7" s="129" t="str">
        <f>'B3-FinPerf V'!A8</f>
        <v>Vote 2 - Office of the Municipal Manger</v>
      </c>
      <c r="B7" s="129"/>
      <c r="C7" s="391">
        <v>0</v>
      </c>
      <c r="D7" s="109">
        <v>0</v>
      </c>
      <c r="E7" s="109">
        <v>0</v>
      </c>
      <c r="F7" s="109">
        <v>0</v>
      </c>
      <c r="G7" s="109">
        <v>0</v>
      </c>
      <c r="H7" s="390">
        <v>0</v>
      </c>
      <c r="I7" s="391">
        <v>0</v>
      </c>
      <c r="J7" s="109">
        <v>0</v>
      </c>
      <c r="K7" s="109">
        <v>0</v>
      </c>
      <c r="L7" s="109">
        <v>0</v>
      </c>
      <c r="M7" s="109">
        <v>0</v>
      </c>
      <c r="N7" s="517">
        <f t="shared" si="2"/>
        <v>0</v>
      </c>
      <c r="O7" s="549">
        <f t="shared" si="3"/>
        <v>0</v>
      </c>
      <c r="P7" s="241">
        <f>'B3-FinPerf V'!K8</f>
        <v>0</v>
      </c>
      <c r="Q7" s="75">
        <f>'B3-FinPerf V'!L8</f>
        <v>0</v>
      </c>
      <c r="R7" s="76">
        <f>'B3-FinPerf V'!M8</f>
        <v>0</v>
      </c>
    </row>
    <row r="8" spans="1:18" ht="12.75" customHeight="1" x14ac:dyDescent="0.25">
      <c r="A8" s="129" t="str">
        <f>'B3-FinPerf V'!A9</f>
        <v>Vote 3 - Strategic Planning Monitoring and Evaluation</v>
      </c>
      <c r="B8" s="129"/>
      <c r="C8" s="391">
        <v>0</v>
      </c>
      <c r="D8" s="109">
        <v>0</v>
      </c>
      <c r="E8" s="109">
        <v>0</v>
      </c>
      <c r="F8" s="109">
        <v>0</v>
      </c>
      <c r="G8" s="109">
        <v>0</v>
      </c>
      <c r="H8" s="390">
        <v>0</v>
      </c>
      <c r="I8" s="391">
        <v>0</v>
      </c>
      <c r="J8" s="109">
        <v>0</v>
      </c>
      <c r="K8" s="109">
        <v>0</v>
      </c>
      <c r="L8" s="109">
        <v>0</v>
      </c>
      <c r="M8" s="109">
        <v>0</v>
      </c>
      <c r="N8" s="517">
        <f t="shared" si="2"/>
        <v>0</v>
      </c>
      <c r="O8" s="549">
        <f t="shared" si="3"/>
        <v>0</v>
      </c>
      <c r="P8" s="241">
        <f>'B3-FinPerf V'!K9</f>
        <v>0</v>
      </c>
      <c r="Q8" s="75">
        <f>'B3-FinPerf V'!L9</f>
        <v>0</v>
      </c>
      <c r="R8" s="76">
        <f>'B3-FinPerf V'!M9</f>
        <v>0</v>
      </c>
    </row>
    <row r="9" spans="1:18" ht="12.75" customHeight="1" x14ac:dyDescent="0.25">
      <c r="A9" s="129" t="str">
        <f>'B3-FinPerf V'!A10</f>
        <v>Vote 4 - Engineering Services</v>
      </c>
      <c r="B9" s="129"/>
      <c r="C9" s="391">
        <v>101279517.19000001</v>
      </c>
      <c r="D9" s="109">
        <v>107468817.88</v>
      </c>
      <c r="E9" s="109">
        <v>69240985.179999992</v>
      </c>
      <c r="F9" s="109">
        <v>87096537.409999996</v>
      </c>
      <c r="G9" s="109">
        <v>100691849.38</v>
      </c>
      <c r="H9" s="390">
        <v>110088199.81</v>
      </c>
      <c r="I9" s="391">
        <f>79319654.58-5152344.7</f>
        <v>74167309.879999995</v>
      </c>
      <c r="J9" s="109">
        <v>80356168</v>
      </c>
      <c r="K9" s="109">
        <f>94458168</f>
        <v>94458168</v>
      </c>
      <c r="L9" s="109">
        <v>99356168</v>
      </c>
      <c r="M9" s="109">
        <v>92356168</v>
      </c>
      <c r="N9" s="517">
        <f t="shared" si="2"/>
        <v>91714114.2700001</v>
      </c>
      <c r="O9" s="549">
        <f t="shared" si="3"/>
        <v>1108274003</v>
      </c>
      <c r="P9" s="241">
        <f>'B3-FinPerf V'!K10</f>
        <v>1108274003</v>
      </c>
      <c r="Q9" s="75">
        <f>'B3-FinPerf V'!L10</f>
        <v>1239759094.0163798</v>
      </c>
      <c r="R9" s="76">
        <f>'B3-FinPerf V'!M10</f>
        <v>1389975224.1960461</v>
      </c>
    </row>
    <row r="10" spans="1:18" ht="12.75" customHeight="1" x14ac:dyDescent="0.25">
      <c r="A10" s="129" t="str">
        <f>'B3-FinPerf V'!A11</f>
        <v>Vote 5 -  Community Services</v>
      </c>
      <c r="B10" s="129"/>
      <c r="C10" s="391">
        <v>6694990.0500000007</v>
      </c>
      <c r="D10" s="109">
        <v>6825797.2300000004</v>
      </c>
      <c r="E10" s="109">
        <v>6779403.29</v>
      </c>
      <c r="F10" s="109">
        <v>6528362.3999999994</v>
      </c>
      <c r="G10" s="109">
        <v>6961074.0999999996</v>
      </c>
      <c r="H10" s="390">
        <v>12463869.559999999</v>
      </c>
      <c r="I10" s="391">
        <v>6662503.4299999997</v>
      </c>
      <c r="J10" s="109">
        <v>14465821</v>
      </c>
      <c r="K10" s="109">
        <v>8928562</v>
      </c>
      <c r="L10" s="109">
        <v>14465821</v>
      </c>
      <c r="M10" s="109">
        <v>7896500</v>
      </c>
      <c r="N10" s="517">
        <f t="shared" si="2"/>
        <v>14918127.939999998</v>
      </c>
      <c r="O10" s="549">
        <f t="shared" si="3"/>
        <v>113590832</v>
      </c>
      <c r="P10" s="241">
        <f>'B3-FinPerf V'!K11</f>
        <v>113590832</v>
      </c>
      <c r="Q10" s="75">
        <f>'B3-FinPerf V'!L11</f>
        <v>122554701.51500002</v>
      </c>
      <c r="R10" s="76">
        <f>'B3-FinPerf V'!M11</f>
        <v>131792667.505445</v>
      </c>
    </row>
    <row r="11" spans="1:18" ht="12.75" customHeight="1" x14ac:dyDescent="0.25">
      <c r="A11" s="129" t="str">
        <f>'B3-FinPerf V'!A12</f>
        <v>Vote 6 - Community Development</v>
      </c>
      <c r="B11" s="129"/>
      <c r="C11" s="391">
        <v>177188.71000000002</v>
      </c>
      <c r="D11" s="109">
        <v>1687577.4299999995</v>
      </c>
      <c r="E11" s="109">
        <v>1220497.56</v>
      </c>
      <c r="F11" s="109">
        <v>406601.06</v>
      </c>
      <c r="G11" s="109">
        <v>176431.66000000003</v>
      </c>
      <c r="H11" s="390">
        <v>408025.39999999997</v>
      </c>
      <c r="I11" s="391">
        <v>549582.4800000001</v>
      </c>
      <c r="J11" s="109">
        <v>1432321</v>
      </c>
      <c r="K11" s="109">
        <v>3809752</v>
      </c>
      <c r="L11" s="109">
        <v>2432321</v>
      </c>
      <c r="M11" s="109">
        <v>2222321</v>
      </c>
      <c r="N11" s="517">
        <f t="shared" si="2"/>
        <v>2665215.6999999993</v>
      </c>
      <c r="O11" s="549">
        <f t="shared" si="3"/>
        <v>17187835</v>
      </c>
      <c r="P11" s="241">
        <f>'B3-FinPerf V'!K12</f>
        <v>17187835</v>
      </c>
      <c r="Q11" s="75">
        <f>'B3-FinPerf V'!L12</f>
        <v>18304366.079999998</v>
      </c>
      <c r="R11" s="76">
        <f>'B3-FinPerf V'!M12</f>
        <v>19457158.026039999</v>
      </c>
    </row>
    <row r="12" spans="1:18" ht="12.75" customHeight="1" x14ac:dyDescent="0.25">
      <c r="A12" s="129" t="str">
        <f>'B3-FinPerf V'!A13</f>
        <v>Vote 7 - Corporate  and Shared Services</v>
      </c>
      <c r="B12" s="129"/>
      <c r="C12" s="391">
        <v>126.32</v>
      </c>
      <c r="D12" s="109">
        <v>161.22999999999999</v>
      </c>
      <c r="E12" s="109">
        <v>58.6</v>
      </c>
      <c r="F12" s="109">
        <v>0</v>
      </c>
      <c r="G12" s="109">
        <v>50.18</v>
      </c>
      <c r="H12" s="390">
        <v>0</v>
      </c>
      <c r="I12" s="391">
        <v>731471.95</v>
      </c>
      <c r="J12" s="109">
        <v>373260</v>
      </c>
      <c r="K12" s="109">
        <v>1042560</v>
      </c>
      <c r="L12" s="109">
        <v>730000</v>
      </c>
      <c r="M12" s="109">
        <v>673260</v>
      </c>
      <c r="N12" s="517">
        <f t="shared" si="2"/>
        <v>928161.7200000002</v>
      </c>
      <c r="O12" s="549">
        <f t="shared" si="3"/>
        <v>4479110</v>
      </c>
      <c r="P12" s="241">
        <f>'B3-FinPerf V'!K13</f>
        <v>4479110</v>
      </c>
      <c r="Q12" s="75">
        <f>'B3-FinPerf V'!L13</f>
        <v>4770255.12</v>
      </c>
      <c r="R12" s="76">
        <f>'B3-FinPerf V'!M13</f>
        <v>5070785.9875599993</v>
      </c>
    </row>
    <row r="13" spans="1:18" ht="12.75" customHeight="1" x14ac:dyDescent="0.25">
      <c r="A13" s="129" t="str">
        <f>'B3-FinPerf V'!A14</f>
        <v>Vote 8 - Planning and Economic Development</v>
      </c>
      <c r="B13" s="129"/>
      <c r="C13" s="391">
        <v>2713126.4499999997</v>
      </c>
      <c r="D13" s="109">
        <v>1236616.95</v>
      </c>
      <c r="E13" s="109">
        <v>1487140.6800000002</v>
      </c>
      <c r="F13" s="109">
        <v>1003548.8400000001</v>
      </c>
      <c r="G13" s="109">
        <v>891413.16999999993</v>
      </c>
      <c r="H13" s="390">
        <v>763609.6399999999</v>
      </c>
      <c r="I13" s="391">
        <v>725582.22</v>
      </c>
      <c r="J13" s="109">
        <v>4145550</v>
      </c>
      <c r="K13" s="109">
        <v>417352</v>
      </c>
      <c r="L13" s="109">
        <v>13717352</v>
      </c>
      <c r="M13" s="109">
        <v>6435200</v>
      </c>
      <c r="N13" s="517">
        <f t="shared" si="2"/>
        <v>11071711.050000001</v>
      </c>
      <c r="O13" s="549">
        <f t="shared" si="3"/>
        <v>44608203</v>
      </c>
      <c r="P13" s="241">
        <f>'B3-FinPerf V'!K14</f>
        <v>44608203</v>
      </c>
      <c r="Q13" s="75">
        <f>'B3-FinPerf V'!L14</f>
        <v>47479855.310000002</v>
      </c>
      <c r="R13" s="76">
        <f>'B3-FinPerf V'!M14</f>
        <v>50450469.817530006</v>
      </c>
    </row>
    <row r="14" spans="1:18" ht="12.75" customHeight="1" x14ac:dyDescent="0.25">
      <c r="A14" s="129" t="str">
        <f>'B3-FinPerf V'!A15</f>
        <v>Vote 9 - Budget and Treasury</v>
      </c>
      <c r="B14" s="129"/>
      <c r="C14" s="391">
        <v>412775239.40999991</v>
      </c>
      <c r="D14" s="109">
        <v>37628031.07</v>
      </c>
      <c r="E14" s="109">
        <v>52199700.799999997</v>
      </c>
      <c r="F14" s="109">
        <v>81049169.850000009</v>
      </c>
      <c r="G14" s="109">
        <v>60093963.349999994</v>
      </c>
      <c r="H14" s="390">
        <v>119785797.37</v>
      </c>
      <c r="I14" s="391">
        <v>37469358.880000003</v>
      </c>
      <c r="J14" s="109">
        <v>122663802</v>
      </c>
      <c r="K14" s="109">
        <v>162333259</v>
      </c>
      <c r="L14" s="109">
        <v>216496000</v>
      </c>
      <c r="M14" s="109">
        <v>179347473</v>
      </c>
      <c r="N14" s="517">
        <f t="shared" si="2"/>
        <v>179488222.26999998</v>
      </c>
      <c r="O14" s="549">
        <f t="shared" si="3"/>
        <v>1661330017</v>
      </c>
      <c r="P14" s="241">
        <f>'B3-FinPerf V'!K15</f>
        <v>1661330017</v>
      </c>
      <c r="Q14" s="75">
        <f>'B3-FinPerf V'!L15</f>
        <v>1521012683.96</v>
      </c>
      <c r="R14" s="76">
        <f>'B3-FinPerf V'!M15</f>
        <v>1592203601.3956001</v>
      </c>
    </row>
    <row r="15" spans="1:18" ht="12.75" customHeight="1" x14ac:dyDescent="0.25">
      <c r="A15" s="129" t="str">
        <f>'B3-FinPerf V'!A16</f>
        <v>Vote 10 - Transport Operations</v>
      </c>
      <c r="B15" s="129"/>
      <c r="C15" s="391"/>
      <c r="D15" s="109"/>
      <c r="E15" s="109"/>
      <c r="F15" s="109"/>
      <c r="G15" s="109"/>
      <c r="H15" s="390"/>
      <c r="I15" s="391"/>
      <c r="J15" s="109"/>
      <c r="K15" s="109"/>
      <c r="L15" s="109"/>
      <c r="M15" s="109"/>
      <c r="N15" s="517">
        <f t="shared" si="2"/>
        <v>0</v>
      </c>
      <c r="O15" s="549"/>
      <c r="P15" s="241">
        <f>'B3-FinPerf V'!K16</f>
        <v>0</v>
      </c>
      <c r="Q15" s="75">
        <f>'B3-FinPerf V'!L16</f>
        <v>0</v>
      </c>
      <c r="R15" s="76">
        <f>'B3-FinPerf V'!M16</f>
        <v>0</v>
      </c>
    </row>
    <row r="16" spans="1:18" ht="12.75" customHeight="1" x14ac:dyDescent="0.25">
      <c r="A16" s="129" t="str">
        <f>'B3-FinPerf V'!A17</f>
        <v>Vote 11 - [NAME OF VOTE 11]</v>
      </c>
      <c r="B16" s="129"/>
      <c r="C16" s="391"/>
      <c r="D16" s="109"/>
      <c r="E16" s="109"/>
      <c r="F16" s="109"/>
      <c r="G16" s="109"/>
      <c r="H16" s="390"/>
      <c r="I16" s="391"/>
      <c r="J16" s="109"/>
      <c r="K16" s="109"/>
      <c r="L16" s="109"/>
      <c r="M16" s="109"/>
      <c r="N16" s="517">
        <f t="shared" si="2"/>
        <v>0</v>
      </c>
      <c r="O16" s="549"/>
      <c r="P16" s="241">
        <f>'B3-FinPerf V'!K17</f>
        <v>0</v>
      </c>
      <c r="Q16" s="75">
        <f>'B3-FinPerf V'!L17</f>
        <v>0</v>
      </c>
      <c r="R16" s="76">
        <f>'B3-FinPerf V'!M17</f>
        <v>0</v>
      </c>
    </row>
    <row r="17" spans="1:18" ht="12.75" customHeight="1" x14ac:dyDescent="0.25">
      <c r="A17" s="129" t="str">
        <f>'B3-FinPerf V'!A18</f>
        <v>Vote 12 - [NAME OF VOTE 12]</v>
      </c>
      <c r="B17" s="129"/>
      <c r="C17" s="391"/>
      <c r="D17" s="109"/>
      <c r="E17" s="109"/>
      <c r="F17" s="109"/>
      <c r="G17" s="109"/>
      <c r="H17" s="390"/>
      <c r="I17" s="391"/>
      <c r="J17" s="109"/>
      <c r="K17" s="109"/>
      <c r="L17" s="109"/>
      <c r="M17" s="109"/>
      <c r="N17" s="517">
        <f t="shared" si="2"/>
        <v>0</v>
      </c>
      <c r="O17" s="549"/>
      <c r="P17" s="241">
        <f>'B3-FinPerf V'!K18</f>
        <v>0</v>
      </c>
      <c r="Q17" s="75">
        <f>'B3-FinPerf V'!L18</f>
        <v>0</v>
      </c>
      <c r="R17" s="76">
        <f>'B3-FinPerf V'!M18</f>
        <v>0</v>
      </c>
    </row>
    <row r="18" spans="1:18" ht="12.75" customHeight="1" x14ac:dyDescent="0.25">
      <c r="A18" s="129" t="str">
        <f>'B3-FinPerf V'!A19</f>
        <v>Vote 13 - [NAME OF VOTE 13]</v>
      </c>
      <c r="B18" s="129"/>
      <c r="C18" s="391"/>
      <c r="D18" s="109"/>
      <c r="E18" s="109"/>
      <c r="F18" s="109"/>
      <c r="G18" s="109"/>
      <c r="H18" s="390"/>
      <c r="I18" s="391"/>
      <c r="J18" s="109"/>
      <c r="K18" s="109"/>
      <c r="L18" s="109"/>
      <c r="M18" s="109"/>
      <c r="N18" s="517">
        <f t="shared" si="2"/>
        <v>0</v>
      </c>
      <c r="O18" s="549"/>
      <c r="P18" s="241">
        <f>'B3-FinPerf V'!K19</f>
        <v>0</v>
      </c>
      <c r="Q18" s="75">
        <f>'B3-FinPerf V'!L19</f>
        <v>0</v>
      </c>
      <c r="R18" s="76">
        <f>'B3-FinPerf V'!M19</f>
        <v>0</v>
      </c>
    </row>
    <row r="19" spans="1:18" ht="12.75" customHeight="1" x14ac:dyDescent="0.25">
      <c r="A19" s="129" t="str">
        <f>'B3-FinPerf V'!A20</f>
        <v>Vote 14 - [NAME OF VOTE 14]</v>
      </c>
      <c r="B19" s="129"/>
      <c r="C19" s="391"/>
      <c r="D19" s="109"/>
      <c r="E19" s="109"/>
      <c r="F19" s="109"/>
      <c r="G19" s="109"/>
      <c r="H19" s="390"/>
      <c r="I19" s="391"/>
      <c r="J19" s="109"/>
      <c r="K19" s="109"/>
      <c r="L19" s="109"/>
      <c r="M19" s="109"/>
      <c r="N19" s="517">
        <f t="shared" si="2"/>
        <v>0</v>
      </c>
      <c r="O19" s="549"/>
      <c r="P19" s="241">
        <f>'B3-FinPerf V'!K20</f>
        <v>0</v>
      </c>
      <c r="Q19" s="75">
        <f>'B3-FinPerf V'!L20</f>
        <v>0</v>
      </c>
      <c r="R19" s="76">
        <f>'B3-FinPerf V'!M20</f>
        <v>0</v>
      </c>
    </row>
    <row r="20" spans="1:18" ht="12.75" customHeight="1" x14ac:dyDescent="0.25">
      <c r="A20" s="129" t="str">
        <f>'B3-FinPerf V'!A21</f>
        <v>Vote 15 - [NAME OF VOTE 15]</v>
      </c>
      <c r="B20" s="129"/>
      <c r="C20" s="391"/>
      <c r="D20" s="109"/>
      <c r="E20" s="109"/>
      <c r="F20" s="109"/>
      <c r="G20" s="109"/>
      <c r="H20" s="390"/>
      <c r="I20" s="391"/>
      <c r="J20" s="109"/>
      <c r="K20" s="109"/>
      <c r="L20" s="109"/>
      <c r="M20" s="109"/>
      <c r="N20" s="517">
        <f t="shared" si="2"/>
        <v>0</v>
      </c>
      <c r="O20" s="549">
        <f>SUM(C20:N20)</f>
        <v>0</v>
      </c>
      <c r="P20" s="241">
        <f>'B3-FinPerf V'!K21</f>
        <v>0</v>
      </c>
      <c r="Q20" s="75">
        <f>'B3-FinPerf V'!L21</f>
        <v>0</v>
      </c>
      <c r="R20" s="76">
        <f>'B3-FinPerf V'!M21</f>
        <v>0</v>
      </c>
    </row>
    <row r="21" spans="1:18" ht="12.75" customHeight="1" x14ac:dyDescent="0.25">
      <c r="A21" s="550" t="str">
        <f>'B3-FinPerf V'!A22</f>
        <v>Total Revenue by Vote</v>
      </c>
      <c r="B21" s="550"/>
      <c r="C21" s="305">
        <f t="shared" ref="C21:R21" si="4">SUM(C6:C20)</f>
        <v>523640188.12999988</v>
      </c>
      <c r="D21" s="151">
        <f t="shared" si="4"/>
        <v>154847001.78999999</v>
      </c>
      <c r="E21" s="151">
        <f t="shared" si="4"/>
        <v>130927786.11</v>
      </c>
      <c r="F21" s="151">
        <f t="shared" si="4"/>
        <v>176084219.56</v>
      </c>
      <c r="G21" s="151">
        <f t="shared" si="4"/>
        <v>168814781.83999997</v>
      </c>
      <c r="H21" s="530">
        <f t="shared" si="4"/>
        <v>243509501.78000003</v>
      </c>
      <c r="I21" s="305">
        <f t="shared" si="4"/>
        <v>120305808.84</v>
      </c>
      <c r="J21" s="151">
        <f t="shared" si="4"/>
        <v>223436922</v>
      </c>
      <c r="K21" s="151">
        <f t="shared" si="4"/>
        <v>270989653</v>
      </c>
      <c r="L21" s="151">
        <f t="shared" si="4"/>
        <v>347197662</v>
      </c>
      <c r="M21" s="151">
        <f t="shared" si="4"/>
        <v>288930922</v>
      </c>
      <c r="N21" s="530">
        <f t="shared" si="4"/>
        <v>300785552.95000005</v>
      </c>
      <c r="O21" s="551">
        <f t="shared" si="4"/>
        <v>2949470000</v>
      </c>
      <c r="P21" s="305">
        <f t="shared" si="4"/>
        <v>2949470000</v>
      </c>
      <c r="Q21" s="151">
        <f t="shared" si="4"/>
        <v>2953880956.00138</v>
      </c>
      <c r="R21" s="152">
        <f t="shared" si="4"/>
        <v>3188949906.9282212</v>
      </c>
    </row>
    <row r="22" spans="1:18" ht="5.0999999999999996" customHeight="1" x14ac:dyDescent="0.25">
      <c r="A22" s="550"/>
      <c r="B22" s="136"/>
      <c r="C22" s="241"/>
      <c r="D22" s="75"/>
      <c r="E22" s="75"/>
      <c r="F22" s="75"/>
      <c r="G22" s="75"/>
      <c r="H22" s="517"/>
      <c r="I22" s="241"/>
      <c r="J22" s="75"/>
      <c r="K22" s="75"/>
      <c r="L22" s="75"/>
      <c r="M22" s="75"/>
      <c r="N22" s="517"/>
      <c r="O22" s="549"/>
      <c r="P22" s="241"/>
      <c r="Q22" s="75"/>
      <c r="R22" s="76"/>
    </row>
    <row r="23" spans="1:18" ht="12.75" customHeight="1" x14ac:dyDescent="0.25">
      <c r="A23" s="550" t="str">
        <f>'B3-FinPerf V'!A24</f>
        <v>Expenditure by Vote</v>
      </c>
      <c r="B23" s="126"/>
      <c r="C23" s="241"/>
      <c r="D23" s="75"/>
      <c r="E23" s="75"/>
      <c r="F23" s="75"/>
      <c r="G23" s="75"/>
      <c r="H23" s="517"/>
      <c r="I23" s="241"/>
      <c r="J23" s="75"/>
      <c r="K23" s="75"/>
      <c r="L23" s="75"/>
      <c r="M23" s="75"/>
      <c r="N23" s="517"/>
      <c r="O23" s="549"/>
      <c r="P23" s="241"/>
      <c r="Q23" s="75"/>
      <c r="R23" s="76"/>
    </row>
    <row r="24" spans="1:18" ht="12.75" customHeight="1" x14ac:dyDescent="0.25">
      <c r="A24" s="129" t="str">
        <f>'B3-FinPerf V'!A25</f>
        <v>Vote 1 - COUNCIL</v>
      </c>
      <c r="B24" s="129"/>
      <c r="C24" s="391">
        <v>19140627.730000004</v>
      </c>
      <c r="D24" s="109">
        <v>5244777.1499999994</v>
      </c>
      <c r="E24" s="109">
        <v>8736404.959999999</v>
      </c>
      <c r="F24" s="109">
        <v>10004710.24</v>
      </c>
      <c r="G24" s="109">
        <v>8869264.5299999993</v>
      </c>
      <c r="H24" s="390">
        <v>6159519.4799999995</v>
      </c>
      <c r="I24" s="391">
        <v>7414956.1899999985</v>
      </c>
      <c r="J24" s="109">
        <v>10248083</v>
      </c>
      <c r="K24" s="109">
        <v>10359285</v>
      </c>
      <c r="L24" s="109">
        <v>17373975</v>
      </c>
      <c r="M24" s="109">
        <v>10466016</v>
      </c>
      <c r="N24" s="517">
        <f t="shared" ref="N24:N38" si="5">P24-SUM(C24:M24)</f>
        <v>22247446.719999999</v>
      </c>
      <c r="O24" s="549">
        <f t="shared" ref="O24:O38" si="6">SUM(C24:N24)</f>
        <v>136265066</v>
      </c>
      <c r="P24" s="241">
        <f>'B3-FinPerf V'!K25</f>
        <v>136265066</v>
      </c>
      <c r="Q24" s="75">
        <f>'B3-FinPerf V'!L25</f>
        <v>134978856.51820999</v>
      </c>
      <c r="R24" s="76">
        <f>'B3-FinPerf V'!M25</f>
        <v>143482517.20885724</v>
      </c>
    </row>
    <row r="25" spans="1:18" ht="12.75" customHeight="1" x14ac:dyDescent="0.25">
      <c r="A25" s="129" t="str">
        <f>'B3-FinPerf V'!A26</f>
        <v>Vote 2 - Office of the Municipal Manger</v>
      </c>
      <c r="B25" s="129"/>
      <c r="C25" s="391">
        <v>1519760.9800000002</v>
      </c>
      <c r="D25" s="109">
        <v>1720488.67</v>
      </c>
      <c r="E25" s="109">
        <v>1013672.27</v>
      </c>
      <c r="F25" s="109">
        <v>1849523.75</v>
      </c>
      <c r="G25" s="109">
        <v>2593930.96</v>
      </c>
      <c r="H25" s="390">
        <v>1940375.19</v>
      </c>
      <c r="I25" s="391">
        <v>1303361.0500000003</v>
      </c>
      <c r="J25" s="109">
        <v>2236615</v>
      </c>
      <c r="K25" s="109">
        <v>1737801</v>
      </c>
      <c r="L25" s="109">
        <v>1033416</v>
      </c>
      <c r="M25" s="109">
        <v>1806727</v>
      </c>
      <c r="N25" s="517">
        <f t="shared" si="5"/>
        <v>8941015.1300000027</v>
      </c>
      <c r="O25" s="549">
        <f t="shared" si="6"/>
        <v>27696687</v>
      </c>
      <c r="P25" s="241">
        <f>'B3-FinPerf V'!K26</f>
        <v>27696687</v>
      </c>
      <c r="Q25" s="75">
        <f>'B3-FinPerf V'!L26</f>
        <v>25755628.876429997</v>
      </c>
      <c r="R25" s="76">
        <f>'B3-FinPerf V'!M26</f>
        <v>27378218.241799287</v>
      </c>
    </row>
    <row r="26" spans="1:18" ht="12.75" customHeight="1" x14ac:dyDescent="0.25">
      <c r="A26" s="129" t="str">
        <f>'B3-FinPerf V'!A27</f>
        <v>Vote 3 - Strategic Planning Monitoring and Evaluation</v>
      </c>
      <c r="B26" s="129"/>
      <c r="C26" s="391">
        <v>1588325.7399999998</v>
      </c>
      <c r="D26" s="109">
        <v>1525249.7400000002</v>
      </c>
      <c r="E26" s="109">
        <v>1640669.3099999998</v>
      </c>
      <c r="F26" s="109">
        <v>1894246.2799999998</v>
      </c>
      <c r="G26" s="109">
        <v>2327222.5499999998</v>
      </c>
      <c r="H26" s="390">
        <v>2290313.7199999997</v>
      </c>
      <c r="I26" s="391">
        <v>1746729.4500000002</v>
      </c>
      <c r="J26" s="109">
        <v>2016409</v>
      </c>
      <c r="K26" s="109">
        <v>2558410</v>
      </c>
      <c r="L26" s="109">
        <v>2031871</v>
      </c>
      <c r="M26" s="109">
        <v>1912056</v>
      </c>
      <c r="N26" s="517">
        <f t="shared" si="5"/>
        <v>2109809.2100000009</v>
      </c>
      <c r="O26" s="549">
        <f t="shared" si="6"/>
        <v>23641312</v>
      </c>
      <c r="P26" s="241">
        <f>'B3-FinPerf V'!K27</f>
        <v>23641312</v>
      </c>
      <c r="Q26" s="75">
        <f>'B3-FinPerf V'!L27</f>
        <v>24406394.140089996</v>
      </c>
      <c r="R26" s="76">
        <f>'B3-FinPerf V'!M27</f>
        <v>25943982.430915669</v>
      </c>
    </row>
    <row r="27" spans="1:18" ht="12.75" customHeight="1" x14ac:dyDescent="0.25">
      <c r="A27" s="129" t="str">
        <f>'B3-FinPerf V'!A28</f>
        <v>Vote 4 - Engineering Services</v>
      </c>
      <c r="B27" s="129"/>
      <c r="C27" s="391">
        <v>112769566.72999997</v>
      </c>
      <c r="D27" s="109">
        <v>115764168.18999997</v>
      </c>
      <c r="E27" s="109">
        <v>90942927.689999983</v>
      </c>
      <c r="F27" s="109">
        <v>87869347.24000001</v>
      </c>
      <c r="G27" s="109">
        <v>64732559.29999999</v>
      </c>
      <c r="H27" s="390">
        <v>53821821.390000001</v>
      </c>
      <c r="I27" s="391">
        <v>90817454.770000026</v>
      </c>
      <c r="J27" s="109">
        <f>100600753-1442000</f>
        <v>99158753</v>
      </c>
      <c r="K27" s="109">
        <f>96351605+36172790</f>
        <v>132524395</v>
      </c>
      <c r="L27" s="109">
        <f>99351605+21454000</f>
        <v>120805605</v>
      </c>
      <c r="M27" s="109">
        <f>107314538+29623227</f>
        <v>136937765</v>
      </c>
      <c r="N27" s="517">
        <f t="shared" si="5"/>
        <v>146380749.69000006</v>
      </c>
      <c r="O27" s="549">
        <f t="shared" si="6"/>
        <v>1252525113</v>
      </c>
      <c r="P27" s="241">
        <f>'B3-FinPerf V'!K28</f>
        <v>1252525113</v>
      </c>
      <c r="Q27" s="75">
        <f>'B3-FinPerf V'!L28</f>
        <v>1252627007.0067997</v>
      </c>
      <c r="R27" s="76">
        <f>'B3-FinPerf V'!M28</f>
        <v>1301778486.5482287</v>
      </c>
    </row>
    <row r="28" spans="1:18" ht="12.75" customHeight="1" x14ac:dyDescent="0.25">
      <c r="A28" s="129" t="str">
        <f>'B3-FinPerf V'!A29</f>
        <v>Vote 5 -  Community Services</v>
      </c>
      <c r="B28" s="129"/>
      <c r="C28" s="391">
        <v>19229322.600000005</v>
      </c>
      <c r="D28" s="109">
        <v>17896450.069999997</v>
      </c>
      <c r="E28" s="109">
        <v>17381971.839999996</v>
      </c>
      <c r="F28" s="109">
        <v>26776291.77</v>
      </c>
      <c r="G28" s="109">
        <v>21824306.020000003</v>
      </c>
      <c r="H28" s="390">
        <v>23474787.350000001</v>
      </c>
      <c r="I28" s="391">
        <v>21637507.619999997</v>
      </c>
      <c r="J28" s="109">
        <v>43908557</v>
      </c>
      <c r="K28" s="109">
        <v>23889993</v>
      </c>
      <c r="L28" s="109">
        <v>24151802</v>
      </c>
      <c r="M28" s="109">
        <v>25099412</v>
      </c>
      <c r="N28" s="517">
        <f t="shared" si="5"/>
        <v>22949401.729999989</v>
      </c>
      <c r="O28" s="549">
        <f t="shared" si="6"/>
        <v>288219803</v>
      </c>
      <c r="P28" s="241">
        <f>'B3-FinPerf V'!K29</f>
        <v>288219803</v>
      </c>
      <c r="Q28" s="75">
        <f>'B3-FinPerf V'!L29</f>
        <v>301878256.15729994</v>
      </c>
      <c r="R28" s="76">
        <f>'B3-FinPerf V'!M29</f>
        <v>320896498.47139841</v>
      </c>
    </row>
    <row r="29" spans="1:18" ht="12.75" customHeight="1" x14ac:dyDescent="0.25">
      <c r="A29" s="129" t="str">
        <f>'B3-FinPerf V'!A30</f>
        <v>Vote 6 - Community Development</v>
      </c>
      <c r="B29" s="129"/>
      <c r="C29" s="391">
        <v>6678942.6600000011</v>
      </c>
      <c r="D29" s="109">
        <v>6806921.9099999983</v>
      </c>
      <c r="E29" s="109">
        <v>8230651.5099999998</v>
      </c>
      <c r="F29" s="109">
        <v>10986866.25</v>
      </c>
      <c r="G29" s="109">
        <v>10563423.32</v>
      </c>
      <c r="H29" s="390">
        <v>11342281.110000001</v>
      </c>
      <c r="I29" s="391">
        <v>6644992.8999999994</v>
      </c>
      <c r="J29" s="109">
        <v>19336637</v>
      </c>
      <c r="K29" s="109">
        <v>16419951</v>
      </c>
      <c r="L29" s="109">
        <v>15576424</v>
      </c>
      <c r="M29" s="109">
        <v>15277559</v>
      </c>
      <c r="N29" s="517">
        <f t="shared" si="5"/>
        <v>54947742.340000004</v>
      </c>
      <c r="O29" s="549">
        <f t="shared" si="6"/>
        <v>182812393</v>
      </c>
      <c r="P29" s="241">
        <f>'B3-FinPerf V'!K30</f>
        <v>182812393</v>
      </c>
      <c r="Q29" s="75">
        <f>'B3-FinPerf V'!L30</f>
        <v>189182683.61579993</v>
      </c>
      <c r="R29" s="76">
        <f>'B3-FinPerf V'!M30</f>
        <v>201101029.67359552</v>
      </c>
    </row>
    <row r="30" spans="1:18" ht="12.75" customHeight="1" x14ac:dyDescent="0.25">
      <c r="A30" s="129" t="str">
        <f>'B3-FinPerf V'!A31</f>
        <v>Vote 7 - Corporate  and Shared Services</v>
      </c>
      <c r="B30" s="129"/>
      <c r="C30" s="391">
        <v>8412663.4699999988</v>
      </c>
      <c r="D30" s="109">
        <v>11934586.209999999</v>
      </c>
      <c r="E30" s="109">
        <v>17977365.419999998</v>
      </c>
      <c r="F30" s="109">
        <v>22356578.779999994</v>
      </c>
      <c r="G30" s="109">
        <v>9446527.9199999999</v>
      </c>
      <c r="H30" s="390">
        <v>20194110.25</v>
      </c>
      <c r="I30" s="391">
        <v>15736522.1</v>
      </c>
      <c r="J30" s="109">
        <v>12184159</v>
      </c>
      <c r="K30" s="109">
        <v>10590732</v>
      </c>
      <c r="L30" s="109">
        <v>11841539</v>
      </c>
      <c r="M30" s="109">
        <v>10802604</v>
      </c>
      <c r="N30" s="517">
        <f t="shared" si="5"/>
        <v>3168621.8500000238</v>
      </c>
      <c r="O30" s="549">
        <f t="shared" si="6"/>
        <v>154646010</v>
      </c>
      <c r="P30" s="241">
        <f>'B3-FinPerf V'!K31</f>
        <v>154646010</v>
      </c>
      <c r="Q30" s="75">
        <f>'B3-FinPerf V'!L31</f>
        <v>161505499.66576001</v>
      </c>
      <c r="R30" s="76">
        <f>'B3-FinPerf V'!M31</f>
        <v>171680271.7147029</v>
      </c>
    </row>
    <row r="31" spans="1:18" ht="12.75" customHeight="1" x14ac:dyDescent="0.25">
      <c r="A31" s="129" t="str">
        <f>'B3-FinPerf V'!A32</f>
        <v>Vote 8 - Planning and Economic Development</v>
      </c>
      <c r="B31" s="129"/>
      <c r="C31" s="391">
        <v>4190982.48</v>
      </c>
      <c r="D31" s="109">
        <v>2578309.5200000005</v>
      </c>
      <c r="E31" s="109">
        <v>4009807.6199999996</v>
      </c>
      <c r="F31" s="109">
        <v>4062027.9</v>
      </c>
      <c r="G31" s="109">
        <v>3187208.4499999997</v>
      </c>
      <c r="H31" s="390">
        <v>4161936.22</v>
      </c>
      <c r="I31" s="391">
        <v>3075424.0599999996</v>
      </c>
      <c r="J31" s="109">
        <v>9072890</v>
      </c>
      <c r="K31" s="109">
        <v>10010570</v>
      </c>
      <c r="L31" s="109">
        <v>11784237</v>
      </c>
      <c r="M31" s="109">
        <v>10148066</v>
      </c>
      <c r="N31" s="517">
        <f t="shared" si="5"/>
        <v>16839251.75</v>
      </c>
      <c r="O31" s="549">
        <f t="shared" si="6"/>
        <v>83120711</v>
      </c>
      <c r="P31" s="241">
        <f>'B3-FinPerf V'!K32</f>
        <v>83120711</v>
      </c>
      <c r="Q31" s="75">
        <f>'B3-FinPerf V'!L32</f>
        <v>85107611.052139983</v>
      </c>
      <c r="R31" s="76">
        <f>'B3-FinPerf V'!M32</f>
        <v>90469369.528434828</v>
      </c>
    </row>
    <row r="32" spans="1:18" ht="12.75" customHeight="1" x14ac:dyDescent="0.25">
      <c r="A32" s="129" t="str">
        <f>'B3-FinPerf V'!A33</f>
        <v>Vote 9 - Budget and Treasury</v>
      </c>
      <c r="B32" s="129"/>
      <c r="C32" s="391">
        <v>8374712.96</v>
      </c>
      <c r="D32" s="109">
        <f>12585652.63+338316.83</f>
        <v>12923969.460000001</v>
      </c>
      <c r="E32" s="109">
        <v>11728809.990000002</v>
      </c>
      <c r="F32" s="109">
        <v>11951214.380000003</v>
      </c>
      <c r="G32" s="109">
        <v>13665342.449999999</v>
      </c>
      <c r="H32" s="390">
        <v>30150072.239999998</v>
      </c>
      <c r="I32" s="391">
        <v>13023554.67</v>
      </c>
      <c r="J32" s="109">
        <v>12024380</v>
      </c>
      <c r="K32" s="109">
        <v>12941468</v>
      </c>
      <c r="L32" s="109">
        <v>12047062</v>
      </c>
      <c r="M32" s="109">
        <v>12025361</v>
      </c>
      <c r="N32" s="517">
        <f t="shared" si="5"/>
        <v>4970426.849999994</v>
      </c>
      <c r="O32" s="549">
        <f t="shared" si="6"/>
        <v>155826374</v>
      </c>
      <c r="P32" s="241">
        <f>'B3-FinPerf V'!K33</f>
        <v>155826374</v>
      </c>
      <c r="Q32" s="75">
        <f>'B3-FinPerf V'!L33</f>
        <v>164466883.70933995</v>
      </c>
      <c r="R32" s="76">
        <f>'B3-FinPerf V'!M33</f>
        <v>174816969.56902838</v>
      </c>
    </row>
    <row r="33" spans="1:18" ht="12.75" customHeight="1" x14ac:dyDescent="0.25">
      <c r="A33" s="129" t="str">
        <f>'B3-FinPerf V'!A34</f>
        <v>Vote 10 - Transport Operations</v>
      </c>
      <c r="B33" s="129"/>
      <c r="C33" s="391">
        <v>708540.40999999992</v>
      </c>
      <c r="D33" s="109">
        <v>1505007.8999999997</v>
      </c>
      <c r="E33" s="109">
        <v>690748.54999999981</v>
      </c>
      <c r="F33" s="109">
        <v>1197705.3500000001</v>
      </c>
      <c r="G33" s="109">
        <v>939419.02999999991</v>
      </c>
      <c r="H33" s="390">
        <v>1885346.31</v>
      </c>
      <c r="I33" s="391">
        <v>710444.51</v>
      </c>
      <c r="J33" s="109">
        <v>1756908</v>
      </c>
      <c r="K33" s="109">
        <v>1422770</v>
      </c>
      <c r="L33" s="109">
        <v>1555742</v>
      </c>
      <c r="M33" s="109">
        <v>1414767</v>
      </c>
      <c r="N33" s="517">
        <f t="shared" si="5"/>
        <v>3429131.9400000013</v>
      </c>
      <c r="O33" s="549">
        <f t="shared" si="6"/>
        <v>17216531</v>
      </c>
      <c r="P33" s="241">
        <f>'B3-FinPerf V'!K34</f>
        <v>17216531</v>
      </c>
      <c r="Q33" s="75">
        <f>'B3-FinPerf V'!L34</f>
        <v>18214193.957499001</v>
      </c>
      <c r="R33" s="76">
        <f>'B3-FinPerf V'!M34</f>
        <v>19361687.306827102</v>
      </c>
    </row>
    <row r="34" spans="1:18" ht="12.75" customHeight="1" x14ac:dyDescent="0.25">
      <c r="A34" s="129" t="str">
        <f>'B3-FinPerf V'!A35</f>
        <v>Vote 11 - [NAME OF VOTE 11]</v>
      </c>
      <c r="B34" s="129"/>
      <c r="C34" s="391"/>
      <c r="D34" s="109"/>
      <c r="E34" s="109"/>
      <c r="F34" s="109"/>
      <c r="G34" s="109">
        <v>0</v>
      </c>
      <c r="H34" s="390"/>
      <c r="I34" s="391">
        <v>0</v>
      </c>
      <c r="J34" s="109"/>
      <c r="K34" s="109"/>
      <c r="L34" s="109"/>
      <c r="M34" s="109"/>
      <c r="N34" s="517">
        <f t="shared" si="5"/>
        <v>0</v>
      </c>
      <c r="O34" s="549">
        <f t="shared" si="6"/>
        <v>0</v>
      </c>
      <c r="P34" s="241">
        <f>'B3-FinPerf V'!K35</f>
        <v>0</v>
      </c>
      <c r="Q34" s="75">
        <f>'B3-FinPerf V'!L35</f>
        <v>0</v>
      </c>
      <c r="R34" s="76">
        <f>'B3-FinPerf V'!M35</f>
        <v>0</v>
      </c>
    </row>
    <row r="35" spans="1:18" ht="12.75" customHeight="1" x14ac:dyDescent="0.25">
      <c r="A35" s="129" t="str">
        <f>'B3-FinPerf V'!A36</f>
        <v>Vote 12 - [NAME OF VOTE 12]</v>
      </c>
      <c r="B35" s="129"/>
      <c r="C35" s="391"/>
      <c r="D35" s="109"/>
      <c r="E35" s="109"/>
      <c r="F35" s="109"/>
      <c r="G35" s="109"/>
      <c r="H35" s="390"/>
      <c r="I35" s="391"/>
      <c r="J35" s="109"/>
      <c r="K35" s="109"/>
      <c r="L35" s="109"/>
      <c r="M35" s="109"/>
      <c r="N35" s="517">
        <f t="shared" si="5"/>
        <v>0</v>
      </c>
      <c r="O35" s="549">
        <f t="shared" si="6"/>
        <v>0</v>
      </c>
      <c r="P35" s="241">
        <f>'B3-FinPerf V'!K36</f>
        <v>0</v>
      </c>
      <c r="Q35" s="75">
        <f>'B3-FinPerf V'!L36</f>
        <v>0</v>
      </c>
      <c r="R35" s="76">
        <f>'B3-FinPerf V'!M36</f>
        <v>0</v>
      </c>
    </row>
    <row r="36" spans="1:18" ht="12.75" customHeight="1" x14ac:dyDescent="0.25">
      <c r="A36" s="129" t="str">
        <f>'B3-FinPerf V'!A37</f>
        <v>Vote 13 - [NAME OF VOTE 13]</v>
      </c>
      <c r="B36" s="129"/>
      <c r="C36" s="391"/>
      <c r="D36" s="109"/>
      <c r="E36" s="109"/>
      <c r="F36" s="109"/>
      <c r="G36" s="109"/>
      <c r="H36" s="390"/>
      <c r="I36" s="391"/>
      <c r="J36" s="109"/>
      <c r="K36" s="109"/>
      <c r="L36" s="109"/>
      <c r="M36" s="109"/>
      <c r="N36" s="517">
        <f t="shared" si="5"/>
        <v>0</v>
      </c>
      <c r="O36" s="549">
        <f t="shared" si="6"/>
        <v>0</v>
      </c>
      <c r="P36" s="241">
        <f>'B3-FinPerf V'!K37</f>
        <v>0</v>
      </c>
      <c r="Q36" s="75">
        <f>'B3-FinPerf V'!L37</f>
        <v>0</v>
      </c>
      <c r="R36" s="76">
        <f>'B3-FinPerf V'!M37</f>
        <v>0</v>
      </c>
    </row>
    <row r="37" spans="1:18" ht="12.75" customHeight="1" x14ac:dyDescent="0.25">
      <c r="A37" s="129" t="str">
        <f>'B3-FinPerf V'!A38</f>
        <v>Vote 14 - [NAME OF VOTE 14]</v>
      </c>
      <c r="B37" s="129"/>
      <c r="C37" s="391"/>
      <c r="D37" s="109"/>
      <c r="E37" s="109"/>
      <c r="F37" s="109"/>
      <c r="G37" s="109"/>
      <c r="H37" s="390"/>
      <c r="I37" s="391"/>
      <c r="J37" s="109"/>
      <c r="K37" s="109"/>
      <c r="L37" s="109"/>
      <c r="M37" s="109"/>
      <c r="N37" s="517">
        <f t="shared" si="5"/>
        <v>0</v>
      </c>
      <c r="O37" s="549">
        <f t="shared" si="6"/>
        <v>0</v>
      </c>
      <c r="P37" s="241">
        <f>'B3-FinPerf V'!K38</f>
        <v>0</v>
      </c>
      <c r="Q37" s="75">
        <f>'B3-FinPerf V'!L38</f>
        <v>0</v>
      </c>
      <c r="R37" s="76">
        <f>'B3-FinPerf V'!M38</f>
        <v>0</v>
      </c>
    </row>
    <row r="38" spans="1:18" ht="12.75" customHeight="1" x14ac:dyDescent="0.25">
      <c r="A38" s="129" t="str">
        <f>'B3-FinPerf V'!A39</f>
        <v>Vote 15 - [NAME OF VOTE 15]</v>
      </c>
      <c r="B38" s="129"/>
      <c r="C38" s="391"/>
      <c r="D38" s="109"/>
      <c r="E38" s="109"/>
      <c r="F38" s="109"/>
      <c r="G38" s="109"/>
      <c r="H38" s="390"/>
      <c r="I38" s="391"/>
      <c r="J38" s="109"/>
      <c r="K38" s="109"/>
      <c r="L38" s="109"/>
      <c r="M38" s="109"/>
      <c r="N38" s="517">
        <f t="shared" si="5"/>
        <v>0</v>
      </c>
      <c r="O38" s="549">
        <f t="shared" si="6"/>
        <v>0</v>
      </c>
      <c r="P38" s="241">
        <f>'B3-FinPerf V'!K39</f>
        <v>0</v>
      </c>
      <c r="Q38" s="75">
        <f>'B3-FinPerf V'!L39</f>
        <v>0</v>
      </c>
      <c r="R38" s="76">
        <f>'B3-FinPerf V'!M39</f>
        <v>0</v>
      </c>
    </row>
    <row r="39" spans="1:18" ht="12.75" customHeight="1" x14ac:dyDescent="0.25">
      <c r="A39" s="139" t="s">
        <v>645</v>
      </c>
      <c r="B39" s="550"/>
      <c r="C39" s="305">
        <f t="shared" ref="C39:R39" si="7">SUM(C24:C38)</f>
        <v>182613445.75999996</v>
      </c>
      <c r="D39" s="151">
        <f t="shared" si="7"/>
        <v>177899928.81999999</v>
      </c>
      <c r="E39" s="151">
        <f t="shared" si="7"/>
        <v>162353029.16000003</v>
      </c>
      <c r="F39" s="151">
        <f t="shared" si="7"/>
        <v>178948511.94</v>
      </c>
      <c r="G39" s="151">
        <f t="shared" si="7"/>
        <v>138149204.52999997</v>
      </c>
      <c r="H39" s="530">
        <f t="shared" si="7"/>
        <v>155420563.25999999</v>
      </c>
      <c r="I39" s="305">
        <f t="shared" si="7"/>
        <v>162110947.31999999</v>
      </c>
      <c r="J39" s="151">
        <f t="shared" si="7"/>
        <v>211943391</v>
      </c>
      <c r="K39" s="151">
        <f t="shared" si="7"/>
        <v>222455375</v>
      </c>
      <c r="L39" s="151">
        <f t="shared" si="7"/>
        <v>218201673</v>
      </c>
      <c r="M39" s="151">
        <f t="shared" si="7"/>
        <v>225890333</v>
      </c>
      <c r="N39" s="530">
        <f t="shared" si="7"/>
        <v>285983597.2100001</v>
      </c>
      <c r="O39" s="551">
        <f t="shared" si="7"/>
        <v>2321970000</v>
      </c>
      <c r="P39" s="305">
        <f t="shared" si="7"/>
        <v>2321970000</v>
      </c>
      <c r="Q39" s="151">
        <f t="shared" si="7"/>
        <v>2358123014.6993685</v>
      </c>
      <c r="R39" s="152">
        <f t="shared" si="7"/>
        <v>2476909030.6937881</v>
      </c>
    </row>
    <row r="40" spans="1:18" ht="5.0999999999999996" customHeight="1" x14ac:dyDescent="0.25">
      <c r="A40" s="136"/>
      <c r="B40" s="136"/>
      <c r="C40" s="241"/>
      <c r="D40" s="75"/>
      <c r="E40" s="75"/>
      <c r="F40" s="75"/>
      <c r="G40" s="75"/>
      <c r="H40" s="517"/>
      <c r="I40" s="241"/>
      <c r="J40" s="75"/>
      <c r="K40" s="75"/>
      <c r="L40" s="75"/>
      <c r="M40" s="75"/>
      <c r="N40" s="517"/>
      <c r="O40" s="549"/>
      <c r="P40" s="241"/>
      <c r="Q40" s="75"/>
      <c r="R40" s="76"/>
    </row>
    <row r="41" spans="1:18" ht="12.75" customHeight="1" x14ac:dyDescent="0.25">
      <c r="A41" s="155" t="s">
        <v>243</v>
      </c>
      <c r="B41" s="155"/>
      <c r="C41" s="116">
        <f t="shared" ref="C41:R41" si="8">C21-C39</f>
        <v>341026742.36999989</v>
      </c>
      <c r="D41" s="117">
        <f t="shared" si="8"/>
        <v>-23052927.030000001</v>
      </c>
      <c r="E41" s="117">
        <f t="shared" si="8"/>
        <v>-31425243.050000027</v>
      </c>
      <c r="F41" s="117">
        <f t="shared" si="8"/>
        <v>-2864292.3799999952</v>
      </c>
      <c r="G41" s="117">
        <f t="shared" si="8"/>
        <v>30665577.310000002</v>
      </c>
      <c r="H41" s="531">
        <f t="shared" si="8"/>
        <v>88088938.520000041</v>
      </c>
      <c r="I41" s="116">
        <f t="shared" si="8"/>
        <v>-41805138.479999989</v>
      </c>
      <c r="J41" s="117">
        <f t="shared" si="8"/>
        <v>11493531</v>
      </c>
      <c r="K41" s="117">
        <f t="shared" si="8"/>
        <v>48534278</v>
      </c>
      <c r="L41" s="117">
        <f t="shared" si="8"/>
        <v>128995989</v>
      </c>
      <c r="M41" s="117">
        <f t="shared" si="8"/>
        <v>63040589</v>
      </c>
      <c r="N41" s="531">
        <f t="shared" si="8"/>
        <v>14801955.73999995</v>
      </c>
      <c r="O41" s="552">
        <f t="shared" si="8"/>
        <v>627500000</v>
      </c>
      <c r="P41" s="116">
        <f t="shared" si="8"/>
        <v>627500000</v>
      </c>
      <c r="Q41" s="117">
        <f t="shared" si="8"/>
        <v>595757941.30201149</v>
      </c>
      <c r="R41" s="118">
        <f t="shared" si="8"/>
        <v>712040876.23443317</v>
      </c>
    </row>
    <row r="42" spans="1:18" ht="12.75" customHeight="1" x14ac:dyDescent="0.25">
      <c r="A42" s="553" t="str">
        <f>head27a</f>
        <v>References</v>
      </c>
      <c r="B42" s="553"/>
      <c r="C42" s="554"/>
      <c r="D42" s="554"/>
      <c r="E42" s="554"/>
      <c r="F42" s="554"/>
      <c r="G42" s="554"/>
      <c r="H42" s="554"/>
      <c r="I42" s="554"/>
      <c r="J42" s="554"/>
      <c r="K42" s="554"/>
      <c r="L42" s="554"/>
      <c r="M42" s="554"/>
      <c r="N42" s="554"/>
      <c r="O42" s="554"/>
      <c r="P42" s="554"/>
      <c r="Q42" s="554"/>
      <c r="R42" s="554"/>
    </row>
    <row r="43" spans="1:18" ht="12.75" customHeight="1" x14ac:dyDescent="0.25">
      <c r="A43" s="99" t="s">
        <v>244</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20"/>
      <c r="B45" s="320"/>
      <c r="P45" s="555"/>
      <c r="Q45" s="555"/>
      <c r="R45" s="555"/>
    </row>
    <row r="56" spans="2:2" x14ac:dyDescent="0.25">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37" activePane="bottomRight" state="frozen"/>
      <selection activeCell="C6" sqref="C6"/>
      <selection pane="topRight" activeCell="C6" sqref="C6"/>
      <selection pane="bottomLeft" activeCell="C6" sqref="C6"/>
      <selection pane="bottomRight" activeCell="J49" sqref="J49:N49"/>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LIM354 Polokwane - Supporting Table SB13 Adjustments Budget - monthly revenue and expenditure (standard classification) - 25 February 2016</v>
      </c>
      <c r="B1" s="57"/>
      <c r="D1" s="58"/>
    </row>
    <row r="2" spans="1:19" ht="25.5" x14ac:dyDescent="0.25">
      <c r="A2" s="1321" t="str">
        <f>desc&amp;" - Standard classification"</f>
        <v>Description - Standard classification</v>
      </c>
      <c r="B2" s="1318" t="str">
        <f>head27</f>
        <v>Ref</v>
      </c>
      <c r="C2" s="1315" t="str">
        <f>Head2</f>
        <v>Budget Year 2015/16</v>
      </c>
      <c r="D2" s="1316"/>
      <c r="E2" s="1316"/>
      <c r="F2" s="1316"/>
      <c r="G2" s="1316"/>
      <c r="H2" s="1316"/>
      <c r="I2" s="1316"/>
      <c r="J2" s="1316"/>
      <c r="K2" s="1316"/>
      <c r="L2" s="1316"/>
      <c r="M2" s="1316"/>
      <c r="N2" s="1317"/>
      <c r="O2" s="536"/>
      <c r="P2" s="537" t="s">
        <v>228</v>
      </c>
      <c r="Q2" s="538"/>
      <c r="R2" s="539"/>
    </row>
    <row r="3" spans="1:19" ht="38.25" x14ac:dyDescent="0.25">
      <c r="A3" s="1322"/>
      <c r="B3" s="1319"/>
      <c r="C3" s="461" t="s">
        <v>229</v>
      </c>
      <c r="D3" s="329" t="s">
        <v>230</v>
      </c>
      <c r="E3" s="329" t="s">
        <v>231</v>
      </c>
      <c r="F3" s="329" t="s">
        <v>232</v>
      </c>
      <c r="G3" s="329" t="s">
        <v>233</v>
      </c>
      <c r="H3" s="330" t="s">
        <v>234</v>
      </c>
      <c r="I3" s="540" t="s">
        <v>235</v>
      </c>
      <c r="J3" s="541" t="s">
        <v>236</v>
      </c>
      <c r="K3" s="329" t="s">
        <v>237</v>
      </c>
      <c r="L3" s="329" t="s">
        <v>238</v>
      </c>
      <c r="M3" s="542" t="s">
        <v>239</v>
      </c>
      <c r="N3" s="541" t="s">
        <v>240</v>
      </c>
      <c r="O3" s="543" t="s">
        <v>241</v>
      </c>
      <c r="P3" s="540" t="str">
        <f>Head9</f>
        <v>Budget Year 2015/16</v>
      </c>
      <c r="Q3" s="541" t="str">
        <f>Head10</f>
        <v>Budget Year +1 2016/17</v>
      </c>
      <c r="R3" s="331" t="str">
        <f>Head11</f>
        <v>Budget Year +2 2017/18</v>
      </c>
    </row>
    <row r="4" spans="1:19" ht="25.5" x14ac:dyDescent="0.25">
      <c r="A4" s="544" t="s">
        <v>641</v>
      </c>
      <c r="B4" s="300"/>
      <c r="C4" s="824" t="str">
        <f t="shared" ref="C4:H4" si="0">Head5A</f>
        <v>Outcome</v>
      </c>
      <c r="D4" s="825" t="str">
        <f t="shared" si="0"/>
        <v>Outcome</v>
      </c>
      <c r="E4" s="825" t="str">
        <f t="shared" si="0"/>
        <v>Outcome</v>
      </c>
      <c r="F4" s="825" t="str">
        <f t="shared" si="0"/>
        <v>Outcome</v>
      </c>
      <c r="G4" s="825" t="str">
        <f t="shared" si="0"/>
        <v>Outcome</v>
      </c>
      <c r="H4" s="826" t="str">
        <f t="shared" si="0"/>
        <v>Outcome</v>
      </c>
      <c r="I4" s="824" t="str">
        <f t="shared" ref="I4:N4" si="1">Head7</f>
        <v>Adjusted Budget</v>
      </c>
      <c r="J4" s="826" t="str">
        <f t="shared" si="1"/>
        <v>Adjusted Budget</v>
      </c>
      <c r="K4" s="825" t="str">
        <f t="shared" si="1"/>
        <v>Adjusted Budget</v>
      </c>
      <c r="L4" s="825" t="str">
        <f t="shared" si="1"/>
        <v>Adjusted Budget</v>
      </c>
      <c r="M4" s="825" t="str">
        <f t="shared" si="1"/>
        <v>Adjusted Budget</v>
      </c>
      <c r="N4" s="826" t="str">
        <f t="shared" si="1"/>
        <v>Adjusted Budget</v>
      </c>
      <c r="O4" s="556"/>
      <c r="P4" s="557" t="str">
        <f>Head7</f>
        <v>Adjusted Budget</v>
      </c>
      <c r="Q4" s="558" t="str">
        <f>Head7</f>
        <v>Adjusted Budget</v>
      </c>
      <c r="R4" s="559" t="str">
        <f>Head7</f>
        <v>Adjusted Budget</v>
      </c>
    </row>
    <row r="5" spans="1:19" ht="12.75" customHeight="1" x14ac:dyDescent="0.25">
      <c r="A5" s="560" t="s">
        <v>651</v>
      </c>
      <c r="B5" s="561"/>
      <c r="C5" s="106"/>
      <c r="D5" s="489"/>
      <c r="E5" s="489"/>
      <c r="F5" s="489"/>
      <c r="G5" s="489"/>
      <c r="H5" s="562"/>
      <c r="I5" s="106"/>
      <c r="J5" s="489"/>
      <c r="K5" s="489"/>
      <c r="L5" s="489"/>
      <c r="M5" s="489"/>
      <c r="N5" s="562"/>
      <c r="O5" s="563"/>
      <c r="P5" s="106"/>
      <c r="Q5" s="489"/>
      <c r="R5" s="529"/>
    </row>
    <row r="6" spans="1:19" ht="12.75" customHeight="1" x14ac:dyDescent="0.25">
      <c r="A6" s="107" t="str">
        <f>'B2-FinPerf SC'!A7</f>
        <v>Governance and administration</v>
      </c>
      <c r="B6" s="129"/>
      <c r="C6" s="258">
        <f t="shared" ref="C6:M6" si="2">SUM(C7:C9)</f>
        <v>412777365.73000002</v>
      </c>
      <c r="D6" s="258">
        <f t="shared" si="2"/>
        <v>37630192.299999997</v>
      </c>
      <c r="E6" s="258">
        <f t="shared" si="2"/>
        <v>52201759.399999999</v>
      </c>
      <c r="F6" s="258">
        <f t="shared" si="2"/>
        <v>81051169.849999994</v>
      </c>
      <c r="G6" s="258">
        <f t="shared" si="2"/>
        <v>60096013.529999994</v>
      </c>
      <c r="H6" s="717">
        <f t="shared" si="2"/>
        <v>119787797.36999999</v>
      </c>
      <c r="I6" s="718">
        <f t="shared" si="2"/>
        <v>44686563.680000007</v>
      </c>
      <c r="J6" s="258">
        <f t="shared" si="2"/>
        <v>144246925.87</v>
      </c>
      <c r="K6" s="258">
        <f t="shared" si="2"/>
        <v>158781800.78</v>
      </c>
      <c r="L6" s="258">
        <f t="shared" si="2"/>
        <v>181370473.34999999</v>
      </c>
      <c r="M6" s="258">
        <f t="shared" si="2"/>
        <v>190275673.5</v>
      </c>
      <c r="N6" s="525">
        <f t="shared" ref="N6:N25" si="3">P6-SUM(C6:M6)</f>
        <v>182930357.6400001</v>
      </c>
      <c r="O6" s="564">
        <f t="shared" ref="O6:O25" si="4">SUM(C6:N6)</f>
        <v>1665836093</v>
      </c>
      <c r="P6" s="485">
        <f>'B2-FinPerf SC'!K7</f>
        <v>1665836093</v>
      </c>
      <c r="Q6" s="141">
        <f>'B2-FinPerf SC'!L7</f>
        <v>1525811657.0799999</v>
      </c>
      <c r="R6" s="142">
        <f>'B2-FinPerf SC'!M7</f>
        <v>1597304914.6171598</v>
      </c>
      <c r="S6" s="128"/>
    </row>
    <row r="7" spans="1:19" ht="12.75" customHeight="1" x14ac:dyDescent="0.25">
      <c r="A7" s="108" t="str">
        <f>'B2-FinPerf SC'!A8</f>
        <v>Executive and council</v>
      </c>
      <c r="B7" s="129"/>
      <c r="C7" s="109">
        <v>0</v>
      </c>
      <c r="D7" s="109">
        <v>0</v>
      </c>
      <c r="E7" s="109">
        <v>0</v>
      </c>
      <c r="F7" s="109">
        <v>0</v>
      </c>
      <c r="G7" s="109">
        <v>0</v>
      </c>
      <c r="H7" s="390">
        <v>0</v>
      </c>
      <c r="I7" s="391">
        <v>0</v>
      </c>
      <c r="J7" s="109">
        <v>0</v>
      </c>
      <c r="K7" s="109">
        <v>0</v>
      </c>
      <c r="L7" s="109">
        <v>0</v>
      </c>
      <c r="M7" s="109">
        <v>0</v>
      </c>
      <c r="N7" s="517">
        <f t="shared" si="3"/>
        <v>0</v>
      </c>
      <c r="O7" s="549">
        <f t="shared" si="4"/>
        <v>0</v>
      </c>
      <c r="P7" s="241">
        <f>'B2-FinPerf SC'!K8</f>
        <v>0</v>
      </c>
      <c r="Q7" s="75">
        <f>'B2-FinPerf SC'!L8</f>
        <v>0</v>
      </c>
      <c r="R7" s="76">
        <f>'B2-FinPerf SC'!M8</f>
        <v>0</v>
      </c>
      <c r="S7" s="128"/>
    </row>
    <row r="8" spans="1:19" ht="12.75" customHeight="1" x14ac:dyDescent="0.25">
      <c r="A8" s="108" t="str">
        <f>'B2-FinPerf SC'!A9</f>
        <v>Budget and treasury office</v>
      </c>
      <c r="B8" s="129"/>
      <c r="C8" s="111">
        <v>32416118.810000002</v>
      </c>
      <c r="D8" s="111">
        <v>35815606</v>
      </c>
      <c r="E8" s="111">
        <v>29740074.719999999</v>
      </c>
      <c r="F8" s="111">
        <v>34862863.950000003</v>
      </c>
      <c r="G8" s="111">
        <v>30371133.949999996</v>
      </c>
      <c r="H8" s="565">
        <v>30798313.709999997</v>
      </c>
      <c r="I8" s="566">
        <v>34262832.450000003</v>
      </c>
      <c r="J8" s="111">
        <v>25157290</v>
      </c>
      <c r="K8" s="111">
        <v>33157290</v>
      </c>
      <c r="L8" s="111">
        <v>33157290</v>
      </c>
      <c r="M8" s="111">
        <v>33157290</v>
      </c>
      <c r="N8" s="517">
        <f t="shared" si="3"/>
        <v>44514147.409999967</v>
      </c>
      <c r="O8" s="549">
        <f t="shared" si="4"/>
        <v>397410251</v>
      </c>
      <c r="P8" s="241">
        <f>'B2-FinPerf SC'!K9</f>
        <v>397410251</v>
      </c>
      <c r="Q8" s="75">
        <f>'B2-FinPerf SC'!L9</f>
        <v>433721683.96000004</v>
      </c>
      <c r="R8" s="76">
        <f>'B2-FinPerf SC'!M9</f>
        <v>469006601.39560002</v>
      </c>
      <c r="S8" s="128"/>
    </row>
    <row r="9" spans="1:19" ht="12.75" customHeight="1" x14ac:dyDescent="0.25">
      <c r="A9" s="108" t="str">
        <f>'B2-FinPerf SC'!A10</f>
        <v>Corporate services</v>
      </c>
      <c r="B9" s="129"/>
      <c r="C9" s="109">
        <v>380361246.92000002</v>
      </c>
      <c r="D9" s="109">
        <v>1814586.3</v>
      </c>
      <c r="E9" s="109">
        <v>22461684.68</v>
      </c>
      <c r="F9" s="109">
        <v>46188305.899999999</v>
      </c>
      <c r="G9" s="109">
        <v>29724879.579999998</v>
      </c>
      <c r="H9" s="390">
        <v>88989483.659999996</v>
      </c>
      <c r="I9" s="391">
        <v>10423731.23</v>
      </c>
      <c r="J9" s="109">
        <f>167310217+4779418.87-53000000</f>
        <v>119089635.87</v>
      </c>
      <c r="K9" s="109">
        <v>125624510.78</v>
      </c>
      <c r="L9" s="109">
        <f>100014217+48198966.35</f>
        <v>148213183.34999999</v>
      </c>
      <c r="M9" s="109">
        <f>195714217-25730555.5-12865278</f>
        <v>157118383.5</v>
      </c>
      <c r="N9" s="517">
        <f t="shared" si="3"/>
        <v>138416210.23000002</v>
      </c>
      <c r="O9" s="549">
        <f t="shared" si="4"/>
        <v>1268425842</v>
      </c>
      <c r="P9" s="241">
        <f>'B2-FinPerf SC'!K10</f>
        <v>1268425842</v>
      </c>
      <c r="Q9" s="75">
        <f>'B2-FinPerf SC'!L10</f>
        <v>1092089973.1199999</v>
      </c>
      <c r="R9" s="76">
        <f>'B2-FinPerf SC'!M10</f>
        <v>1128298313.2215598</v>
      </c>
      <c r="S9" s="128"/>
    </row>
    <row r="10" spans="1:19" ht="12.75" customHeight="1" x14ac:dyDescent="0.25">
      <c r="A10" s="107" t="str">
        <f>'B2-FinPerf SC'!A11</f>
        <v>Community and public safety</v>
      </c>
      <c r="B10" s="129"/>
      <c r="C10" s="258">
        <f t="shared" ref="C10:M10" si="5">SUM(C11:C15)</f>
        <v>481142.92000000004</v>
      </c>
      <c r="D10" s="258">
        <f t="shared" si="5"/>
        <v>2124239.8399999994</v>
      </c>
      <c r="E10" s="258">
        <f t="shared" si="5"/>
        <v>1552921.7900000003</v>
      </c>
      <c r="F10" s="258">
        <f t="shared" si="5"/>
        <v>917245.07000000007</v>
      </c>
      <c r="G10" s="258">
        <f t="shared" si="5"/>
        <v>546036.61</v>
      </c>
      <c r="H10" s="717">
        <f t="shared" si="5"/>
        <v>946421.54</v>
      </c>
      <c r="I10" s="718">
        <f t="shared" si="5"/>
        <v>903942.84999999986</v>
      </c>
      <c r="J10" s="258">
        <f t="shared" si="5"/>
        <v>4256828</v>
      </c>
      <c r="K10" s="258">
        <f t="shared" si="5"/>
        <v>5149741.2200000007</v>
      </c>
      <c r="L10" s="258">
        <f t="shared" si="5"/>
        <v>6833589</v>
      </c>
      <c r="M10" s="258">
        <f t="shared" si="5"/>
        <v>6293415</v>
      </c>
      <c r="N10" s="525">
        <f t="shared" si="3"/>
        <v>7576389.1599999964</v>
      </c>
      <c r="O10" s="564">
        <f t="shared" si="4"/>
        <v>37581913</v>
      </c>
      <c r="P10" s="485">
        <f>'B2-FinPerf SC'!K11</f>
        <v>37581913</v>
      </c>
      <c r="Q10" s="141">
        <f>'B2-FinPerf SC'!L11</f>
        <v>40024049.594999999</v>
      </c>
      <c r="R10" s="142">
        <f>'B2-FinPerf SC'!M11</f>
        <v>42545181.92048499</v>
      </c>
      <c r="S10" s="128"/>
    </row>
    <row r="11" spans="1:19" ht="12.75" customHeight="1" x14ac:dyDescent="0.25">
      <c r="A11" s="108" t="str">
        <f>'B2-FinPerf SC'!A12</f>
        <v>Community and social services</v>
      </c>
      <c r="B11" s="129"/>
      <c r="C11" s="109">
        <v>145818.52000000002</v>
      </c>
      <c r="D11" s="109">
        <v>167844.65000000002</v>
      </c>
      <c r="E11" s="109">
        <v>255265.22000000003</v>
      </c>
      <c r="F11" s="109">
        <v>179214.99000000002</v>
      </c>
      <c r="G11" s="109">
        <v>112479.61</v>
      </c>
      <c r="H11" s="390">
        <v>139101.05000000002</v>
      </c>
      <c r="I11" s="391">
        <v>100189.43999999999</v>
      </c>
      <c r="J11" s="109">
        <v>212635</v>
      </c>
      <c r="K11" s="109">
        <v>255265.22000000003</v>
      </c>
      <c r="L11" s="109">
        <v>112635</v>
      </c>
      <c r="M11" s="109">
        <v>222222</v>
      </c>
      <c r="N11" s="517">
        <f t="shared" si="3"/>
        <v>648935.29999999981</v>
      </c>
      <c r="O11" s="549">
        <f t="shared" si="4"/>
        <v>2551606</v>
      </c>
      <c r="P11" s="241">
        <f>'B2-FinPerf SC'!K12</f>
        <v>2551606</v>
      </c>
      <c r="Q11" s="75">
        <f>'B2-FinPerf SC'!L12</f>
        <v>2716778.46</v>
      </c>
      <c r="R11" s="76">
        <f>'B2-FinPerf SC'!M12</f>
        <v>2887546.1059799995</v>
      </c>
      <c r="S11" s="128"/>
    </row>
    <row r="12" spans="1:19" ht="12.75" customHeight="1" x14ac:dyDescent="0.25">
      <c r="A12" s="108" t="str">
        <f>'B2-FinPerf SC'!A13</f>
        <v>Sport and recreation</v>
      </c>
      <c r="B12" s="129"/>
      <c r="C12" s="109">
        <v>83229.83</v>
      </c>
      <c r="D12" s="109">
        <v>1611645.0099999995</v>
      </c>
      <c r="E12" s="109">
        <v>1037056.92</v>
      </c>
      <c r="F12" s="109">
        <v>285615.05</v>
      </c>
      <c r="G12" s="109">
        <v>136574.46000000002</v>
      </c>
      <c r="H12" s="390">
        <v>355197.48000000004</v>
      </c>
      <c r="I12" s="391">
        <v>494152.64</v>
      </c>
      <c r="J12" s="109">
        <v>1307651</v>
      </c>
      <c r="K12" s="109">
        <v>3107651</v>
      </c>
      <c r="L12" s="109">
        <v>4056510</v>
      </c>
      <c r="M12" s="109">
        <v>1307651</v>
      </c>
      <c r="N12" s="517">
        <f t="shared" si="3"/>
        <v>1908865.6099999994</v>
      </c>
      <c r="O12" s="549">
        <f t="shared" si="4"/>
        <v>15691800</v>
      </c>
      <c r="P12" s="241">
        <f>'B2-FinPerf SC'!K13</f>
        <v>15691800</v>
      </c>
      <c r="Q12" s="75">
        <f>'B2-FinPerf SC'!L13</f>
        <v>16711766.620000001</v>
      </c>
      <c r="R12" s="76">
        <f>'B2-FinPerf SC'!M13</f>
        <v>17764613.55706</v>
      </c>
      <c r="S12" s="128"/>
    </row>
    <row r="13" spans="1:19" ht="12.75" customHeight="1" x14ac:dyDescent="0.25">
      <c r="A13" s="108" t="str">
        <f>'B2-FinPerf SC'!A14</f>
        <v>Public safety</v>
      </c>
      <c r="B13" s="129"/>
      <c r="C13" s="109">
        <v>251158.90000000002</v>
      </c>
      <c r="D13" s="109">
        <v>343832.05</v>
      </c>
      <c r="E13" s="109">
        <v>259690.28999999998</v>
      </c>
      <c r="F13" s="109">
        <v>451426.74</v>
      </c>
      <c r="G13" s="109">
        <v>296011.78999999998</v>
      </c>
      <c r="H13" s="390">
        <v>451222.42000000004</v>
      </c>
      <c r="I13" s="391">
        <v>308656.32999999996</v>
      </c>
      <c r="J13" s="109">
        <v>2456220</v>
      </c>
      <c r="K13" s="109">
        <v>1431220</v>
      </c>
      <c r="L13" s="109">
        <v>2456220</v>
      </c>
      <c r="M13" s="109">
        <v>4431220</v>
      </c>
      <c r="N13" s="517">
        <f t="shared" si="3"/>
        <v>4037771.4800000004</v>
      </c>
      <c r="O13" s="549">
        <f t="shared" si="4"/>
        <v>17174650</v>
      </c>
      <c r="P13" s="241">
        <f>'B2-FinPerf SC'!K14</f>
        <v>17174650</v>
      </c>
      <c r="Q13" s="75">
        <f>'B2-FinPerf SC'!L14</f>
        <v>18290997.514999997</v>
      </c>
      <c r="R13" s="76">
        <f>'B2-FinPerf SC'!M14</f>
        <v>19443331.316444997</v>
      </c>
      <c r="S13" s="128"/>
    </row>
    <row r="14" spans="1:19" ht="12.75" customHeight="1" x14ac:dyDescent="0.25">
      <c r="A14" s="108" t="str">
        <f>'B2-FinPerf SC'!A15</f>
        <v>Housing</v>
      </c>
      <c r="B14" s="129"/>
      <c r="C14" s="109">
        <v>935.67</v>
      </c>
      <c r="D14" s="109">
        <v>918.12999999999988</v>
      </c>
      <c r="E14" s="109">
        <v>909.3599999999999</v>
      </c>
      <c r="F14" s="109">
        <v>988.29</v>
      </c>
      <c r="G14" s="109">
        <v>970.75</v>
      </c>
      <c r="H14" s="390">
        <v>900.58999999999992</v>
      </c>
      <c r="I14" s="391">
        <v>944.43999999999994</v>
      </c>
      <c r="J14" s="109">
        <v>3655</v>
      </c>
      <c r="K14" s="109">
        <v>9955</v>
      </c>
      <c r="L14" s="109">
        <v>6655</v>
      </c>
      <c r="M14" s="109">
        <v>6655</v>
      </c>
      <c r="N14" s="517">
        <f t="shared" si="3"/>
        <v>10369.770000000004</v>
      </c>
      <c r="O14" s="549">
        <f t="shared" si="4"/>
        <v>43857</v>
      </c>
      <c r="P14" s="241">
        <f>'B2-FinPerf SC'!K15</f>
        <v>43857</v>
      </c>
      <c r="Q14" s="75">
        <f>'B2-FinPerf SC'!L15</f>
        <v>46707</v>
      </c>
      <c r="R14" s="76">
        <f>'B2-FinPerf SC'!M15</f>
        <v>49649.540999999997</v>
      </c>
      <c r="S14" s="128"/>
    </row>
    <row r="15" spans="1:19" ht="12.75" customHeight="1" x14ac:dyDescent="0.25">
      <c r="A15" s="108" t="str">
        <f>'B2-FinPerf SC'!A16</f>
        <v>Health</v>
      </c>
      <c r="B15" s="129"/>
      <c r="C15" s="111">
        <v>0</v>
      </c>
      <c r="D15" s="111">
        <v>0</v>
      </c>
      <c r="E15" s="111">
        <v>0</v>
      </c>
      <c r="F15" s="111">
        <v>0</v>
      </c>
      <c r="G15" s="111">
        <v>0</v>
      </c>
      <c r="H15" s="565">
        <v>0</v>
      </c>
      <c r="I15" s="566">
        <v>0</v>
      </c>
      <c r="J15" s="111">
        <v>276667</v>
      </c>
      <c r="K15" s="111">
        <v>345650</v>
      </c>
      <c r="L15" s="111">
        <v>201569</v>
      </c>
      <c r="M15" s="111">
        <v>325667</v>
      </c>
      <c r="N15" s="517">
        <f t="shared" si="3"/>
        <v>970447</v>
      </c>
      <c r="O15" s="549">
        <f t="shared" si="4"/>
        <v>2120000</v>
      </c>
      <c r="P15" s="241">
        <f>'B2-FinPerf SC'!K16</f>
        <v>2120000</v>
      </c>
      <c r="Q15" s="75">
        <f>'B2-FinPerf SC'!L16</f>
        <v>2257800</v>
      </c>
      <c r="R15" s="76">
        <f>'B2-FinPerf SC'!M16</f>
        <v>2400041.4</v>
      </c>
      <c r="S15" s="128"/>
    </row>
    <row r="16" spans="1:19" ht="12.75" customHeight="1" x14ac:dyDescent="0.25">
      <c r="A16" s="107" t="str">
        <f>'B2-FinPerf SC'!A17</f>
        <v>Economic and environmental services</v>
      </c>
      <c r="B16" s="129"/>
      <c r="C16" s="258">
        <f t="shared" ref="C16:M16" si="6">SUM(C17:C19)</f>
        <v>3765071.31</v>
      </c>
      <c r="D16" s="258">
        <f t="shared" si="6"/>
        <v>2239523.06</v>
      </c>
      <c r="E16" s="258">
        <f t="shared" si="6"/>
        <v>2542194.4499999997</v>
      </c>
      <c r="F16" s="258">
        <f t="shared" si="6"/>
        <v>1780025.7799999998</v>
      </c>
      <c r="G16" s="258">
        <f t="shared" si="6"/>
        <v>1910210.6300000001</v>
      </c>
      <c r="H16" s="717">
        <f t="shared" si="6"/>
        <v>7350423.5300000012</v>
      </c>
      <c r="I16" s="718">
        <f t="shared" si="6"/>
        <v>1268331.8800000001</v>
      </c>
      <c r="J16" s="258">
        <f t="shared" si="6"/>
        <v>8806288.4499999993</v>
      </c>
      <c r="K16" s="258">
        <f t="shared" si="6"/>
        <v>10883495</v>
      </c>
      <c r="L16" s="258">
        <f t="shared" si="6"/>
        <v>7406288.4500000011</v>
      </c>
      <c r="M16" s="258">
        <f t="shared" si="6"/>
        <v>11075495</v>
      </c>
      <c r="N16" s="525">
        <f t="shared" si="3"/>
        <v>13879564.459999993</v>
      </c>
      <c r="O16" s="564">
        <f t="shared" si="4"/>
        <v>72906912</v>
      </c>
      <c r="P16" s="485">
        <f>'B2-FinPerf SC'!K17</f>
        <v>72906912</v>
      </c>
      <c r="Q16" s="141">
        <f>'B2-FinPerf SC'!L17</f>
        <v>77616908.310000002</v>
      </c>
      <c r="R16" s="142">
        <f>'B2-FinPerf SC'!M17</f>
        <v>82486156.009529978</v>
      </c>
      <c r="S16" s="128"/>
    </row>
    <row r="17" spans="1:19" ht="12.75" customHeight="1" x14ac:dyDescent="0.25">
      <c r="A17" s="108" t="str">
        <f>'B2-FinPerf SC'!A18</f>
        <v>Planning and development</v>
      </c>
      <c r="B17" s="129"/>
      <c r="C17" s="109">
        <v>2865778.14</v>
      </c>
      <c r="D17" s="109">
        <v>1361796.14</v>
      </c>
      <c r="E17" s="109">
        <v>1627630.16</v>
      </c>
      <c r="F17" s="109">
        <v>1068132.24</v>
      </c>
      <c r="G17" s="109">
        <v>1023228.84</v>
      </c>
      <c r="H17" s="390">
        <v>6626220.4500000011</v>
      </c>
      <c r="I17" s="391">
        <v>808537.67</v>
      </c>
      <c r="J17" s="109">
        <v>7626220.4500000002</v>
      </c>
      <c r="K17" s="109">
        <v>10095427</v>
      </c>
      <c r="L17" s="109">
        <v>6626220.4500000011</v>
      </c>
      <c r="M17" s="109">
        <v>9095427</v>
      </c>
      <c r="N17" s="517">
        <f t="shared" si="3"/>
        <v>12320482.459999993</v>
      </c>
      <c r="O17" s="549">
        <f t="shared" si="4"/>
        <v>61145101</v>
      </c>
      <c r="P17" s="241">
        <f>'B2-FinPerf SC'!K18</f>
        <v>61145101</v>
      </c>
      <c r="Q17" s="75">
        <f>'B2-FinPerf SC'!L18</f>
        <v>65091651.310000002</v>
      </c>
      <c r="R17" s="76">
        <f>'B2-FinPerf SC'!M18</f>
        <v>69171808.14052999</v>
      </c>
      <c r="S17" s="128"/>
    </row>
    <row r="18" spans="1:19" ht="12.75" customHeight="1" x14ac:dyDescent="0.25">
      <c r="A18" s="108" t="str">
        <f>'B2-FinPerf SC'!A19</f>
        <v>Road transport</v>
      </c>
      <c r="B18" s="129"/>
      <c r="C18" s="109">
        <v>764463.4</v>
      </c>
      <c r="D18" s="109">
        <v>615577.97</v>
      </c>
      <c r="E18" s="109">
        <v>735266.16</v>
      </c>
      <c r="F18" s="109">
        <v>599783.85</v>
      </c>
      <c r="G18" s="109">
        <v>752838.01</v>
      </c>
      <c r="H18" s="390">
        <v>643776</v>
      </c>
      <c r="I18" s="391">
        <v>339313.61</v>
      </c>
      <c r="J18" s="109">
        <v>992146</v>
      </c>
      <c r="K18" s="109">
        <v>600146</v>
      </c>
      <c r="L18" s="109">
        <v>592146</v>
      </c>
      <c r="M18" s="109">
        <v>1792146</v>
      </c>
      <c r="N18" s="517">
        <f t="shared" si="3"/>
        <v>1079154</v>
      </c>
      <c r="O18" s="549">
        <f t="shared" si="4"/>
        <v>9506757</v>
      </c>
      <c r="P18" s="241">
        <f>'B2-FinPerf SC'!K19</f>
        <v>9506757</v>
      </c>
      <c r="Q18" s="75">
        <f>'B2-FinPerf SC'!L19</f>
        <v>10123628</v>
      </c>
      <c r="R18" s="76">
        <f>'B2-FinPerf SC'!M19</f>
        <v>10761416.564000001</v>
      </c>
      <c r="S18" s="128"/>
    </row>
    <row r="19" spans="1:19" ht="12.75" customHeight="1" x14ac:dyDescent="0.25">
      <c r="A19" s="108" t="str">
        <f>'B2-FinPerf SC'!A20</f>
        <v>Environmental protection</v>
      </c>
      <c r="B19" s="129"/>
      <c r="C19" s="109">
        <v>134829.77000000002</v>
      </c>
      <c r="D19" s="109">
        <v>262148.95</v>
      </c>
      <c r="E19" s="109">
        <v>179298.13</v>
      </c>
      <c r="F19" s="109">
        <v>112109.69</v>
      </c>
      <c r="G19" s="109">
        <v>134143.78</v>
      </c>
      <c r="H19" s="390">
        <v>80427.08</v>
      </c>
      <c r="I19" s="391">
        <v>120480.59999999999</v>
      </c>
      <c r="J19" s="109">
        <v>187922</v>
      </c>
      <c r="K19" s="109">
        <v>187922</v>
      </c>
      <c r="L19" s="109">
        <v>187922</v>
      </c>
      <c r="M19" s="109">
        <v>187922</v>
      </c>
      <c r="N19" s="517">
        <f t="shared" si="3"/>
        <v>479928</v>
      </c>
      <c r="O19" s="549">
        <f t="shared" si="4"/>
        <v>2255054</v>
      </c>
      <c r="P19" s="241">
        <f>'B2-FinPerf SC'!K20</f>
        <v>2255054</v>
      </c>
      <c r="Q19" s="75">
        <f>'B2-FinPerf SC'!L20</f>
        <v>2401629</v>
      </c>
      <c r="R19" s="76">
        <f>'B2-FinPerf SC'!M20</f>
        <v>2552931.3049999992</v>
      </c>
      <c r="S19" s="128"/>
    </row>
    <row r="20" spans="1:19" ht="12.75" customHeight="1" x14ac:dyDescent="0.25">
      <c r="A20" s="107" t="str">
        <f>'B2-FinPerf SC'!A21</f>
        <v>Trading services</v>
      </c>
      <c r="B20" s="129"/>
      <c r="C20" s="258">
        <f>SUM(C21:C24)</f>
        <v>106616608.17000002</v>
      </c>
      <c r="D20" s="258">
        <f t="shared" ref="D20:M20" si="7">SUM(D21:D24)</f>
        <v>112853046.59000002</v>
      </c>
      <c r="E20" s="258">
        <f t="shared" si="7"/>
        <v>74630910.469999999</v>
      </c>
      <c r="F20" s="258">
        <f t="shared" si="7"/>
        <v>92335778.859999999</v>
      </c>
      <c r="G20" s="258">
        <f t="shared" si="7"/>
        <v>106262521.06999999</v>
      </c>
      <c r="H20" s="717">
        <f t="shared" si="7"/>
        <v>115424859.33999999</v>
      </c>
      <c r="I20" s="718">
        <f t="shared" si="7"/>
        <v>73446970.429999992</v>
      </c>
      <c r="J20" s="258">
        <f t="shared" si="7"/>
        <v>66126879.685000002</v>
      </c>
      <c r="K20" s="258">
        <f t="shared" si="7"/>
        <v>96174616</v>
      </c>
      <c r="L20" s="258">
        <f t="shared" si="7"/>
        <v>151587311.19999999</v>
      </c>
      <c r="M20" s="258">
        <f t="shared" si="7"/>
        <v>81286338.5</v>
      </c>
      <c r="N20" s="525">
        <f>P20-SUM(C20:M20)</f>
        <v>96399241.684999943</v>
      </c>
      <c r="O20" s="564">
        <f t="shared" si="4"/>
        <v>1173145082</v>
      </c>
      <c r="P20" s="485">
        <f>'B2-FinPerf SC'!K21</f>
        <v>1173145082</v>
      </c>
      <c r="Q20" s="141">
        <f>'B2-FinPerf SC'!L21</f>
        <v>1310428341.0163798</v>
      </c>
      <c r="R20" s="142">
        <f>'B2-FinPerf SC'!M21</f>
        <v>1466613654.3810463</v>
      </c>
      <c r="S20" s="128"/>
    </row>
    <row r="21" spans="1:19" ht="12.75" customHeight="1" x14ac:dyDescent="0.25">
      <c r="A21" s="108" t="str">
        <f>'B2-FinPerf SC'!A22</f>
        <v>Electricity</v>
      </c>
      <c r="B21" s="129"/>
      <c r="C21" s="109">
        <v>70469477.440000013</v>
      </c>
      <c r="D21" s="109">
        <v>82725465.820000008</v>
      </c>
      <c r="E21" s="109">
        <v>41920647.949999996</v>
      </c>
      <c r="F21" s="109">
        <v>65585486.829999998</v>
      </c>
      <c r="G21" s="109">
        <v>57935261.609999999</v>
      </c>
      <c r="H21" s="390">
        <v>73188875.849999994</v>
      </c>
      <c r="I21" s="391">
        <v>49212410.190000005</v>
      </c>
      <c r="J21" s="109">
        <f>87504884.685-53000000</f>
        <v>34504884.685000002</v>
      </c>
      <c r="K21" s="109">
        <v>68140097</v>
      </c>
      <c r="L21" s="109">
        <f>73188875.85+48198966.35</f>
        <v>121387842.19999999</v>
      </c>
      <c r="M21" s="109">
        <f>66140097-12865278</f>
        <v>53274819</v>
      </c>
      <c r="N21" s="517">
        <f t="shared" si="3"/>
        <v>75335881.424999952</v>
      </c>
      <c r="O21" s="549">
        <f t="shared" si="4"/>
        <v>793681150</v>
      </c>
      <c r="P21" s="241">
        <f>'B2-FinPerf SC'!K22</f>
        <v>793681150</v>
      </c>
      <c r="Q21" s="75">
        <f>'B2-FinPerf SC'!L22</f>
        <v>896859694.02547979</v>
      </c>
      <c r="R21" s="76">
        <f>'B2-FinPerf SC'!M22</f>
        <v>1017935751.6089196</v>
      </c>
      <c r="S21" s="128"/>
    </row>
    <row r="22" spans="1:19" ht="12.75" customHeight="1" x14ac:dyDescent="0.25">
      <c r="A22" s="108" t="str">
        <f>'B2-FinPerf SC'!A23</f>
        <v>Water</v>
      </c>
      <c r="B22" s="129"/>
      <c r="C22" s="109">
        <v>27121052.129999999</v>
      </c>
      <c r="D22" s="109">
        <v>20776049.32</v>
      </c>
      <c r="E22" s="109">
        <v>21434290.460000001</v>
      </c>
      <c r="F22" s="109">
        <v>16631166.600000001</v>
      </c>
      <c r="G22" s="109">
        <v>38991677.210000001</v>
      </c>
      <c r="H22" s="390">
        <v>31965804.109999999</v>
      </c>
      <c r="I22" s="391">
        <v>14928994.259999998</v>
      </c>
      <c r="J22" s="109">
        <v>21587929</v>
      </c>
      <c r="K22" s="109">
        <v>16589929</v>
      </c>
      <c r="L22" s="109">
        <v>19587929</v>
      </c>
      <c r="M22" s="109">
        <v>17587929.5</v>
      </c>
      <c r="N22" s="517">
        <f t="shared" si="3"/>
        <v>11852394.410000026</v>
      </c>
      <c r="O22" s="549">
        <f t="shared" si="4"/>
        <v>259055145</v>
      </c>
      <c r="P22" s="241">
        <f>'B2-FinPerf SC'!K23</f>
        <v>259055145</v>
      </c>
      <c r="Q22" s="75">
        <f>'B2-FinPerf SC'!L23</f>
        <v>282368601.99090004</v>
      </c>
      <c r="R22" s="76">
        <f>'B2-FinPerf SC'!M23</f>
        <v>306368523.91712654</v>
      </c>
      <c r="S22" s="128"/>
    </row>
    <row r="23" spans="1:19" ht="12.75" customHeight="1" x14ac:dyDescent="0.25">
      <c r="A23" s="108" t="str">
        <f>'B2-FinPerf SC'!A24</f>
        <v>Waste water management</v>
      </c>
      <c r="B23" s="129"/>
      <c r="C23" s="111">
        <v>3688987.62</v>
      </c>
      <c r="D23" s="111">
        <v>3927816.77</v>
      </c>
      <c r="E23" s="111">
        <v>5817590.6099999994</v>
      </c>
      <c r="F23" s="111">
        <v>4779654.1300000008</v>
      </c>
      <c r="G23" s="111">
        <v>3731910.55</v>
      </c>
      <c r="H23" s="565">
        <v>4933519.8499999996</v>
      </c>
      <c r="I23" s="566">
        <v>4736307.49</v>
      </c>
      <c r="J23" s="111">
        <v>4610476</v>
      </c>
      <c r="K23" s="111">
        <v>5000000</v>
      </c>
      <c r="L23" s="111">
        <v>4687950</v>
      </c>
      <c r="M23" s="111">
        <v>5000000</v>
      </c>
      <c r="N23" s="517">
        <f t="shared" si="3"/>
        <v>4411494.9799999967</v>
      </c>
      <c r="O23" s="549">
        <f t="shared" si="4"/>
        <v>55325708</v>
      </c>
      <c r="P23" s="241">
        <f>'B2-FinPerf SC'!K24</f>
        <v>55325708</v>
      </c>
      <c r="Q23" s="75">
        <f>'B2-FinPerf SC'!L24</f>
        <v>60305018.000000015</v>
      </c>
      <c r="R23" s="76">
        <f>'B2-FinPerf SC'!M24</f>
        <v>65430944.530000016</v>
      </c>
      <c r="S23" s="128"/>
    </row>
    <row r="24" spans="1:19" ht="12.75" customHeight="1" x14ac:dyDescent="0.25">
      <c r="A24" s="108" t="str">
        <f>'B2-FinPerf SC'!A25</f>
        <v>Waste management</v>
      </c>
      <c r="B24" s="129"/>
      <c r="C24" s="109">
        <v>5337090.9800000004</v>
      </c>
      <c r="D24" s="109">
        <v>5423714.6800000006</v>
      </c>
      <c r="E24" s="109">
        <v>5458381.4500000002</v>
      </c>
      <c r="F24" s="109">
        <v>5339471.3</v>
      </c>
      <c r="G24" s="109">
        <v>5603671.7000000002</v>
      </c>
      <c r="H24" s="390">
        <v>5336659.5299999993</v>
      </c>
      <c r="I24" s="391">
        <v>4569258.4899999993</v>
      </c>
      <c r="J24" s="109">
        <v>5423590</v>
      </c>
      <c r="K24" s="109">
        <v>6444590</v>
      </c>
      <c r="L24" s="109">
        <v>5923590</v>
      </c>
      <c r="M24" s="109">
        <v>5423590</v>
      </c>
      <c r="N24" s="517">
        <f t="shared" si="3"/>
        <v>4799470.8699999973</v>
      </c>
      <c r="O24" s="549">
        <f t="shared" si="4"/>
        <v>65083079</v>
      </c>
      <c r="P24" s="241">
        <f>'B2-FinPerf SC'!K25</f>
        <v>65083079</v>
      </c>
      <c r="Q24" s="75">
        <f>'B2-FinPerf SC'!L25</f>
        <v>70895027.000000015</v>
      </c>
      <c r="R24" s="76">
        <f>'B2-FinPerf SC'!M25</f>
        <v>76878434.325000003</v>
      </c>
      <c r="S24" s="128"/>
    </row>
    <row r="25" spans="1:19" ht="12.75" customHeight="1" x14ac:dyDescent="0.25">
      <c r="A25" s="107" t="str">
        <f>'B2-FinPerf SC'!A26</f>
        <v>Other</v>
      </c>
      <c r="B25" s="129"/>
      <c r="C25" s="830">
        <v>0</v>
      </c>
      <c r="D25" s="830">
        <v>0</v>
      </c>
      <c r="E25" s="830">
        <v>0</v>
      </c>
      <c r="F25" s="830">
        <v>0</v>
      </c>
      <c r="G25" s="830">
        <v>0</v>
      </c>
      <c r="H25" s="915">
        <v>0</v>
      </c>
      <c r="I25" s="916">
        <v>0</v>
      </c>
      <c r="J25" s="830">
        <v>0</v>
      </c>
      <c r="K25" s="830">
        <v>0</v>
      </c>
      <c r="L25" s="830">
        <v>0</v>
      </c>
      <c r="M25" s="830">
        <v>0</v>
      </c>
      <c r="N25" s="525">
        <f t="shared" si="3"/>
        <v>0</v>
      </c>
      <c r="O25" s="564">
        <f t="shared" si="4"/>
        <v>0</v>
      </c>
      <c r="P25" s="485">
        <f>'B2-FinPerf SC'!K26</f>
        <v>0</v>
      </c>
      <c r="Q25" s="141">
        <f>'B2-FinPerf SC'!L26</f>
        <v>0</v>
      </c>
      <c r="R25" s="142">
        <f>'B2-FinPerf SC'!M26</f>
        <v>0</v>
      </c>
      <c r="S25" s="128"/>
    </row>
    <row r="26" spans="1:19" ht="12.75" customHeight="1" x14ac:dyDescent="0.25">
      <c r="A26" s="163" t="s">
        <v>672</v>
      </c>
      <c r="B26" s="163"/>
      <c r="C26" s="114">
        <f>C6+C10+C16+C20+C25</f>
        <v>523640188.13000005</v>
      </c>
      <c r="D26" s="114">
        <f>D6+D10+D16+D20+D25</f>
        <v>154847001.79000002</v>
      </c>
      <c r="E26" s="694">
        <f>E6+E10+E16+E20+E25</f>
        <v>130927786.11</v>
      </c>
      <c r="F26" s="694">
        <f t="shared" ref="F26:R26" si="8">F6+F10+F16+F20+F25</f>
        <v>176084219.56</v>
      </c>
      <c r="G26" s="694">
        <f t="shared" si="8"/>
        <v>168814781.83999997</v>
      </c>
      <c r="H26" s="698">
        <f t="shared" si="8"/>
        <v>243509501.77999997</v>
      </c>
      <c r="I26" s="691">
        <f t="shared" si="8"/>
        <v>120305808.84</v>
      </c>
      <c r="J26" s="694">
        <f t="shared" si="8"/>
        <v>223436922.005</v>
      </c>
      <c r="K26" s="694">
        <f t="shared" si="8"/>
        <v>270989653</v>
      </c>
      <c r="L26" s="694">
        <f t="shared" si="8"/>
        <v>347197662</v>
      </c>
      <c r="M26" s="694">
        <f t="shared" si="8"/>
        <v>288930922</v>
      </c>
      <c r="N26" s="699">
        <f t="shared" si="8"/>
        <v>300785552.94500005</v>
      </c>
      <c r="O26" s="700">
        <f t="shared" si="8"/>
        <v>2949470000</v>
      </c>
      <c r="P26" s="691">
        <f t="shared" si="8"/>
        <v>2949470000</v>
      </c>
      <c r="Q26" s="692">
        <f t="shared" si="8"/>
        <v>2953880956.00138</v>
      </c>
      <c r="R26" s="693">
        <f t="shared" si="8"/>
        <v>3188949906.9282212</v>
      </c>
      <c r="S26" s="128"/>
    </row>
    <row r="27" spans="1:19" ht="5.0999999999999996" customHeight="1" x14ac:dyDescent="0.25">
      <c r="A27" s="83"/>
      <c r="B27" s="129"/>
      <c r="C27" s="241"/>
      <c r="D27" s="75"/>
      <c r="E27" s="75"/>
      <c r="F27" s="75"/>
      <c r="G27" s="75"/>
      <c r="H27" s="517"/>
      <c r="I27" s="241"/>
      <c r="J27" s="75"/>
      <c r="K27" s="75"/>
      <c r="L27" s="75"/>
      <c r="M27" s="75"/>
      <c r="N27" s="517"/>
      <c r="O27" s="549"/>
      <c r="P27" s="241"/>
      <c r="Q27" s="75"/>
      <c r="R27" s="76"/>
      <c r="S27" s="128"/>
    </row>
    <row r="28" spans="1:19" ht="12.75" customHeight="1" x14ac:dyDescent="0.25">
      <c r="A28" s="72" t="s">
        <v>673</v>
      </c>
      <c r="B28" s="129"/>
      <c r="C28" s="241"/>
      <c r="D28" s="75"/>
      <c r="E28" s="75"/>
      <c r="F28" s="75"/>
      <c r="G28" s="75"/>
      <c r="H28" s="517"/>
      <c r="I28" s="241"/>
      <c r="J28" s="75"/>
      <c r="K28" s="75"/>
      <c r="L28" s="75"/>
      <c r="M28" s="75"/>
      <c r="N28" s="517"/>
      <c r="O28" s="549"/>
      <c r="P28" s="241"/>
      <c r="Q28" s="75"/>
      <c r="R28" s="76"/>
      <c r="S28" s="128"/>
    </row>
    <row r="29" spans="1:19" ht="12.75" customHeight="1" x14ac:dyDescent="0.25">
      <c r="A29" s="107" t="str">
        <f t="shared" ref="A29:A48" si="9">A6</f>
        <v>Governance and administration</v>
      </c>
      <c r="B29" s="129"/>
      <c r="C29" s="258">
        <f t="shared" ref="C29:M29" si="10">SUM(C30:C32)</f>
        <v>40882217.040000007</v>
      </c>
      <c r="D29" s="258">
        <f t="shared" si="10"/>
        <v>34121435.379999995</v>
      </c>
      <c r="E29" s="258">
        <f t="shared" si="10"/>
        <v>43171203.509999998</v>
      </c>
      <c r="F29" s="258">
        <f t="shared" si="10"/>
        <v>51450070.840000004</v>
      </c>
      <c r="G29" s="258">
        <f t="shared" si="10"/>
        <v>40418761.600000001</v>
      </c>
      <c r="H29" s="717">
        <f t="shared" si="10"/>
        <v>64998850.75</v>
      </c>
      <c r="I29" s="718">
        <f t="shared" si="10"/>
        <v>40594620.539999992</v>
      </c>
      <c r="J29" s="258">
        <f t="shared" si="10"/>
        <v>41011182</v>
      </c>
      <c r="K29" s="258">
        <f t="shared" si="10"/>
        <v>48933992</v>
      </c>
      <c r="L29" s="258">
        <f t="shared" si="10"/>
        <v>45691210</v>
      </c>
      <c r="M29" s="258">
        <f t="shared" si="10"/>
        <v>41905940</v>
      </c>
      <c r="N29" s="525">
        <f t="shared" ref="N29:N48" si="11">P29-SUM(C29:M29)</f>
        <v>33032563.340000033</v>
      </c>
      <c r="O29" s="564">
        <f t="shared" ref="O29:O37" si="12">SUM(C29:N29)</f>
        <v>526212047</v>
      </c>
      <c r="P29" s="485">
        <f>'B2-FinPerf SC'!K30</f>
        <v>526212047</v>
      </c>
      <c r="Q29" s="141">
        <f>'B2-FinPerf SC'!L30</f>
        <v>544864023.80688965</v>
      </c>
      <c r="R29" s="142">
        <f>'B2-FinPerf SC'!M30</f>
        <v>579179010.94888258</v>
      </c>
      <c r="S29" s="128"/>
    </row>
    <row r="30" spans="1:19" ht="12.75" customHeight="1" x14ac:dyDescent="0.25">
      <c r="A30" s="108" t="str">
        <f t="shared" si="9"/>
        <v>Executive and council</v>
      </c>
      <c r="B30" s="129"/>
      <c r="C30" s="109">
        <v>18271132.080000006</v>
      </c>
      <c r="D30" s="109">
        <v>3718383.46</v>
      </c>
      <c r="E30" s="109">
        <v>7015033.4399999958</v>
      </c>
      <c r="F30" s="109">
        <v>8292029.8400000036</v>
      </c>
      <c r="G30" s="109">
        <v>7343358.0000000056</v>
      </c>
      <c r="H30" s="390">
        <v>4803160.8600000003</v>
      </c>
      <c r="I30" s="391">
        <v>6216526.5899999989</v>
      </c>
      <c r="J30" s="109">
        <v>8953199</v>
      </c>
      <c r="K30" s="109">
        <v>16977530</v>
      </c>
      <c r="L30" s="109">
        <v>15150061</v>
      </c>
      <c r="M30" s="109">
        <v>9953199</v>
      </c>
      <c r="N30" s="517">
        <f t="shared" si="11"/>
        <v>11560923.729999989</v>
      </c>
      <c r="O30" s="549">
        <f t="shared" si="12"/>
        <v>118254537</v>
      </c>
      <c r="P30" s="241">
        <f>'B2-FinPerf SC'!K31</f>
        <v>118254537</v>
      </c>
      <c r="Q30" s="75">
        <f>'B2-FinPerf SC'!L31</f>
        <v>114545578.84033</v>
      </c>
      <c r="R30" s="76">
        <f>'B2-FinPerf SC'!M31</f>
        <v>121761947.68727079</v>
      </c>
      <c r="S30" s="128"/>
    </row>
    <row r="31" spans="1:19" ht="12.75" customHeight="1" x14ac:dyDescent="0.25">
      <c r="A31" s="108" t="str">
        <f t="shared" si="9"/>
        <v>Budget and treasury office</v>
      </c>
      <c r="B31" s="129"/>
      <c r="C31" s="111">
        <v>7177209.3000000007</v>
      </c>
      <c r="D31" s="111">
        <v>11418104.029999999</v>
      </c>
      <c r="E31" s="111">
        <v>10500238.680000002</v>
      </c>
      <c r="F31" s="111">
        <v>10265564.93</v>
      </c>
      <c r="G31" s="111">
        <v>12495414.17</v>
      </c>
      <c r="H31" s="565">
        <v>28975015.770000003</v>
      </c>
      <c r="I31" s="566">
        <v>11665470.9</v>
      </c>
      <c r="J31" s="111">
        <v>10506351</v>
      </c>
      <c r="K31" s="111">
        <v>11269312</v>
      </c>
      <c r="L31" s="111">
        <v>10454928</v>
      </c>
      <c r="M31" s="111">
        <v>10465486</v>
      </c>
      <c r="N31" s="517">
        <f t="shared" si="11"/>
        <v>1693346.2199999988</v>
      </c>
      <c r="O31" s="549">
        <f t="shared" si="12"/>
        <v>136886441</v>
      </c>
      <c r="P31" s="241">
        <f>'B2-FinPerf SC'!K32</f>
        <v>136886441</v>
      </c>
      <c r="Q31" s="75">
        <f>'B2-FinPerf SC'!L32</f>
        <v>164456233.07183945</v>
      </c>
      <c r="R31" s="76">
        <f>'B2-FinPerf SC'!M32</f>
        <v>174805647.96137041</v>
      </c>
      <c r="S31" s="128"/>
    </row>
    <row r="32" spans="1:19" ht="12.75" customHeight="1" x14ac:dyDescent="0.25">
      <c r="A32" s="108" t="str">
        <f t="shared" si="9"/>
        <v>Corporate services</v>
      </c>
      <c r="B32" s="129"/>
      <c r="C32" s="109">
        <v>15433875.660000004</v>
      </c>
      <c r="D32" s="109">
        <v>18984947.889999997</v>
      </c>
      <c r="E32" s="109">
        <v>25655931.390000001</v>
      </c>
      <c r="F32" s="109">
        <v>32892476.069999997</v>
      </c>
      <c r="G32" s="109">
        <v>20579989.429999996</v>
      </c>
      <c r="H32" s="390">
        <v>31220674.119999997</v>
      </c>
      <c r="I32" s="391">
        <v>22712623.049999997</v>
      </c>
      <c r="J32" s="109">
        <v>21551632</v>
      </c>
      <c r="K32" s="109">
        <v>20687150</v>
      </c>
      <c r="L32" s="109">
        <v>20086221</v>
      </c>
      <c r="M32" s="109">
        <v>21487255</v>
      </c>
      <c r="N32" s="517">
        <f t="shared" si="11"/>
        <v>19778293.390000045</v>
      </c>
      <c r="O32" s="549">
        <f t="shared" si="12"/>
        <v>271071069</v>
      </c>
      <c r="P32" s="241">
        <f>'B2-FinPerf SC'!K33</f>
        <v>271071069</v>
      </c>
      <c r="Q32" s="75">
        <f>'B2-FinPerf SC'!L33</f>
        <v>265862211.89472023</v>
      </c>
      <c r="R32" s="76">
        <f>'B2-FinPerf SC'!M33</f>
        <v>282611415.30024135</v>
      </c>
      <c r="S32" s="128"/>
    </row>
    <row r="33" spans="1:19" ht="12.75" customHeight="1" x14ac:dyDescent="0.25">
      <c r="A33" s="107" t="str">
        <f t="shared" si="9"/>
        <v>Community and public safety</v>
      </c>
      <c r="B33" s="129"/>
      <c r="C33" s="258">
        <f t="shared" ref="C33:M33" si="13">SUM(C34:C38)</f>
        <v>18882072.219999999</v>
      </c>
      <c r="D33" s="258">
        <f t="shared" si="13"/>
        <v>17980840.159999996</v>
      </c>
      <c r="E33" s="258">
        <f t="shared" si="13"/>
        <v>18835298.989999998</v>
      </c>
      <c r="F33" s="258">
        <f t="shared" si="13"/>
        <v>27905142.570000008</v>
      </c>
      <c r="G33" s="258">
        <f t="shared" si="13"/>
        <v>22608143.829999998</v>
      </c>
      <c r="H33" s="717">
        <f t="shared" si="13"/>
        <v>22928361.580000006</v>
      </c>
      <c r="I33" s="718">
        <f t="shared" si="13"/>
        <v>21288823.480000004</v>
      </c>
      <c r="J33" s="258">
        <f t="shared" si="13"/>
        <v>31683700</v>
      </c>
      <c r="K33" s="258">
        <f t="shared" si="13"/>
        <v>39379249</v>
      </c>
      <c r="L33" s="258">
        <f t="shared" si="13"/>
        <v>38510105</v>
      </c>
      <c r="M33" s="258">
        <f t="shared" si="13"/>
        <v>45156027</v>
      </c>
      <c r="N33" s="525">
        <f t="shared" si="11"/>
        <v>48887029.170000017</v>
      </c>
      <c r="O33" s="564">
        <f t="shared" si="12"/>
        <v>354044793</v>
      </c>
      <c r="P33" s="485">
        <f>'B2-FinPerf SC'!K34</f>
        <v>354044793</v>
      </c>
      <c r="Q33" s="141">
        <f>'B2-FinPerf SC'!L34</f>
        <v>366180636.96684974</v>
      </c>
      <c r="R33" s="142">
        <f>'B2-FinPerf SC'!M34</f>
        <v>389249781.52196014</v>
      </c>
      <c r="S33" s="128"/>
    </row>
    <row r="34" spans="1:19" ht="12.75" customHeight="1" x14ac:dyDescent="0.25">
      <c r="A34" s="108" t="str">
        <f t="shared" si="9"/>
        <v>Community and social services</v>
      </c>
      <c r="B34" s="129"/>
      <c r="C34" s="109">
        <v>4578606.8600000003</v>
      </c>
      <c r="D34" s="109">
        <v>3809161.98</v>
      </c>
      <c r="E34" s="109">
        <v>4325631.45</v>
      </c>
      <c r="F34" s="109">
        <v>8125273.2600000026</v>
      </c>
      <c r="G34" s="109">
        <v>5863592.9799999977</v>
      </c>
      <c r="H34" s="390">
        <v>6203558.4600000009</v>
      </c>
      <c r="I34" s="391">
        <v>4606685.91</v>
      </c>
      <c r="J34" s="109">
        <v>6742158</v>
      </c>
      <c r="K34" s="109">
        <v>6742546</v>
      </c>
      <c r="L34" s="109">
        <v>9356450</v>
      </c>
      <c r="M34" s="109">
        <v>8735765</v>
      </c>
      <c r="N34" s="517">
        <f t="shared" si="11"/>
        <v>12079976.099999994</v>
      </c>
      <c r="O34" s="549">
        <f t="shared" si="12"/>
        <v>81169406</v>
      </c>
      <c r="P34" s="241">
        <f>'B2-FinPerf SC'!K35</f>
        <v>81169406</v>
      </c>
      <c r="Q34" s="75">
        <f>'B2-FinPerf SC'!L35</f>
        <v>85793312.745559901</v>
      </c>
      <c r="R34" s="76">
        <f>'B2-FinPerf SC'!M35</f>
        <v>91198183.1685303</v>
      </c>
      <c r="S34" s="128"/>
    </row>
    <row r="35" spans="1:19" ht="12.75" customHeight="1" x14ac:dyDescent="0.25">
      <c r="A35" s="108" t="str">
        <f t="shared" si="9"/>
        <v>Sport and recreation</v>
      </c>
      <c r="B35" s="129"/>
      <c r="C35" s="109">
        <v>1763897.74</v>
      </c>
      <c r="D35" s="109">
        <v>2848053.51</v>
      </c>
      <c r="E35" s="109">
        <v>3603032.9999999995</v>
      </c>
      <c r="F35" s="109">
        <v>3800329.9099999997</v>
      </c>
      <c r="G35" s="109">
        <v>4181864.3600000003</v>
      </c>
      <c r="H35" s="390">
        <v>4178717.0199999996</v>
      </c>
      <c r="I35" s="391">
        <v>3046489.66</v>
      </c>
      <c r="J35" s="109">
        <v>11143545</v>
      </c>
      <c r="K35" s="109">
        <v>18838057</v>
      </c>
      <c r="L35" s="109">
        <v>8231422</v>
      </c>
      <c r="M35" s="109">
        <v>22284430</v>
      </c>
      <c r="N35" s="517">
        <f t="shared" si="11"/>
        <v>21597640.799999997</v>
      </c>
      <c r="O35" s="549">
        <f t="shared" si="12"/>
        <v>105517480</v>
      </c>
      <c r="P35" s="241">
        <f>'B2-FinPerf SC'!K36</f>
        <v>105517480</v>
      </c>
      <c r="Q35" s="75">
        <f>'B2-FinPerf SC'!L36</f>
        <v>107695679.23590003</v>
      </c>
      <c r="R35" s="76">
        <f>'B2-FinPerf SC'!M36</f>
        <v>114480456.8377617</v>
      </c>
      <c r="S35" s="128"/>
    </row>
    <row r="36" spans="1:19" ht="12.75" customHeight="1" x14ac:dyDescent="0.25">
      <c r="A36" s="108" t="str">
        <f t="shared" si="9"/>
        <v>Public safety</v>
      </c>
      <c r="B36" s="129"/>
      <c r="C36" s="109">
        <v>11012086.52</v>
      </c>
      <c r="D36" s="109">
        <v>10239084.189999998</v>
      </c>
      <c r="E36" s="109">
        <v>9846231.4199999981</v>
      </c>
      <c r="F36" s="109">
        <v>14733190.070000006</v>
      </c>
      <c r="G36" s="109">
        <v>11658816.01</v>
      </c>
      <c r="H36" s="390">
        <v>11652877.890000002</v>
      </c>
      <c r="I36" s="391">
        <v>12717486.970000003</v>
      </c>
      <c r="J36" s="109">
        <v>12773909</v>
      </c>
      <c r="K36" s="109">
        <v>12775998</v>
      </c>
      <c r="L36" s="109">
        <v>19899585</v>
      </c>
      <c r="M36" s="109">
        <v>12998880</v>
      </c>
      <c r="N36" s="517">
        <f t="shared" si="11"/>
        <v>13525947.930000007</v>
      </c>
      <c r="O36" s="549">
        <f t="shared" si="12"/>
        <v>153834093</v>
      </c>
      <c r="P36" s="241">
        <f>'B2-FinPerf SC'!K37</f>
        <v>153834093</v>
      </c>
      <c r="Q36" s="75">
        <f>'B2-FinPerf SC'!L37</f>
        <v>159509758.68582982</v>
      </c>
      <c r="R36" s="76">
        <f>'B2-FinPerf SC'!M37</f>
        <v>169558814.5630374</v>
      </c>
      <c r="S36" s="128"/>
    </row>
    <row r="37" spans="1:19" ht="12.75" customHeight="1" x14ac:dyDescent="0.25">
      <c r="A37" s="108" t="str">
        <f t="shared" si="9"/>
        <v>Housing</v>
      </c>
      <c r="B37" s="129"/>
      <c r="C37" s="109">
        <v>1052767.0599999998</v>
      </c>
      <c r="D37" s="109">
        <v>769428.74</v>
      </c>
      <c r="E37" s="109">
        <v>772458.44</v>
      </c>
      <c r="F37" s="109">
        <v>865836.74000000011</v>
      </c>
      <c r="G37" s="109">
        <v>598072.64</v>
      </c>
      <c r="H37" s="390">
        <v>572548.53</v>
      </c>
      <c r="I37" s="391">
        <v>608501.62</v>
      </c>
      <c r="J37" s="109">
        <v>664836</v>
      </c>
      <c r="K37" s="109">
        <v>663396</v>
      </c>
      <c r="L37" s="109">
        <v>663396</v>
      </c>
      <c r="M37" s="109">
        <v>777700</v>
      </c>
      <c r="N37" s="517">
        <f t="shared" si="11"/>
        <v>1222735.2299999995</v>
      </c>
      <c r="O37" s="549">
        <f t="shared" si="12"/>
        <v>9231677</v>
      </c>
      <c r="P37" s="241">
        <f>'B2-FinPerf SC'!K38</f>
        <v>9231677</v>
      </c>
      <c r="Q37" s="75">
        <f>'B2-FinPerf SC'!L38</f>
        <v>8584678.8876299988</v>
      </c>
      <c r="R37" s="76">
        <f>'B2-FinPerf SC'!M38</f>
        <v>9125509.3175606877</v>
      </c>
      <c r="S37" s="128"/>
    </row>
    <row r="38" spans="1:19" ht="12.75" customHeight="1" x14ac:dyDescent="0.25">
      <c r="A38" s="108" t="str">
        <f t="shared" si="9"/>
        <v>Health</v>
      </c>
      <c r="B38" s="129"/>
      <c r="C38" s="111">
        <v>474714.04</v>
      </c>
      <c r="D38" s="111">
        <v>315111.74</v>
      </c>
      <c r="E38" s="111">
        <v>287944.68000000005</v>
      </c>
      <c r="F38" s="111">
        <v>380512.58999999997</v>
      </c>
      <c r="G38" s="111">
        <v>305797.84000000003</v>
      </c>
      <c r="H38" s="565">
        <v>320659.68000000005</v>
      </c>
      <c r="I38" s="566">
        <v>309659.32</v>
      </c>
      <c r="J38" s="111">
        <v>359252</v>
      </c>
      <c r="K38" s="111">
        <v>359252</v>
      </c>
      <c r="L38" s="111">
        <v>359252</v>
      </c>
      <c r="M38" s="111">
        <v>359252</v>
      </c>
      <c r="N38" s="517">
        <f t="shared" si="11"/>
        <v>460729.11000000034</v>
      </c>
      <c r="O38" s="549"/>
      <c r="P38" s="241">
        <f>'B2-FinPerf SC'!K39</f>
        <v>4292137</v>
      </c>
      <c r="Q38" s="75">
        <f>'B2-FinPerf SC'!L39</f>
        <v>4597207.4119299976</v>
      </c>
      <c r="R38" s="76">
        <f>'B2-FinPerf SC'!M39</f>
        <v>4886817.6350700911</v>
      </c>
      <c r="S38" s="128"/>
    </row>
    <row r="39" spans="1:19" ht="12.75" customHeight="1" x14ac:dyDescent="0.25">
      <c r="A39" s="107" t="str">
        <f t="shared" si="9"/>
        <v>Economic and environmental services</v>
      </c>
      <c r="B39" s="129"/>
      <c r="C39" s="258">
        <f t="shared" ref="C39:M39" si="14">SUM(C40:C42)</f>
        <v>7960746.5600000005</v>
      </c>
      <c r="D39" s="258">
        <f t="shared" si="14"/>
        <v>8561874.160000002</v>
      </c>
      <c r="E39" s="258">
        <f t="shared" si="14"/>
        <v>10679090.899999999</v>
      </c>
      <c r="F39" s="258">
        <f t="shared" si="14"/>
        <v>9122510.7000000011</v>
      </c>
      <c r="G39" s="258">
        <f t="shared" si="14"/>
        <v>8122488.8700000001</v>
      </c>
      <c r="H39" s="717">
        <f t="shared" si="14"/>
        <v>12385079.630000001</v>
      </c>
      <c r="I39" s="718">
        <f t="shared" si="14"/>
        <v>6823726.3300000001</v>
      </c>
      <c r="J39" s="258">
        <f t="shared" si="14"/>
        <v>18049868</v>
      </c>
      <c r="K39" s="258">
        <f t="shared" si="14"/>
        <v>28819898</v>
      </c>
      <c r="L39" s="258">
        <f t="shared" si="14"/>
        <v>28840766</v>
      </c>
      <c r="M39" s="258">
        <f t="shared" si="14"/>
        <v>27800981</v>
      </c>
      <c r="N39" s="525">
        <f t="shared" si="11"/>
        <v>36804834.849999994</v>
      </c>
      <c r="O39" s="564"/>
      <c r="P39" s="485">
        <f>'B2-FinPerf SC'!K40</f>
        <v>203971865</v>
      </c>
      <c r="Q39" s="141">
        <f>'B2-FinPerf SC'!L40</f>
        <v>198688870.11083996</v>
      </c>
      <c r="R39" s="142">
        <f>'B2-FinPerf SC'!M40</f>
        <v>211206235.54782286</v>
      </c>
      <c r="S39" s="128"/>
    </row>
    <row r="40" spans="1:19" ht="12.75" customHeight="1" x14ac:dyDescent="0.25">
      <c r="A40" s="108" t="str">
        <f t="shared" si="9"/>
        <v>Planning and development</v>
      </c>
      <c r="B40" s="129"/>
      <c r="C40" s="109">
        <v>3983936.8600000003</v>
      </c>
      <c r="D40" s="109">
        <v>3627874.1000000006</v>
      </c>
      <c r="E40" s="109">
        <v>4080380.0999999996</v>
      </c>
      <c r="F40" s="109">
        <v>4154264.370000002</v>
      </c>
      <c r="G40" s="109">
        <v>3729471.52</v>
      </c>
      <c r="H40" s="390">
        <v>4801906.88</v>
      </c>
      <c r="I40" s="391">
        <v>3340890.37</v>
      </c>
      <c r="J40" s="109">
        <v>9720858</v>
      </c>
      <c r="K40" s="109">
        <v>9499835</v>
      </c>
      <c r="L40" s="109">
        <v>17533645</v>
      </c>
      <c r="M40" s="109">
        <v>9499835</v>
      </c>
      <c r="N40" s="517">
        <f t="shared" si="11"/>
        <v>17209759.799999997</v>
      </c>
      <c r="O40" s="549"/>
      <c r="P40" s="241">
        <f>'B2-FinPerf SC'!K41</f>
        <v>91182657</v>
      </c>
      <c r="Q40" s="75">
        <f>'B2-FinPerf SC'!L41</f>
        <v>91801287.358159989</v>
      </c>
      <c r="R40" s="76">
        <f>'B2-FinPerf SC'!M41</f>
        <v>97584746.681724072</v>
      </c>
      <c r="S40" s="128"/>
    </row>
    <row r="41" spans="1:19" ht="12.75" customHeight="1" x14ac:dyDescent="0.25">
      <c r="A41" s="108" t="str">
        <f t="shared" si="9"/>
        <v>Road transport</v>
      </c>
      <c r="B41" s="129"/>
      <c r="C41" s="109">
        <v>3274645.37</v>
      </c>
      <c r="D41" s="109">
        <v>4402543.1300000008</v>
      </c>
      <c r="E41" s="109">
        <v>6091531.2799999993</v>
      </c>
      <c r="F41" s="109">
        <v>4199300.05</v>
      </c>
      <c r="G41" s="109">
        <v>3779168.86</v>
      </c>
      <c r="H41" s="390">
        <v>6863951.8400000008</v>
      </c>
      <c r="I41" s="391">
        <v>2855019.14</v>
      </c>
      <c r="J41" s="109">
        <v>7494001</v>
      </c>
      <c r="K41" s="109">
        <v>18501863</v>
      </c>
      <c r="L41" s="109">
        <v>10499835</v>
      </c>
      <c r="M41" s="109">
        <v>17493860</v>
      </c>
      <c r="N41" s="517">
        <f t="shared" si="11"/>
        <v>17414481.329999998</v>
      </c>
      <c r="O41" s="549"/>
      <c r="P41" s="241">
        <f>'B2-FinPerf SC'!K42</f>
        <v>102870200</v>
      </c>
      <c r="Q41" s="75">
        <f>'B2-FinPerf SC'!L42</f>
        <v>96141375.788639963</v>
      </c>
      <c r="R41" s="76">
        <f>'B2-FinPerf SC'!M42</f>
        <v>102198278.05332428</v>
      </c>
      <c r="S41" s="128"/>
    </row>
    <row r="42" spans="1:19" ht="12.75" customHeight="1" x14ac:dyDescent="0.25">
      <c r="A42" s="108" t="str">
        <f t="shared" si="9"/>
        <v>Environmental protection</v>
      </c>
      <c r="B42" s="129"/>
      <c r="C42" s="109">
        <v>702164.32999999984</v>
      </c>
      <c r="D42" s="109">
        <v>531456.93000000005</v>
      </c>
      <c r="E42" s="109">
        <v>507179.52000000008</v>
      </c>
      <c r="F42" s="109">
        <v>768946.28000000014</v>
      </c>
      <c r="G42" s="109">
        <v>613848.49000000022</v>
      </c>
      <c r="H42" s="390">
        <v>719220.91000000015</v>
      </c>
      <c r="I42" s="391">
        <v>627816.81999999995</v>
      </c>
      <c r="J42" s="109">
        <v>835009</v>
      </c>
      <c r="K42" s="109">
        <v>818200</v>
      </c>
      <c r="L42" s="109">
        <v>807286</v>
      </c>
      <c r="M42" s="109">
        <v>807286</v>
      </c>
      <c r="N42" s="517">
        <f t="shared" si="11"/>
        <v>2180593.7199999997</v>
      </c>
      <c r="O42" s="549"/>
      <c r="P42" s="241">
        <f>'B2-FinPerf SC'!K43</f>
        <v>9919008</v>
      </c>
      <c r="Q42" s="75">
        <f>'B2-FinPerf SC'!L43</f>
        <v>10746206.964039998</v>
      </c>
      <c r="R42" s="76">
        <f>'B2-FinPerf SC'!M43</f>
        <v>11423210.812774513</v>
      </c>
      <c r="S42" s="128"/>
    </row>
    <row r="43" spans="1:19" ht="12.75" customHeight="1" x14ac:dyDescent="0.25">
      <c r="A43" s="107" t="str">
        <f t="shared" si="9"/>
        <v>Trading services</v>
      </c>
      <c r="B43" s="129"/>
      <c r="C43" s="258">
        <f>SUM(C44:C47)</f>
        <v>114888409.94</v>
      </c>
      <c r="D43" s="258">
        <f t="shared" ref="D43:M43" si="15">SUM(D44:D47)</f>
        <v>117235779.11999997</v>
      </c>
      <c r="E43" s="258">
        <f t="shared" si="15"/>
        <v>89667435.75999999</v>
      </c>
      <c r="F43" s="258">
        <f t="shared" si="15"/>
        <v>90470787.830000013</v>
      </c>
      <c r="G43" s="258">
        <f t="shared" si="15"/>
        <v>66999810.229999997</v>
      </c>
      <c r="H43" s="717">
        <f t="shared" si="15"/>
        <v>55108271.300000004</v>
      </c>
      <c r="I43" s="718">
        <f t="shared" si="15"/>
        <v>93403776.970000014</v>
      </c>
      <c r="J43" s="258">
        <f t="shared" si="15"/>
        <v>121198641</v>
      </c>
      <c r="K43" s="258">
        <f t="shared" si="15"/>
        <v>105322236</v>
      </c>
      <c r="L43" s="258">
        <f t="shared" si="15"/>
        <v>105159592</v>
      </c>
      <c r="M43" s="258">
        <f t="shared" si="15"/>
        <v>111027385</v>
      </c>
      <c r="N43" s="525">
        <f>P43-SUM(C43:M43)</f>
        <v>167259169.85000002</v>
      </c>
      <c r="O43" s="564">
        <f>SUM(C43:N43)</f>
        <v>1237741295</v>
      </c>
      <c r="P43" s="485">
        <f>'B2-FinPerf SC'!K44</f>
        <v>1237741295</v>
      </c>
      <c r="Q43" s="141">
        <f>'B2-FinPerf SC'!L44</f>
        <v>1248389483.8147895</v>
      </c>
      <c r="R43" s="142">
        <f>'B2-FinPerf SC'!M44</f>
        <v>1297274002.6751223</v>
      </c>
      <c r="S43" s="128"/>
    </row>
    <row r="44" spans="1:19" ht="12.75" customHeight="1" x14ac:dyDescent="0.25">
      <c r="A44" s="108" t="str">
        <f t="shared" si="9"/>
        <v>Electricity</v>
      </c>
      <c r="B44" s="129"/>
      <c r="C44" s="109">
        <v>90112662.709999993</v>
      </c>
      <c r="D44" s="109">
        <v>86710154.419999987</v>
      </c>
      <c r="E44" s="109">
        <v>62532844.640000001</v>
      </c>
      <c r="F44" s="109">
        <v>59469784.030000009</v>
      </c>
      <c r="G44" s="109">
        <v>50147230.809999995</v>
      </c>
      <c r="H44" s="390">
        <v>36052175.240000002</v>
      </c>
      <c r="I44" s="391">
        <v>66349403.670000017</v>
      </c>
      <c r="J44" s="109">
        <f>63038887+10000000</f>
        <v>73038887</v>
      </c>
      <c r="K44" s="109">
        <v>59765771</v>
      </c>
      <c r="L44" s="109">
        <v>59802838</v>
      </c>
      <c r="M44" s="109">
        <v>61232333</v>
      </c>
      <c r="N44" s="517">
        <f t="shared" si="11"/>
        <v>84725854.480000019</v>
      </c>
      <c r="O44" s="549">
        <f>SUM(C44:N44)</f>
        <v>789939939</v>
      </c>
      <c r="P44" s="241">
        <f>'B2-FinPerf SC'!K45</f>
        <v>789939939</v>
      </c>
      <c r="Q44" s="75">
        <f>'B2-FinPerf SC'!L45</f>
        <v>772679485.03981984</v>
      </c>
      <c r="R44" s="76">
        <f>'B2-FinPerf SC'!M45</f>
        <v>791594284.12732923</v>
      </c>
      <c r="S44" s="128"/>
    </row>
    <row r="45" spans="1:19" ht="12.75" customHeight="1" x14ac:dyDescent="0.25">
      <c r="A45" s="108" t="str">
        <f t="shared" si="9"/>
        <v>Water</v>
      </c>
      <c r="B45" s="129"/>
      <c r="C45" s="109">
        <v>17771265.449999999</v>
      </c>
      <c r="D45" s="109">
        <v>22300654.479999997</v>
      </c>
      <c r="E45" s="109">
        <v>19185197.93</v>
      </c>
      <c r="F45" s="109">
        <v>21757448.329999998</v>
      </c>
      <c r="G45" s="109">
        <v>8355406.5700000003</v>
      </c>
      <c r="H45" s="390">
        <v>9077925.709999999</v>
      </c>
      <c r="I45" s="391">
        <v>18833380.57</v>
      </c>
      <c r="J45" s="109">
        <f>24624676+10000000</f>
        <v>34624676</v>
      </c>
      <c r="K45" s="109">
        <v>29611577</v>
      </c>
      <c r="L45" s="109">
        <v>21551577</v>
      </c>
      <c r="M45" s="109">
        <v>25051577</v>
      </c>
      <c r="N45" s="517">
        <f t="shared" si="11"/>
        <v>64808209.960000008</v>
      </c>
      <c r="O45" s="549"/>
      <c r="P45" s="241">
        <f>'B2-FinPerf SC'!K46</f>
        <v>292928896</v>
      </c>
      <c r="Q45" s="75">
        <f>'B2-FinPerf SC'!L46</f>
        <v>314610285.54667991</v>
      </c>
      <c r="R45" s="76">
        <f>'B2-FinPerf SC'!M46</f>
        <v>334430727.93612081</v>
      </c>
      <c r="S45" s="128"/>
    </row>
    <row r="46" spans="1:19" ht="12.75" customHeight="1" x14ac:dyDescent="0.25">
      <c r="A46" s="108" t="str">
        <f t="shared" si="9"/>
        <v>Waste water management</v>
      </c>
      <c r="B46" s="129"/>
      <c r="C46" s="111">
        <v>2806663.1999999997</v>
      </c>
      <c r="D46" s="111">
        <v>3919808.3000000003</v>
      </c>
      <c r="E46" s="111">
        <v>4055550.3899999997</v>
      </c>
      <c r="F46" s="111">
        <v>3645932.23</v>
      </c>
      <c r="G46" s="111">
        <v>3581488.1300000004</v>
      </c>
      <c r="H46" s="565">
        <v>3928503.7</v>
      </c>
      <c r="I46" s="566">
        <v>3713471.4699999997</v>
      </c>
      <c r="J46" s="111">
        <v>8126761</v>
      </c>
      <c r="K46" s="111">
        <v>9536571</v>
      </c>
      <c r="L46" s="111">
        <v>17296860</v>
      </c>
      <c r="M46" s="111">
        <v>19335158</v>
      </c>
      <c r="N46" s="517">
        <f t="shared" si="11"/>
        <v>9603294.5799999982</v>
      </c>
      <c r="O46" s="549"/>
      <c r="P46" s="241">
        <f>'B2-FinPerf SC'!K47</f>
        <v>89550062</v>
      </c>
      <c r="Q46" s="75">
        <f>'B2-FinPerf SC'!L47</f>
        <v>91981433.824539959</v>
      </c>
      <c r="R46" s="76">
        <f>'B2-FinPerf SC'!M47</f>
        <v>97776262.325486049</v>
      </c>
      <c r="S46" s="128"/>
    </row>
    <row r="47" spans="1:19" ht="12.75" customHeight="1" x14ac:dyDescent="0.25">
      <c r="A47" s="108" t="str">
        <f t="shared" si="9"/>
        <v>Waste management</v>
      </c>
      <c r="B47" s="129"/>
      <c r="C47" s="109">
        <v>4197818.5799999991</v>
      </c>
      <c r="D47" s="109">
        <v>4305161.92</v>
      </c>
      <c r="E47" s="109">
        <v>3893842.8</v>
      </c>
      <c r="F47" s="109">
        <v>5597623.2400000002</v>
      </c>
      <c r="G47" s="109">
        <v>4915684.7200000007</v>
      </c>
      <c r="H47" s="390">
        <v>6049666.6499999994</v>
      </c>
      <c r="I47" s="391">
        <v>4507521.26</v>
      </c>
      <c r="J47" s="109">
        <v>5408317</v>
      </c>
      <c r="K47" s="109">
        <v>6408317</v>
      </c>
      <c r="L47" s="109">
        <v>6508317</v>
      </c>
      <c r="M47" s="109">
        <v>5408317</v>
      </c>
      <c r="N47" s="517">
        <f t="shared" si="11"/>
        <v>8121810.8300000057</v>
      </c>
      <c r="O47" s="549"/>
      <c r="P47" s="241">
        <f>'B2-FinPerf SC'!K48</f>
        <v>65322398</v>
      </c>
      <c r="Q47" s="75">
        <f>'B2-FinPerf SC'!L48</f>
        <v>69118279.403749987</v>
      </c>
      <c r="R47" s="76">
        <f>'B2-FinPerf SC'!M48</f>
        <v>73472728.286186203</v>
      </c>
      <c r="S47" s="128"/>
    </row>
    <row r="48" spans="1:19" ht="12.75" customHeight="1" x14ac:dyDescent="0.25">
      <c r="A48" s="107" t="str">
        <f t="shared" si="9"/>
        <v>Other</v>
      </c>
      <c r="B48" s="129"/>
      <c r="C48" s="109">
        <v>0</v>
      </c>
      <c r="D48" s="109">
        <v>0</v>
      </c>
      <c r="E48" s="830">
        <v>0</v>
      </c>
      <c r="F48" s="830">
        <v>0</v>
      </c>
      <c r="G48" s="830">
        <v>0</v>
      </c>
      <c r="H48" s="915">
        <v>0</v>
      </c>
      <c r="I48" s="916">
        <v>0</v>
      </c>
      <c r="J48" s="830">
        <v>0</v>
      </c>
      <c r="K48" s="830">
        <v>0</v>
      </c>
      <c r="L48" s="830">
        <v>0</v>
      </c>
      <c r="M48" s="830">
        <v>0</v>
      </c>
      <c r="N48" s="525">
        <f t="shared" si="11"/>
        <v>0</v>
      </c>
      <c r="O48" s="564"/>
      <c r="P48" s="485">
        <f>'B2-FinPerf SC'!K49</f>
        <v>0</v>
      </c>
      <c r="Q48" s="141">
        <f>'B2-FinPerf SC'!L49</f>
        <v>0</v>
      </c>
      <c r="R48" s="142">
        <f>'B2-FinPerf SC'!M49</f>
        <v>0</v>
      </c>
      <c r="S48" s="128"/>
    </row>
    <row r="49" spans="1:19" ht="12.75" customHeight="1" x14ac:dyDescent="0.25">
      <c r="A49" s="163" t="s">
        <v>674</v>
      </c>
      <c r="B49" s="163"/>
      <c r="C49" s="114">
        <f>C29+C33+C39+C43+C48</f>
        <v>182613445.75999999</v>
      </c>
      <c r="D49" s="114">
        <f>D29+D33+D39+D43+D48</f>
        <v>177899928.81999996</v>
      </c>
      <c r="E49" s="694">
        <f>E29+E33+E39+E43+E48</f>
        <v>162353029.16</v>
      </c>
      <c r="F49" s="694">
        <f t="shared" ref="F49:R49" si="16">F29+F33+F39+F43+F48</f>
        <v>178948511.94000003</v>
      </c>
      <c r="G49" s="694">
        <f t="shared" si="16"/>
        <v>138149204.53</v>
      </c>
      <c r="H49" s="698">
        <f t="shared" si="16"/>
        <v>155420563.26000002</v>
      </c>
      <c r="I49" s="691">
        <f t="shared" si="16"/>
        <v>162110947.31999999</v>
      </c>
      <c r="J49" s="694">
        <f t="shared" si="16"/>
        <v>211943391</v>
      </c>
      <c r="K49" s="694">
        <f t="shared" si="16"/>
        <v>222455375</v>
      </c>
      <c r="L49" s="694">
        <f t="shared" si="16"/>
        <v>218201673</v>
      </c>
      <c r="M49" s="694">
        <f>M29+M33+M39+M43+M48</f>
        <v>225890333</v>
      </c>
      <c r="N49" s="699">
        <f t="shared" si="16"/>
        <v>285983597.21000004</v>
      </c>
      <c r="O49" s="700">
        <f t="shared" si="16"/>
        <v>2117998135</v>
      </c>
      <c r="P49" s="691">
        <f t="shared" si="16"/>
        <v>2321970000</v>
      </c>
      <c r="Q49" s="692">
        <f t="shared" si="16"/>
        <v>2358123014.6993685</v>
      </c>
      <c r="R49" s="693">
        <f t="shared" si="16"/>
        <v>2476909030.6937876</v>
      </c>
      <c r="S49" s="128"/>
    </row>
    <row r="50" spans="1:19" ht="5.0999999999999996" customHeight="1" x14ac:dyDescent="0.25">
      <c r="A50" s="83"/>
      <c r="B50" s="129"/>
      <c r="C50" s="241"/>
      <c r="D50" s="75"/>
      <c r="E50" s="75"/>
      <c r="F50" s="75"/>
      <c r="G50" s="75"/>
      <c r="H50" s="517"/>
      <c r="I50" s="241"/>
      <c r="J50" s="75"/>
      <c r="K50" s="75"/>
      <c r="L50" s="75"/>
      <c r="M50" s="75"/>
      <c r="N50" s="517"/>
      <c r="O50" s="549"/>
      <c r="P50" s="241"/>
      <c r="Q50" s="75"/>
      <c r="R50" s="76"/>
      <c r="S50" s="128"/>
    </row>
    <row r="51" spans="1:19" ht="12.75" customHeight="1" x14ac:dyDescent="0.25">
      <c r="A51" s="155" t="s">
        <v>245</v>
      </c>
      <c r="B51" s="155"/>
      <c r="C51" s="116">
        <f t="shared" ref="C51:R51" si="17">C26-C49</f>
        <v>341026742.37000006</v>
      </c>
      <c r="D51" s="117">
        <f t="shared" si="17"/>
        <v>-23052927.029999942</v>
      </c>
      <c r="E51" s="117">
        <f t="shared" si="17"/>
        <v>-31425243.049999997</v>
      </c>
      <c r="F51" s="117">
        <f t="shared" si="17"/>
        <v>-2864292.380000025</v>
      </c>
      <c r="G51" s="117">
        <f t="shared" si="17"/>
        <v>30665577.309999973</v>
      </c>
      <c r="H51" s="531">
        <f t="shared" si="17"/>
        <v>88088938.519999951</v>
      </c>
      <c r="I51" s="116">
        <f t="shared" si="17"/>
        <v>-41805138.479999989</v>
      </c>
      <c r="J51" s="117">
        <f t="shared" si="17"/>
        <v>11493531.004999995</v>
      </c>
      <c r="K51" s="117">
        <f t="shared" si="17"/>
        <v>48534278</v>
      </c>
      <c r="L51" s="117">
        <f t="shared" si="17"/>
        <v>128995989</v>
      </c>
      <c r="M51" s="117">
        <f t="shared" si="17"/>
        <v>63040589</v>
      </c>
      <c r="N51" s="531">
        <f t="shared" si="17"/>
        <v>14801955.735000014</v>
      </c>
      <c r="O51" s="552">
        <f t="shared" si="17"/>
        <v>831471865</v>
      </c>
      <c r="P51" s="116">
        <f t="shared" si="17"/>
        <v>627500000</v>
      </c>
      <c r="Q51" s="117">
        <f t="shared" si="17"/>
        <v>595757941.30201149</v>
      </c>
      <c r="R51" s="118">
        <f t="shared" si="17"/>
        <v>712040876.23443365</v>
      </c>
      <c r="S51" s="128"/>
    </row>
    <row r="52" spans="1:19" x14ac:dyDescent="0.25">
      <c r="A52" s="553" t="str">
        <f>head27a</f>
        <v>References</v>
      </c>
      <c r="B52" s="567"/>
      <c r="C52" s="554"/>
      <c r="D52" s="554"/>
      <c r="E52" s="554"/>
      <c r="F52" s="554"/>
      <c r="G52" s="554"/>
      <c r="H52" s="554"/>
      <c r="I52" s="554"/>
      <c r="J52" s="554"/>
      <c r="K52" s="554"/>
      <c r="L52" s="554"/>
      <c r="M52" s="554"/>
      <c r="N52" s="554"/>
      <c r="O52" s="554"/>
      <c r="P52" s="554"/>
      <c r="Q52" s="554"/>
      <c r="R52" s="554"/>
      <c r="S52" s="128"/>
    </row>
    <row r="53" spans="1:19" x14ac:dyDescent="0.25">
      <c r="A53" s="289" t="s">
        <v>246</v>
      </c>
    </row>
    <row r="54" spans="1:19" x14ac:dyDescent="0.25">
      <c r="A54" s="320"/>
      <c r="B54" s="320"/>
      <c r="P54" s="555"/>
      <c r="Q54" s="555"/>
      <c r="R54" s="555"/>
    </row>
    <row r="56" spans="1:19"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5"/>
  <sheetViews>
    <sheetView showGridLines="0" zoomScaleNormal="100" workbookViewId="0">
      <pane xSplit="2" ySplit="4" topLeftCell="E27" activePane="bottomRight" state="frozen"/>
      <selection activeCell="C6" sqref="C6"/>
      <selection pane="topRight" activeCell="C6" sqref="C6"/>
      <selection pane="bottomLeft" activeCell="C6" sqref="C6"/>
      <selection pane="bottomRight" activeCell="L41" sqref="L41"/>
    </sheetView>
  </sheetViews>
  <sheetFormatPr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LIM354 Polokwane - Supporting Table SB14 Adjustments Budget - monthly revenue and expenditure - 25 February 2016</v>
      </c>
      <c r="B1" s="57"/>
      <c r="D1" s="58"/>
    </row>
    <row r="2" spans="1:18" ht="25.5" x14ac:dyDescent="0.25">
      <c r="A2" s="1321" t="str">
        <f>desc</f>
        <v>Description</v>
      </c>
      <c r="B2" s="1318" t="str">
        <f>head27</f>
        <v>Ref</v>
      </c>
      <c r="C2" s="1315" t="str">
        <f>Head2</f>
        <v>Budget Year 2015/16</v>
      </c>
      <c r="D2" s="1316"/>
      <c r="E2" s="1316"/>
      <c r="F2" s="1316"/>
      <c r="G2" s="1316"/>
      <c r="H2" s="1316"/>
      <c r="I2" s="1316"/>
      <c r="J2" s="1316"/>
      <c r="K2" s="1316"/>
      <c r="L2" s="1316"/>
      <c r="M2" s="1316"/>
      <c r="N2" s="1317"/>
      <c r="O2" s="536"/>
      <c r="P2" s="537" t="s">
        <v>228</v>
      </c>
      <c r="Q2" s="538"/>
      <c r="R2" s="539"/>
    </row>
    <row r="3" spans="1:18" ht="38.25" x14ac:dyDescent="0.25">
      <c r="A3" s="1322"/>
      <c r="B3" s="1319"/>
      <c r="C3" s="461" t="s">
        <v>229</v>
      </c>
      <c r="D3" s="329" t="s">
        <v>230</v>
      </c>
      <c r="E3" s="329" t="s">
        <v>231</v>
      </c>
      <c r="F3" s="329" t="s">
        <v>232</v>
      </c>
      <c r="G3" s="329" t="s">
        <v>233</v>
      </c>
      <c r="H3" s="330" t="s">
        <v>234</v>
      </c>
      <c r="I3" s="540" t="s">
        <v>235</v>
      </c>
      <c r="J3" s="541" t="s">
        <v>236</v>
      </c>
      <c r="K3" s="329" t="s">
        <v>237</v>
      </c>
      <c r="L3" s="329" t="s">
        <v>238</v>
      </c>
      <c r="M3" s="542" t="s">
        <v>239</v>
      </c>
      <c r="N3" s="541" t="s">
        <v>240</v>
      </c>
      <c r="O3" s="543" t="s">
        <v>241</v>
      </c>
      <c r="P3" s="540" t="str">
        <f>Head9</f>
        <v>Budget Year 2015/16</v>
      </c>
      <c r="Q3" s="541" t="str">
        <f>Head10</f>
        <v>Budget Year +1 2016/17</v>
      </c>
      <c r="R3" s="331" t="str">
        <f>Head11</f>
        <v>Budget Year +2 2017/18</v>
      </c>
    </row>
    <row r="4" spans="1:18" ht="25.5" x14ac:dyDescent="0.25">
      <c r="A4" s="568" t="s">
        <v>641</v>
      </c>
      <c r="B4" s="104"/>
      <c r="C4" s="821" t="str">
        <f t="shared" ref="C4:H4" si="0">Head5A</f>
        <v>Outcome</v>
      </c>
      <c r="D4" s="822" t="str">
        <f t="shared" si="0"/>
        <v>Outcome</v>
      </c>
      <c r="E4" s="822" t="str">
        <f t="shared" si="0"/>
        <v>Outcome</v>
      </c>
      <c r="F4" s="822" t="str">
        <f t="shared" si="0"/>
        <v>Outcome</v>
      </c>
      <c r="G4" s="822" t="str">
        <f t="shared" si="0"/>
        <v>Outcome</v>
      </c>
      <c r="H4" s="823" t="str">
        <f t="shared" si="0"/>
        <v>Outcome</v>
      </c>
      <c r="I4" s="821" t="str">
        <f t="shared" ref="I4:N4" si="1">Head7</f>
        <v>Adjusted Budget</v>
      </c>
      <c r="J4" s="823" t="str">
        <f t="shared" si="1"/>
        <v>Adjusted Budget</v>
      </c>
      <c r="K4" s="822" t="str">
        <f t="shared" si="1"/>
        <v>Adjusted Budget</v>
      </c>
      <c r="L4" s="822" t="str">
        <f t="shared" si="1"/>
        <v>Adjusted Budget</v>
      </c>
      <c r="M4" s="822" t="str">
        <f t="shared" si="1"/>
        <v>Adjusted Budget</v>
      </c>
      <c r="N4" s="823" t="str">
        <f t="shared" si="1"/>
        <v>Adjusted Budget</v>
      </c>
      <c r="O4" s="545"/>
      <c r="P4" s="546" t="str">
        <f>Head7</f>
        <v>Adjusted Budget</v>
      </c>
      <c r="Q4" s="547" t="str">
        <f>Head7</f>
        <v>Adjusted Budget</v>
      </c>
      <c r="R4" s="548" t="str">
        <f>Head7</f>
        <v>Adjusted Budget</v>
      </c>
    </row>
    <row r="5" spans="1:18" ht="12.75" customHeight="1" x14ac:dyDescent="0.25">
      <c r="A5" s="569" t="s">
        <v>682</v>
      </c>
      <c r="B5" s="129"/>
      <c r="C5" s="241"/>
      <c r="D5" s="75"/>
      <c r="E5" s="75"/>
      <c r="F5" s="75"/>
      <c r="G5" s="75"/>
      <c r="H5" s="517"/>
      <c r="I5" s="241"/>
      <c r="J5" s="75"/>
      <c r="K5" s="75"/>
      <c r="L5" s="75"/>
      <c r="M5" s="75"/>
      <c r="N5" s="517"/>
      <c r="O5" s="549"/>
      <c r="P5" s="241"/>
      <c r="Q5" s="75"/>
      <c r="R5" s="76"/>
    </row>
    <row r="6" spans="1:18" ht="12.75" customHeight="1" x14ac:dyDescent="0.25">
      <c r="A6" s="85" t="s">
        <v>591</v>
      </c>
      <c r="B6" s="129"/>
      <c r="C6" s="391">
        <v>27403382.280000001</v>
      </c>
      <c r="D6" s="109">
        <v>28493709.550000001</v>
      </c>
      <c r="E6" s="109">
        <v>24417765.119999997</v>
      </c>
      <c r="F6" s="109">
        <v>24407368.530000001</v>
      </c>
      <c r="G6" s="109">
        <v>24409993.479999997</v>
      </c>
      <c r="H6" s="390">
        <v>24380207.479999997</v>
      </c>
      <c r="I6" s="391">
        <v>24464577.210000001</v>
      </c>
      <c r="J6" s="109">
        <v>27706437</v>
      </c>
      <c r="K6" s="109">
        <v>22706437</v>
      </c>
      <c r="L6" s="109">
        <v>23706437</v>
      </c>
      <c r="M6" s="109">
        <v>22706437</v>
      </c>
      <c r="N6" s="517">
        <f t="shared" ref="N6:N22" si="2">P6-SUM(C6:M6)</f>
        <v>39197492.350000024</v>
      </c>
      <c r="O6" s="549">
        <f t="shared" ref="O6:O22" si="3">SUM(C6:N6)</f>
        <v>314000244</v>
      </c>
      <c r="P6" s="241">
        <f>'B4-FinPerf RE'!K7</f>
        <v>314000244</v>
      </c>
      <c r="Q6" s="75">
        <f>'B4-FinPerf RE'!L7</f>
        <v>362400195.96000004</v>
      </c>
      <c r="R6" s="76">
        <f>'B4-FinPerf RE'!M7</f>
        <v>393204212.61660004</v>
      </c>
    </row>
    <row r="7" spans="1:18" ht="12.75" customHeight="1" x14ac:dyDescent="0.25">
      <c r="A7" s="85" t="s">
        <v>683</v>
      </c>
      <c r="B7" s="129"/>
      <c r="C7" s="391">
        <v>0</v>
      </c>
      <c r="D7" s="109">
        <v>0</v>
      </c>
      <c r="E7" s="109">
        <v>0</v>
      </c>
      <c r="F7" s="109">
        <v>0</v>
      </c>
      <c r="G7" s="109">
        <v>0</v>
      </c>
      <c r="H7" s="390">
        <v>0</v>
      </c>
      <c r="I7" s="391">
        <v>0</v>
      </c>
      <c r="J7" s="109">
        <v>0</v>
      </c>
      <c r="K7" s="109">
        <v>0</v>
      </c>
      <c r="L7" s="109">
        <v>0</v>
      </c>
      <c r="M7" s="109">
        <v>0</v>
      </c>
      <c r="N7" s="517">
        <f t="shared" si="2"/>
        <v>0</v>
      </c>
      <c r="O7" s="549">
        <f t="shared" si="3"/>
        <v>0</v>
      </c>
      <c r="P7" s="241">
        <f>'B4-FinPerf RE'!K8</f>
        <v>0</v>
      </c>
      <c r="Q7" s="75">
        <f>'B4-FinPerf RE'!L8</f>
        <v>0</v>
      </c>
      <c r="R7" s="76">
        <f>'B4-FinPerf RE'!M8</f>
        <v>0</v>
      </c>
    </row>
    <row r="8" spans="1:18" ht="12.75" customHeight="1" x14ac:dyDescent="0.25">
      <c r="A8" s="85" t="s">
        <v>684</v>
      </c>
      <c r="B8" s="129"/>
      <c r="C8" s="391">
        <v>70461887.620000005</v>
      </c>
      <c r="D8" s="109">
        <v>82720343.400000006</v>
      </c>
      <c r="E8" s="109">
        <v>41916354.879999995</v>
      </c>
      <c r="F8" s="109">
        <v>65581218.799999997</v>
      </c>
      <c r="G8" s="109">
        <v>57931037.450000003</v>
      </c>
      <c r="H8" s="390">
        <v>73185181.030000001</v>
      </c>
      <c r="I8" s="391">
        <v>59648896.709999993</v>
      </c>
      <c r="J8" s="109">
        <v>69126946</v>
      </c>
      <c r="K8" s="109">
        <v>73139954</v>
      </c>
      <c r="L8" s="109">
        <v>64126946</v>
      </c>
      <c r="M8" s="109">
        <v>60133346</v>
      </c>
      <c r="N8" s="517">
        <f t="shared" si="2"/>
        <v>75551230.106000066</v>
      </c>
      <c r="O8" s="549">
        <f t="shared" si="3"/>
        <v>793523341.99599993</v>
      </c>
      <c r="P8" s="241">
        <f>'B4-FinPerf RE'!K9</f>
        <v>793523341.99599993</v>
      </c>
      <c r="Q8" s="75">
        <f>'B4-FinPerf RE'!L9</f>
        <v>896681372.02547979</v>
      </c>
      <c r="R8" s="76">
        <f>'B4-FinPerf RE'!M9</f>
        <v>1017733356.1389196</v>
      </c>
    </row>
    <row r="9" spans="1:18" ht="12.75" customHeight="1" x14ac:dyDescent="0.25">
      <c r="A9" s="85" t="s">
        <v>685</v>
      </c>
      <c r="B9" s="129"/>
      <c r="C9" s="391">
        <v>27121052.129999999</v>
      </c>
      <c r="D9" s="109">
        <v>20776049.32</v>
      </c>
      <c r="E9" s="109">
        <v>21434290.460000001</v>
      </c>
      <c r="F9" s="109">
        <v>16631166.600000001</v>
      </c>
      <c r="G9" s="109">
        <v>38991677.210000001</v>
      </c>
      <c r="H9" s="390">
        <v>31965804.109999999</v>
      </c>
      <c r="I9" s="391">
        <v>14928994.259999998</v>
      </c>
      <c r="J9" s="109">
        <v>21582920</v>
      </c>
      <c r="K9" s="109">
        <v>21582920</v>
      </c>
      <c r="L9" s="109">
        <v>21582920</v>
      </c>
      <c r="M9" s="109">
        <v>21582920</v>
      </c>
      <c r="N9" s="517">
        <f t="shared" si="2"/>
        <v>814318.92000004649</v>
      </c>
      <c r="O9" s="549">
        <f t="shared" si="3"/>
        <v>258995033.01000002</v>
      </c>
      <c r="P9" s="241">
        <f>'B4-FinPerf RE'!K10</f>
        <v>258995033.01000002</v>
      </c>
      <c r="Q9" s="75">
        <f>'B4-FinPerf RE'!L10</f>
        <v>282304582.99090004</v>
      </c>
      <c r="R9" s="76">
        <f>'B4-FinPerf RE'!M10</f>
        <v>306300471.72012651</v>
      </c>
    </row>
    <row r="10" spans="1:18" ht="12.75" customHeight="1" x14ac:dyDescent="0.25">
      <c r="A10" s="85" t="s">
        <v>686</v>
      </c>
      <c r="B10" s="129"/>
      <c r="C10" s="391">
        <v>3688987.62</v>
      </c>
      <c r="D10" s="109">
        <v>3927816.77</v>
      </c>
      <c r="E10" s="109">
        <v>5817590.6099999994</v>
      </c>
      <c r="F10" s="109">
        <v>4779654.1300000008</v>
      </c>
      <c r="G10" s="109">
        <v>3731910.55</v>
      </c>
      <c r="H10" s="390">
        <v>4933519.8499999996</v>
      </c>
      <c r="I10" s="391">
        <v>4736307.49</v>
      </c>
      <c r="J10" s="109">
        <v>4610476</v>
      </c>
      <c r="K10" s="109">
        <v>4610476</v>
      </c>
      <c r="L10" s="109">
        <v>4610476</v>
      </c>
      <c r="M10" s="109">
        <v>4610476</v>
      </c>
      <c r="N10" s="517">
        <f t="shared" si="2"/>
        <v>5268016.9799999967</v>
      </c>
      <c r="O10" s="549">
        <f t="shared" si="3"/>
        <v>55325708</v>
      </c>
      <c r="P10" s="241">
        <f>'B4-FinPerf RE'!K11</f>
        <v>55325708</v>
      </c>
      <c r="Q10" s="75">
        <f>'B4-FinPerf RE'!L11</f>
        <v>60305018.000000015</v>
      </c>
      <c r="R10" s="76">
        <f>'B4-FinPerf RE'!M11</f>
        <v>65430944.530000016</v>
      </c>
    </row>
    <row r="11" spans="1:18" ht="12.75" customHeight="1" x14ac:dyDescent="0.25">
      <c r="A11" s="85" t="s">
        <v>247</v>
      </c>
      <c r="B11" s="129"/>
      <c r="C11" s="391">
        <v>5337090.9800000004</v>
      </c>
      <c r="D11" s="109">
        <v>5333685.7</v>
      </c>
      <c r="E11" s="109">
        <v>5338342.8100000005</v>
      </c>
      <c r="F11" s="109">
        <v>5339471.3</v>
      </c>
      <c r="G11" s="109">
        <v>5603671.7000000002</v>
      </c>
      <c r="H11" s="390">
        <v>5336659.5299999993</v>
      </c>
      <c r="I11" s="391">
        <v>5328973.51</v>
      </c>
      <c r="J11" s="109">
        <v>5271828</v>
      </c>
      <c r="K11" s="109">
        <v>5271828</v>
      </c>
      <c r="L11" s="109">
        <v>5271828</v>
      </c>
      <c r="M11" s="109">
        <v>5271828</v>
      </c>
      <c r="N11" s="517">
        <f t="shared" si="2"/>
        <v>4556730.4700000137</v>
      </c>
      <c r="O11" s="549">
        <f t="shared" si="3"/>
        <v>63261938.000000007</v>
      </c>
      <c r="P11" s="241">
        <f>'B4-FinPerf RE'!K12</f>
        <v>63261938.000000007</v>
      </c>
      <c r="Q11" s="75">
        <f>'B4-FinPerf RE'!L12</f>
        <v>68955512.000000015</v>
      </c>
      <c r="R11" s="76">
        <f>'B4-FinPerf RE'!M12</f>
        <v>74816730.520000011</v>
      </c>
    </row>
    <row r="12" spans="1:18" ht="12.75" customHeight="1" x14ac:dyDescent="0.25">
      <c r="A12" s="85" t="s">
        <v>687</v>
      </c>
      <c r="B12" s="129"/>
      <c r="C12" s="391">
        <v>0</v>
      </c>
      <c r="D12" s="109">
        <v>0</v>
      </c>
      <c r="E12" s="109">
        <v>0</v>
      </c>
      <c r="F12" s="109">
        <v>0</v>
      </c>
      <c r="G12" s="109">
        <v>0</v>
      </c>
      <c r="H12" s="390">
        <v>0</v>
      </c>
      <c r="I12" s="391">
        <v>0</v>
      </c>
      <c r="J12" s="109">
        <v>0</v>
      </c>
      <c r="K12" s="109">
        <v>0</v>
      </c>
      <c r="L12" s="109">
        <v>0</v>
      </c>
      <c r="M12" s="109">
        <v>0</v>
      </c>
      <c r="N12" s="517">
        <f t="shared" si="2"/>
        <v>0</v>
      </c>
      <c r="O12" s="549">
        <f t="shared" si="3"/>
        <v>0</v>
      </c>
      <c r="P12" s="241">
        <f>'B4-FinPerf RE'!K13</f>
        <v>0</v>
      </c>
      <c r="Q12" s="75">
        <f>'B4-FinPerf RE'!L13</f>
        <v>0</v>
      </c>
      <c r="R12" s="76">
        <f>'B4-FinPerf RE'!M13</f>
        <v>0</v>
      </c>
    </row>
    <row r="13" spans="1:18" ht="12.75" customHeight="1" x14ac:dyDescent="0.25">
      <c r="A13" s="85" t="s">
        <v>688</v>
      </c>
      <c r="B13" s="129"/>
      <c r="C13" s="391">
        <v>771742.27</v>
      </c>
      <c r="D13" s="109">
        <v>2135863.439999999</v>
      </c>
      <c r="E13" s="109">
        <v>1714422.2000000002</v>
      </c>
      <c r="F13" s="109">
        <v>724563.1100000001</v>
      </c>
      <c r="G13" s="109">
        <v>574303.98</v>
      </c>
      <c r="H13" s="390">
        <v>681386.25000000012</v>
      </c>
      <c r="I13" s="391">
        <v>875020.38000000024</v>
      </c>
      <c r="J13" s="109">
        <f>1768392+750000</f>
        <v>2518392</v>
      </c>
      <c r="K13" s="109">
        <f>1768392+750000</f>
        <v>2518392</v>
      </c>
      <c r="L13" s="109">
        <f>1768392+750000</f>
        <v>2518392</v>
      </c>
      <c r="M13" s="109">
        <f>1768392+750000</f>
        <v>2518392</v>
      </c>
      <c r="N13" s="517">
        <f t="shared" si="2"/>
        <v>1669789.370000001</v>
      </c>
      <c r="O13" s="549">
        <f t="shared" si="3"/>
        <v>19220659</v>
      </c>
      <c r="P13" s="241">
        <f>'B4-FinPerf RE'!K14</f>
        <v>19220659</v>
      </c>
      <c r="Q13" s="75">
        <f>'B4-FinPerf RE'!L14</f>
        <v>22599996.300000001</v>
      </c>
      <c r="R13" s="76">
        <f>'B4-FinPerf RE'!M14</f>
        <v>24023805.266899999</v>
      </c>
    </row>
    <row r="14" spans="1:18" ht="12.75" customHeight="1" x14ac:dyDescent="0.25">
      <c r="A14" s="85" t="s">
        <v>689</v>
      </c>
      <c r="B14" s="129"/>
      <c r="C14" s="391">
        <v>253473.91</v>
      </c>
      <c r="D14" s="109">
        <v>2362126.92</v>
      </c>
      <c r="E14" s="109">
        <v>1022900.32</v>
      </c>
      <c r="F14" s="109">
        <v>5722511.1699999999</v>
      </c>
      <c r="G14" s="109">
        <v>1577594.72</v>
      </c>
      <c r="H14" s="390">
        <v>1646451.36</v>
      </c>
      <c r="I14" s="391">
        <v>1310692.51</v>
      </c>
      <c r="J14" s="109">
        <f>2583333+900000</f>
        <v>3483333</v>
      </c>
      <c r="K14" s="109">
        <f>2583333+700000</f>
        <v>3283333</v>
      </c>
      <c r="L14" s="109">
        <f>2583333+200000</f>
        <v>2783333</v>
      </c>
      <c r="M14" s="109">
        <f>2583333+700000</f>
        <v>3283333</v>
      </c>
      <c r="N14" s="517">
        <f t="shared" si="2"/>
        <v>10270917.09</v>
      </c>
      <c r="O14" s="549">
        <f t="shared" si="3"/>
        <v>37000000</v>
      </c>
      <c r="P14" s="241">
        <f>'B4-FinPerf RE'!K15</f>
        <v>37000000</v>
      </c>
      <c r="Q14" s="75">
        <f>'B4-FinPerf RE'!L15</f>
        <v>33015000</v>
      </c>
      <c r="R14" s="76">
        <f>'B4-FinPerf RE'!M15</f>
        <v>35094945</v>
      </c>
    </row>
    <row r="15" spans="1:18" ht="12.75" customHeight="1" x14ac:dyDescent="0.25">
      <c r="A15" s="85" t="s">
        <v>690</v>
      </c>
      <c r="B15" s="129"/>
      <c r="C15" s="391">
        <v>4721687.34</v>
      </c>
      <c r="D15" s="109">
        <v>4698541.34</v>
      </c>
      <c r="E15" s="109">
        <v>4161693.86</v>
      </c>
      <c r="F15" s="109">
        <v>4658989.53</v>
      </c>
      <c r="G15" s="109">
        <v>4336558.6399999997</v>
      </c>
      <c r="H15" s="390">
        <f>4751984.84-1529000</f>
        <v>3222984.84</v>
      </c>
      <c r="I15" s="391">
        <v>-800</v>
      </c>
      <c r="J15" s="109">
        <v>0</v>
      </c>
      <c r="K15" s="1279">
        <v>0</v>
      </c>
      <c r="L15" s="1279">
        <v>0</v>
      </c>
      <c r="M15" s="1279">
        <v>0</v>
      </c>
      <c r="N15" s="517">
        <f t="shared" si="2"/>
        <v>344.44999999925494</v>
      </c>
      <c r="O15" s="549">
        <f t="shared" si="3"/>
        <v>25800000</v>
      </c>
      <c r="P15" s="241">
        <f>'B4-FinPerf RE'!K16</f>
        <v>25800000</v>
      </c>
      <c r="Q15" s="75">
        <f>'B4-FinPerf RE'!L16</f>
        <v>33867000</v>
      </c>
      <c r="R15" s="76">
        <f>'B4-FinPerf RE'!M16</f>
        <v>36000621</v>
      </c>
    </row>
    <row r="16" spans="1:18" ht="12.75" customHeight="1" x14ac:dyDescent="0.25">
      <c r="A16" s="85" t="s">
        <v>691</v>
      </c>
      <c r="B16" s="129"/>
      <c r="C16" s="391">
        <v>0</v>
      </c>
      <c r="D16" s="109">
        <v>0</v>
      </c>
      <c r="E16" s="109">
        <v>0</v>
      </c>
      <c r="F16" s="109">
        <v>0</v>
      </c>
      <c r="G16" s="109">
        <v>0</v>
      </c>
      <c r="H16" s="390">
        <v>0</v>
      </c>
      <c r="I16" s="391">
        <v>0</v>
      </c>
      <c r="J16" s="109">
        <v>0</v>
      </c>
      <c r="K16" s="109">
        <v>0</v>
      </c>
      <c r="L16" s="109">
        <v>0</v>
      </c>
      <c r="M16" s="109">
        <v>0</v>
      </c>
      <c r="N16" s="517">
        <f t="shared" si="2"/>
        <v>0</v>
      </c>
      <c r="O16" s="549">
        <f t="shared" si="3"/>
        <v>0</v>
      </c>
      <c r="P16" s="241">
        <f>'B4-FinPerf RE'!K17</f>
        <v>0</v>
      </c>
      <c r="Q16" s="75">
        <f>'B4-FinPerf RE'!L17</f>
        <v>0</v>
      </c>
      <c r="R16" s="76">
        <f>'B4-FinPerf RE'!M17</f>
        <v>0</v>
      </c>
    </row>
    <row r="17" spans="1:18" ht="12.75" customHeight="1" x14ac:dyDescent="0.25">
      <c r="A17" s="85" t="s">
        <v>692</v>
      </c>
      <c r="B17" s="129"/>
      <c r="C17" s="391">
        <v>229446.44</v>
      </c>
      <c r="D17" s="109">
        <v>323854.59999999998</v>
      </c>
      <c r="E17" s="109">
        <v>233331.20000000001</v>
      </c>
      <c r="F17" s="109">
        <v>414207.6</v>
      </c>
      <c r="G17" s="109">
        <v>270867.20000000001</v>
      </c>
      <c r="H17" s="390">
        <v>402532.28</v>
      </c>
      <c r="I17" s="391">
        <v>268439.89999999997</v>
      </c>
      <c r="J17" s="109">
        <v>1143815</v>
      </c>
      <c r="K17" s="109">
        <v>1143815</v>
      </c>
      <c r="L17" s="109">
        <v>543815</v>
      </c>
      <c r="M17" s="109">
        <v>1143815</v>
      </c>
      <c r="N17" s="517">
        <f t="shared" si="2"/>
        <v>7607844.7800000003</v>
      </c>
      <c r="O17" s="549">
        <f t="shared" si="3"/>
        <v>13725784</v>
      </c>
      <c r="P17" s="241">
        <f>'B4-FinPerf RE'!K18</f>
        <v>13725784</v>
      </c>
      <c r="Q17" s="75">
        <f>'B4-FinPerf RE'!L18</f>
        <v>14618199.674999999</v>
      </c>
      <c r="R17" s="76">
        <f>'B4-FinPerf RE'!M18</f>
        <v>15539449.480524998</v>
      </c>
    </row>
    <row r="18" spans="1:18" ht="12.75" customHeight="1" x14ac:dyDescent="0.25">
      <c r="A18" s="85" t="s">
        <v>693</v>
      </c>
      <c r="B18" s="129"/>
      <c r="C18" s="391">
        <v>819836.5</v>
      </c>
      <c r="D18" s="109">
        <v>625675.69999999995</v>
      </c>
      <c r="E18" s="109">
        <v>704128.4</v>
      </c>
      <c r="F18" s="109">
        <v>541125</v>
      </c>
      <c r="G18" s="109">
        <v>756499</v>
      </c>
      <c r="H18" s="390">
        <v>691514</v>
      </c>
      <c r="I18" s="391">
        <v>531692.04999999993</v>
      </c>
      <c r="J18" s="109">
        <v>797424</v>
      </c>
      <c r="K18" s="109">
        <v>997424</v>
      </c>
      <c r="L18" s="109">
        <v>1077424</v>
      </c>
      <c r="M18" s="109">
        <v>797424</v>
      </c>
      <c r="N18" s="517">
        <f t="shared" si="2"/>
        <v>1229912.3499999996</v>
      </c>
      <c r="O18" s="549">
        <f t="shared" si="3"/>
        <v>9570079</v>
      </c>
      <c r="P18" s="241">
        <f>'B4-FinPerf RE'!K19</f>
        <v>9570079</v>
      </c>
      <c r="Q18" s="75">
        <f>'B4-FinPerf RE'!L19</f>
        <v>10191065.760000002</v>
      </c>
      <c r="R18" s="76">
        <f>'B4-FinPerf RE'!M19</f>
        <v>10833102.87988</v>
      </c>
    </row>
    <row r="19" spans="1:18" ht="12.75" customHeight="1" x14ac:dyDescent="0.25">
      <c r="A19" s="85" t="s">
        <v>694</v>
      </c>
      <c r="B19" s="129"/>
      <c r="C19" s="391">
        <v>135184</v>
      </c>
      <c r="D19" s="109">
        <v>101684</v>
      </c>
      <c r="E19" s="109">
        <v>136788</v>
      </c>
      <c r="F19" s="109">
        <v>62694</v>
      </c>
      <c r="G19" s="109">
        <v>127485.35</v>
      </c>
      <c r="H19" s="390">
        <v>5837361.2300000004</v>
      </c>
      <c r="I19" s="391">
        <v>79968</v>
      </c>
      <c r="J19" s="109">
        <v>1382964</v>
      </c>
      <c r="K19" s="109">
        <v>1082964</v>
      </c>
      <c r="L19" s="109">
        <v>1182964</v>
      </c>
      <c r="M19" s="109">
        <v>1985964</v>
      </c>
      <c r="N19" s="517">
        <f t="shared" si="2"/>
        <v>4479551.42</v>
      </c>
      <c r="O19" s="549">
        <f t="shared" si="3"/>
        <v>16595572</v>
      </c>
      <c r="P19" s="241">
        <f>'B4-FinPerf RE'!K20</f>
        <v>16595572</v>
      </c>
      <c r="Q19" s="75">
        <f>'B4-FinPerf RE'!L20</f>
        <v>17674284</v>
      </c>
      <c r="R19" s="76">
        <f>'B4-FinPerf RE'!M20</f>
        <v>18787763.891999997</v>
      </c>
    </row>
    <row r="20" spans="1:18" ht="12.75" customHeight="1" x14ac:dyDescent="0.25">
      <c r="A20" s="85" t="s">
        <v>1243</v>
      </c>
      <c r="B20" s="129"/>
      <c r="C20" s="391">
        <v>222803000</v>
      </c>
      <c r="D20" s="109">
        <v>1806000</v>
      </c>
      <c r="E20" s="109">
        <v>0</v>
      </c>
      <c r="F20" s="109">
        <v>0</v>
      </c>
      <c r="G20" s="109">
        <v>19619000</v>
      </c>
      <c r="H20" s="390">
        <v>0</v>
      </c>
      <c r="I20" s="391">
        <v>2750000</v>
      </c>
      <c r="J20" s="109">
        <v>0</v>
      </c>
      <c r="K20" s="109">
        <v>309862297.6085031</v>
      </c>
      <c r="L20" s="109">
        <v>70019702.391496897</v>
      </c>
      <c r="M20" s="109">
        <v>0</v>
      </c>
      <c r="N20" s="517">
        <f t="shared" si="2"/>
        <v>52000000</v>
      </c>
      <c r="O20" s="549">
        <f t="shared" si="3"/>
        <v>678860000</v>
      </c>
      <c r="P20" s="241">
        <f>'B4-FinPerf RE'!K21</f>
        <v>678860000</v>
      </c>
      <c r="Q20" s="75">
        <f>'B4-FinPerf RE'!L21</f>
        <v>662093004.60000002</v>
      </c>
      <c r="R20" s="76">
        <f>'B4-FinPerf RE'!M21</f>
        <v>685589059.3398</v>
      </c>
    </row>
    <row r="21" spans="1:18" ht="12.75" customHeight="1" x14ac:dyDescent="0.25">
      <c r="A21" s="85" t="s">
        <v>695</v>
      </c>
      <c r="B21" s="129"/>
      <c r="C21" s="391">
        <v>2543416.5900000003</v>
      </c>
      <c r="D21" s="109">
        <v>1521585.98</v>
      </c>
      <c r="E21" s="109">
        <v>1550605.17</v>
      </c>
      <c r="F21" s="109">
        <v>1174249.79</v>
      </c>
      <c r="G21" s="109">
        <v>988915.56</v>
      </c>
      <c r="H21" s="390">
        <v>808457.86</v>
      </c>
      <c r="I21" s="391">
        <v>2089717.2100000004</v>
      </c>
      <c r="J21" s="109">
        <v>15492387</v>
      </c>
      <c r="K21" s="109">
        <v>62492387</v>
      </c>
      <c r="L21" s="109">
        <v>12492387</v>
      </c>
      <c r="M21" s="109">
        <v>52492387</v>
      </c>
      <c r="N21" s="517">
        <f t="shared" si="2"/>
        <v>8891106.8400000036</v>
      </c>
      <c r="O21" s="549">
        <f t="shared" si="3"/>
        <v>162537603</v>
      </c>
      <c r="P21" s="241">
        <f>'B4-FinPerf RE'!K22</f>
        <v>162537603</v>
      </c>
      <c r="Q21" s="75">
        <f>'B4-FinPerf RE'!L22</f>
        <v>31814683.289999999</v>
      </c>
      <c r="R21" s="76">
        <f>'B4-FinPerf RE'!M22</f>
        <v>33798141.485270001</v>
      </c>
    </row>
    <row r="22" spans="1:18" ht="12.75" customHeight="1" x14ac:dyDescent="0.25">
      <c r="A22" s="85" t="s">
        <v>696</v>
      </c>
      <c r="B22" s="129"/>
      <c r="C22" s="391">
        <v>1000.45</v>
      </c>
      <c r="D22" s="109">
        <v>-3774.93</v>
      </c>
      <c r="E22" s="109">
        <v>2826.08</v>
      </c>
      <c r="F22" s="109">
        <v>0</v>
      </c>
      <c r="G22" s="109">
        <v>0</v>
      </c>
      <c r="H22" s="390">
        <v>-1558.04</v>
      </c>
      <c r="I22" s="391">
        <v>-8170.17</v>
      </c>
      <c r="J22" s="109">
        <v>5000000</v>
      </c>
      <c r="K22" s="109">
        <v>4000000</v>
      </c>
      <c r="L22" s="109">
        <v>6516667</v>
      </c>
      <c r="M22" s="109">
        <v>8516667</v>
      </c>
      <c r="N22" s="517">
        <f t="shared" si="2"/>
        <v>6176342.6099999994</v>
      </c>
      <c r="O22" s="549">
        <f t="shared" si="3"/>
        <v>30200000</v>
      </c>
      <c r="P22" s="241">
        <f>'B4-FinPerf RE'!K23</f>
        <v>30200000</v>
      </c>
      <c r="Q22" s="75">
        <f>'B4-FinPerf RE'!L23</f>
        <v>32163000</v>
      </c>
      <c r="R22" s="76">
        <f>'B4-FinPerf RE'!M23</f>
        <v>34189269</v>
      </c>
    </row>
    <row r="23" spans="1:18" ht="12.75" customHeight="1" x14ac:dyDescent="0.25">
      <c r="A23" s="139" t="s">
        <v>248</v>
      </c>
      <c r="B23" s="550"/>
      <c r="C23" s="494">
        <f>SUM(C6:C22)</f>
        <v>366291188.13</v>
      </c>
      <c r="D23" s="81">
        <f t="shared" ref="D23:R23" si="4">SUM(D6:D22)</f>
        <v>154823161.78999996</v>
      </c>
      <c r="E23" s="81">
        <f t="shared" si="4"/>
        <v>108451039.11</v>
      </c>
      <c r="F23" s="81">
        <f t="shared" si="4"/>
        <v>130037219.56</v>
      </c>
      <c r="G23" s="81">
        <f t="shared" si="4"/>
        <v>158919514.84</v>
      </c>
      <c r="H23" s="528">
        <f t="shared" si="4"/>
        <v>153090501.78000003</v>
      </c>
      <c r="I23" s="494">
        <f t="shared" si="4"/>
        <v>117004309.05999997</v>
      </c>
      <c r="J23" s="81">
        <f t="shared" si="4"/>
        <v>158116922</v>
      </c>
      <c r="K23" s="81">
        <f t="shared" si="4"/>
        <v>512692227.6085031</v>
      </c>
      <c r="L23" s="81">
        <f t="shared" si="4"/>
        <v>216433291.3914969</v>
      </c>
      <c r="M23" s="81">
        <f t="shared" si="4"/>
        <v>185042989</v>
      </c>
      <c r="N23" s="528">
        <f t="shared" si="4"/>
        <v>217713597.73600012</v>
      </c>
      <c r="O23" s="570">
        <f t="shared" si="4"/>
        <v>2478615962.0059996</v>
      </c>
      <c r="P23" s="494">
        <f t="shared" si="4"/>
        <v>2478615962.0059996</v>
      </c>
      <c r="Q23" s="81">
        <f t="shared" si="4"/>
        <v>2528682914.6013799</v>
      </c>
      <c r="R23" s="82">
        <f t="shared" si="4"/>
        <v>2751341872.8700209</v>
      </c>
    </row>
    <row r="24" spans="1:18" ht="5.0999999999999996" customHeight="1" x14ac:dyDescent="0.25">
      <c r="A24" s="85"/>
      <c r="B24" s="129"/>
      <c r="C24" s="241"/>
      <c r="D24" s="75"/>
      <c r="E24" s="75"/>
      <c r="F24" s="75"/>
      <c r="G24" s="75"/>
      <c r="H24" s="517"/>
      <c r="I24" s="241"/>
      <c r="J24" s="75"/>
      <c r="K24" s="75"/>
      <c r="L24" s="75"/>
      <c r="M24" s="75"/>
      <c r="N24" s="517"/>
      <c r="O24" s="549"/>
      <c r="P24" s="241"/>
      <c r="Q24" s="75"/>
      <c r="R24" s="76"/>
    </row>
    <row r="25" spans="1:18" ht="12.75" customHeight="1" x14ac:dyDescent="0.25">
      <c r="A25" s="569" t="s">
        <v>697</v>
      </c>
      <c r="B25" s="129"/>
      <c r="C25" s="241"/>
      <c r="D25" s="75"/>
      <c r="E25" s="75"/>
      <c r="F25" s="75"/>
      <c r="G25" s="75"/>
      <c r="H25" s="517"/>
      <c r="I25" s="241"/>
      <c r="J25" s="75"/>
      <c r="K25" s="75"/>
      <c r="L25" s="75"/>
      <c r="M25" s="75"/>
      <c r="N25" s="517"/>
      <c r="O25" s="549"/>
      <c r="P25" s="241"/>
      <c r="Q25" s="75"/>
      <c r="R25" s="76"/>
    </row>
    <row r="26" spans="1:18" ht="12.75" customHeight="1" x14ac:dyDescent="0.25">
      <c r="A26" s="85" t="s">
        <v>698</v>
      </c>
      <c r="B26" s="129"/>
      <c r="C26" s="391">
        <v>42047910.759999998</v>
      </c>
      <c r="D26" s="109">
        <v>42498575.600000001</v>
      </c>
      <c r="E26" s="109">
        <v>43132639.710000001</v>
      </c>
      <c r="F26" s="109">
        <v>54054561.239999995</v>
      </c>
      <c r="G26" s="109">
        <v>46546986.929999992</v>
      </c>
      <c r="H26" s="390">
        <v>47847292.559999995</v>
      </c>
      <c r="I26" s="391">
        <v>47853808.090000004</v>
      </c>
      <c r="J26" s="109">
        <v>47486624</v>
      </c>
      <c r="K26" s="109">
        <v>47550234</v>
      </c>
      <c r="L26" s="109">
        <v>47703430</v>
      </c>
      <c r="M26" s="109">
        <v>48032607</v>
      </c>
      <c r="N26" s="517">
        <f t="shared" ref="N26:N36" si="5">P26-SUM(C26:M26)</f>
        <v>56676339.110000014</v>
      </c>
      <c r="O26" s="549">
        <f t="shared" ref="O26:O36" si="6">SUM(C26:N26)</f>
        <v>571431009</v>
      </c>
      <c r="P26" s="241">
        <f>'B4-FinPerf RE'!K27</f>
        <v>571431009</v>
      </c>
      <c r="Q26" s="75">
        <f>'B4-FinPerf RE'!L27</f>
        <v>608585193.01499963</v>
      </c>
      <c r="R26" s="76">
        <f>'B4-FinPerf RE'!M27</f>
        <v>646915368.00494802</v>
      </c>
    </row>
    <row r="27" spans="1:18" ht="12.75" customHeight="1" x14ac:dyDescent="0.25">
      <c r="A27" s="85" t="s">
        <v>597</v>
      </c>
      <c r="B27" s="129"/>
      <c r="C27" s="391">
        <v>1989525.3</v>
      </c>
      <c r="D27" s="109">
        <v>1945475.36</v>
      </c>
      <c r="E27" s="109">
        <v>2575457.96</v>
      </c>
      <c r="F27" s="109">
        <v>2199796.02</v>
      </c>
      <c r="G27" s="109">
        <v>2175960.15</v>
      </c>
      <c r="H27" s="390">
        <v>2180357.4700000002</v>
      </c>
      <c r="I27" s="391">
        <v>3004535.74</v>
      </c>
      <c r="J27" s="109">
        <v>1989999</v>
      </c>
      <c r="K27" s="109">
        <v>2000000</v>
      </c>
      <c r="L27" s="109">
        <v>1989999</v>
      </c>
      <c r="M27" s="109">
        <v>2048296</v>
      </c>
      <c r="N27" s="517">
        <f t="shared" si="5"/>
        <v>1680148</v>
      </c>
      <c r="O27" s="549">
        <f t="shared" si="6"/>
        <v>25779550</v>
      </c>
      <c r="P27" s="241">
        <f>'B4-FinPerf RE'!K28</f>
        <v>25779550</v>
      </c>
      <c r="Q27" s="75">
        <f>'B4-FinPerf RE'!L28</f>
        <v>27455220.75</v>
      </c>
      <c r="R27" s="76">
        <f>'B4-FinPerf RE'!M28</f>
        <v>29184899.657249998</v>
      </c>
    </row>
    <row r="28" spans="1:18" ht="12.75" customHeight="1" x14ac:dyDescent="0.25">
      <c r="A28" s="85" t="s">
        <v>699</v>
      </c>
      <c r="B28" s="129"/>
      <c r="C28" s="391">
        <v>4166666.6666666665</v>
      </c>
      <c r="D28" s="109">
        <v>4166666.6666666665</v>
      </c>
      <c r="E28" s="109">
        <v>4166666.6666666665</v>
      </c>
      <c r="F28" s="109">
        <v>4166666.6666666665</v>
      </c>
      <c r="G28" s="109">
        <v>4166666.6666666665</v>
      </c>
      <c r="H28" s="390">
        <v>4166666.6666666665</v>
      </c>
      <c r="I28" s="391">
        <v>4166666.6666666665</v>
      </c>
      <c r="J28" s="109">
        <v>4166667</v>
      </c>
      <c r="K28" s="109">
        <v>4166667</v>
      </c>
      <c r="L28" s="109">
        <v>4166667</v>
      </c>
      <c r="M28" s="109">
        <v>4166667</v>
      </c>
      <c r="N28" s="517">
        <f t="shared" si="5"/>
        <v>4166665.3333333284</v>
      </c>
      <c r="O28" s="549">
        <f t="shared" si="6"/>
        <v>50000000</v>
      </c>
      <c r="P28" s="241">
        <f>'B4-FinPerf RE'!K29</f>
        <v>50000000</v>
      </c>
      <c r="Q28" s="75">
        <f>'B4-FinPerf RE'!L29</f>
        <v>53250000</v>
      </c>
      <c r="R28" s="76">
        <f>'B4-FinPerf RE'!M29</f>
        <v>56604750</v>
      </c>
    </row>
    <row r="29" spans="1:18" ht="12.75" customHeight="1" x14ac:dyDescent="0.25">
      <c r="A29" s="85" t="s">
        <v>598</v>
      </c>
      <c r="B29" s="129"/>
      <c r="C29" s="391">
        <v>17083333.333333332</v>
      </c>
      <c r="D29" s="109">
        <v>17083333.333333332</v>
      </c>
      <c r="E29" s="109">
        <v>17083333.333333332</v>
      </c>
      <c r="F29" s="109">
        <v>17083333.333333332</v>
      </c>
      <c r="G29" s="109">
        <v>17083333.333333332</v>
      </c>
      <c r="H29" s="390">
        <v>17083333.333333332</v>
      </c>
      <c r="I29" s="391">
        <v>17083333.333333332</v>
      </c>
      <c r="J29" s="109">
        <v>17083338</v>
      </c>
      <c r="K29" s="109">
        <v>17083338</v>
      </c>
      <c r="L29" s="109">
        <v>17083338</v>
      </c>
      <c r="M29" s="109">
        <v>17083338</v>
      </c>
      <c r="N29" s="517">
        <f t="shared" si="5"/>
        <v>17083314.666666687</v>
      </c>
      <c r="O29" s="549">
        <f t="shared" si="6"/>
        <v>205000000</v>
      </c>
      <c r="P29" s="241">
        <f>'B4-FinPerf RE'!K30</f>
        <v>205000000</v>
      </c>
      <c r="Q29" s="75">
        <f>'B4-FinPerf RE'!L30</f>
        <v>218325000</v>
      </c>
      <c r="R29" s="76">
        <f>'B4-FinPerf RE'!M30</f>
        <v>232079475</v>
      </c>
    </row>
    <row r="30" spans="1:18" ht="12.75" customHeight="1" x14ac:dyDescent="0.25">
      <c r="A30" s="85" t="s">
        <v>599</v>
      </c>
      <c r="B30" s="129"/>
      <c r="C30" s="391">
        <v>0</v>
      </c>
      <c r="D30" s="109">
        <v>0</v>
      </c>
      <c r="E30" s="109"/>
      <c r="F30" s="109">
        <v>0</v>
      </c>
      <c r="G30" s="109">
        <v>0</v>
      </c>
      <c r="H30" s="390">
        <v>11487311.33</v>
      </c>
      <c r="I30" s="391">
        <v>0</v>
      </c>
      <c r="J30" s="109">
        <v>0</v>
      </c>
      <c r="K30" s="109">
        <v>0</v>
      </c>
      <c r="L30" s="109">
        <v>0</v>
      </c>
      <c r="M30" s="109">
        <v>0</v>
      </c>
      <c r="N30" s="517">
        <f t="shared" si="5"/>
        <v>25512688.670000002</v>
      </c>
      <c r="O30" s="549">
        <f t="shared" si="6"/>
        <v>37000000</v>
      </c>
      <c r="P30" s="241">
        <f>'B4-FinPerf RE'!K31</f>
        <v>37000000</v>
      </c>
      <c r="Q30" s="75">
        <f>'B4-FinPerf RE'!L31</f>
        <v>43689000</v>
      </c>
      <c r="R30" s="76">
        <f>'B4-FinPerf RE'!M31</f>
        <v>41887515</v>
      </c>
    </row>
    <row r="31" spans="1:18" ht="12.75" customHeight="1" x14ac:dyDescent="0.25">
      <c r="A31" s="85" t="s">
        <v>700</v>
      </c>
      <c r="B31" s="129"/>
      <c r="C31" s="391">
        <v>81754122.460000008</v>
      </c>
      <c r="D31" s="109">
        <v>83696964.309999987</v>
      </c>
      <c r="E31" s="109">
        <v>61775403.549999997</v>
      </c>
      <c r="F31" s="109">
        <v>53582326.710000001</v>
      </c>
      <c r="G31" s="109">
        <v>37995708.700000003</v>
      </c>
      <c r="H31" s="390">
        <v>27454803.5</v>
      </c>
      <c r="I31" s="391">
        <v>73000084.790000007</v>
      </c>
      <c r="J31" s="109">
        <v>60439667</v>
      </c>
      <c r="K31" s="109">
        <v>83916667</v>
      </c>
      <c r="L31" s="109">
        <v>66556667</v>
      </c>
      <c r="M31" s="109">
        <v>55154441</v>
      </c>
      <c r="N31" s="517">
        <f t="shared" si="5"/>
        <v>70173143.980000019</v>
      </c>
      <c r="O31" s="549">
        <f t="shared" si="6"/>
        <v>755500000</v>
      </c>
      <c r="P31" s="241">
        <f>'B4-FinPerf RE'!K32</f>
        <v>755500000</v>
      </c>
      <c r="Q31" s="75">
        <f>'B4-FinPerf RE'!L32</f>
        <v>816855000</v>
      </c>
      <c r="R31" s="76">
        <f>'B4-FinPerf RE'!M32</f>
        <v>868316865</v>
      </c>
    </row>
    <row r="32" spans="1:18" ht="12.75" customHeight="1" x14ac:dyDescent="0.25">
      <c r="A32" s="85" t="s">
        <v>701</v>
      </c>
      <c r="B32" s="129"/>
      <c r="C32" s="391">
        <v>6109318.1200000001</v>
      </c>
      <c r="D32" s="109">
        <v>14046390.310000004</v>
      </c>
      <c r="E32" s="109">
        <v>18381980.079999994</v>
      </c>
      <c r="F32" s="109">
        <v>17361917.159999996</v>
      </c>
      <c r="G32" s="109">
        <v>15578718.929999998</v>
      </c>
      <c r="H32" s="390">
        <v>21347437.840000004</v>
      </c>
      <c r="I32" s="391">
        <v>7173310.8500000006</v>
      </c>
      <c r="J32" s="109">
        <v>13793572</v>
      </c>
      <c r="K32" s="109">
        <v>15808059</v>
      </c>
      <c r="L32" s="109">
        <v>13990335</v>
      </c>
      <c r="M32" s="109">
        <v>14876893</v>
      </c>
      <c r="N32" s="517">
        <f t="shared" si="5"/>
        <v>42884623.310000002</v>
      </c>
      <c r="O32" s="549">
        <f t="shared" si="6"/>
        <v>201352555.59999999</v>
      </c>
      <c r="P32" s="241">
        <f>'B4-FinPerf RE'!K33</f>
        <v>201352555.59999999</v>
      </c>
      <c r="Q32" s="75">
        <f>'B4-FinPerf RE'!L33</f>
        <v>188637432.43400025</v>
      </c>
      <c r="R32" s="76">
        <f>'B4-FinPerf RE'!M33</f>
        <v>200521539.71734217</v>
      </c>
    </row>
    <row r="33" spans="1:18" ht="12.75" customHeight="1" x14ac:dyDescent="0.25">
      <c r="A33" s="85" t="s">
        <v>702</v>
      </c>
      <c r="B33" s="129"/>
      <c r="C33" s="391">
        <v>1918880.92</v>
      </c>
      <c r="D33" s="109">
        <v>4230875.67</v>
      </c>
      <c r="E33" s="109">
        <v>4484666.1000000006</v>
      </c>
      <c r="F33" s="109">
        <v>6061466.2100000009</v>
      </c>
      <c r="G33" s="109">
        <v>5329130.5600000005</v>
      </c>
      <c r="H33" s="390">
        <v>8386152.7799999984</v>
      </c>
      <c r="I33" s="391">
        <v>4741052.3099999996</v>
      </c>
      <c r="J33" s="109">
        <v>5663002</v>
      </c>
      <c r="K33" s="109">
        <v>6154605</v>
      </c>
      <c r="L33" s="109">
        <v>5588827</v>
      </c>
      <c r="M33" s="109">
        <v>5500591</v>
      </c>
      <c r="N33" s="517">
        <f t="shared" si="5"/>
        <v>28070750.450000003</v>
      </c>
      <c r="O33" s="549">
        <f t="shared" si="6"/>
        <v>86130000</v>
      </c>
      <c r="P33" s="241">
        <f>'B4-FinPerf RE'!K34</f>
        <v>86130000</v>
      </c>
      <c r="Q33" s="75">
        <f>'B4-FinPerf RE'!L34</f>
        <v>84161625</v>
      </c>
      <c r="R33" s="76">
        <f>'B4-FinPerf RE'!M34</f>
        <v>89463807.375</v>
      </c>
    </row>
    <row r="34" spans="1:18" ht="12.75" customHeight="1" x14ac:dyDescent="0.25">
      <c r="A34" s="85" t="s">
        <v>601</v>
      </c>
      <c r="B34" s="129"/>
      <c r="C34" s="391">
        <v>6040000</v>
      </c>
      <c r="D34" s="109">
        <v>40000</v>
      </c>
      <c r="E34" s="109">
        <v>40000</v>
      </c>
      <c r="F34" s="109">
        <v>40000</v>
      </c>
      <c r="G34" s="109">
        <v>40000</v>
      </c>
      <c r="H34" s="390">
        <v>40000</v>
      </c>
      <c r="I34" s="391">
        <v>40000</v>
      </c>
      <c r="J34" s="109">
        <v>740000</v>
      </c>
      <c r="K34" s="109">
        <v>40000</v>
      </c>
      <c r="L34" s="109">
        <v>40000</v>
      </c>
      <c r="M34" s="109">
        <v>40000</v>
      </c>
      <c r="N34" s="517">
        <f t="shared" si="5"/>
        <v>10040000</v>
      </c>
      <c r="O34" s="549">
        <f t="shared" si="6"/>
        <v>17180000</v>
      </c>
      <c r="P34" s="241">
        <f>'B4-FinPerf RE'!K35</f>
        <v>17180000</v>
      </c>
      <c r="Q34" s="75">
        <f>'B4-FinPerf RE'!L35</f>
        <v>6901200</v>
      </c>
      <c r="R34" s="76">
        <f>'B4-FinPerf RE'!M35</f>
        <v>7335975.5999999996</v>
      </c>
    </row>
    <row r="35" spans="1:18" ht="12.75" customHeight="1" x14ac:dyDescent="0.25">
      <c r="A35" s="85" t="s">
        <v>602</v>
      </c>
      <c r="B35" s="129"/>
      <c r="C35" s="391">
        <v>34142720.290000014</v>
      </c>
      <c r="D35" s="109">
        <v>31461647.569999959</v>
      </c>
      <c r="E35" s="109">
        <v>28540862.289999973</v>
      </c>
      <c r="F35" s="109">
        <v>41624119</v>
      </c>
      <c r="G35" s="109">
        <v>26968107.880000021</v>
      </c>
      <c r="H35" s="390">
        <v>36697207.780000024</v>
      </c>
      <c r="I35" s="391">
        <v>24614047.589999981</v>
      </c>
      <c r="J35" s="109">
        <v>27050000</v>
      </c>
      <c r="K35" s="109">
        <v>25878999</v>
      </c>
      <c r="L35" s="109">
        <v>34265800</v>
      </c>
      <c r="M35" s="109">
        <v>32266666.666666701</v>
      </c>
      <c r="N35" s="517">
        <f t="shared" si="5"/>
        <v>29086707.775333166</v>
      </c>
      <c r="O35" s="549">
        <f t="shared" si="6"/>
        <v>372596885.84199983</v>
      </c>
      <c r="P35" s="241">
        <f>'B4-FinPerf RE'!K36</f>
        <v>372596885.84199983</v>
      </c>
      <c r="Q35" s="75">
        <f>'B4-FinPerf RE'!L36</f>
        <v>314547343.50036842</v>
      </c>
      <c r="R35" s="76">
        <f>'B4-FinPerf RE'!M36</f>
        <v>304598835.3392477</v>
      </c>
    </row>
    <row r="36" spans="1:18" ht="12.75" customHeight="1" x14ac:dyDescent="0.25">
      <c r="A36" s="85" t="s">
        <v>704</v>
      </c>
      <c r="B36" s="129"/>
      <c r="C36" s="391">
        <v>0</v>
      </c>
      <c r="D36" s="109">
        <v>0</v>
      </c>
      <c r="E36" s="109">
        <v>0</v>
      </c>
      <c r="F36" s="109">
        <v>0</v>
      </c>
      <c r="G36" s="109">
        <v>0</v>
      </c>
      <c r="H36" s="390">
        <v>0</v>
      </c>
      <c r="I36" s="391">
        <v>0</v>
      </c>
      <c r="J36" s="109">
        <v>0</v>
      </c>
      <c r="K36" s="109">
        <v>0</v>
      </c>
      <c r="L36" s="109">
        <v>0</v>
      </c>
      <c r="M36" s="109">
        <v>0</v>
      </c>
      <c r="N36" s="517">
        <f t="shared" si="5"/>
        <v>0</v>
      </c>
      <c r="O36" s="549">
        <f t="shared" si="6"/>
        <v>0</v>
      </c>
      <c r="P36" s="241">
        <f>'B4-FinPerf RE'!K37</f>
        <v>0</v>
      </c>
      <c r="Q36" s="75">
        <f>'B4-FinPerf RE'!L37</f>
        <v>0</v>
      </c>
      <c r="R36" s="76">
        <f>'B4-FinPerf RE'!M37</f>
        <v>0</v>
      </c>
    </row>
    <row r="37" spans="1:18" ht="12.75" customHeight="1" x14ac:dyDescent="0.25">
      <c r="A37" s="139" t="s">
        <v>603</v>
      </c>
      <c r="B37" s="550"/>
      <c r="C37" s="494">
        <f>SUM(C26:C36)</f>
        <v>195252477.84999999</v>
      </c>
      <c r="D37" s="81">
        <f t="shared" ref="D37:R37" si="7">SUM(D26:D36)</f>
        <v>199169928.81999993</v>
      </c>
      <c r="E37" s="81">
        <f t="shared" si="7"/>
        <v>180181009.68999994</v>
      </c>
      <c r="F37" s="81">
        <f t="shared" si="7"/>
        <v>196174186.34</v>
      </c>
      <c r="G37" s="81">
        <f t="shared" si="7"/>
        <v>155884613.15000001</v>
      </c>
      <c r="H37" s="528">
        <f t="shared" si="7"/>
        <v>176690563.26000002</v>
      </c>
      <c r="I37" s="494">
        <f t="shared" si="7"/>
        <v>181676839.36999997</v>
      </c>
      <c r="J37" s="81">
        <f t="shared" si="7"/>
        <v>178412869</v>
      </c>
      <c r="K37" s="81">
        <f t="shared" si="7"/>
        <v>202598569</v>
      </c>
      <c r="L37" s="81">
        <f t="shared" si="7"/>
        <v>191385063</v>
      </c>
      <c r="M37" s="81">
        <f t="shared" si="7"/>
        <v>179169499.66666669</v>
      </c>
      <c r="N37" s="528">
        <f t="shared" si="7"/>
        <v>285374381.29533321</v>
      </c>
      <c r="O37" s="570">
        <f t="shared" si="7"/>
        <v>2321970000.4419999</v>
      </c>
      <c r="P37" s="494">
        <f t="shared" si="7"/>
        <v>2321970000.4419999</v>
      </c>
      <c r="Q37" s="81">
        <f t="shared" si="7"/>
        <v>2362407014.6993685</v>
      </c>
      <c r="R37" s="82">
        <f t="shared" si="7"/>
        <v>2476909030.6937881</v>
      </c>
    </row>
    <row r="38" spans="1:18" ht="5.0999999999999996" customHeight="1" x14ac:dyDescent="0.25">
      <c r="A38" s="85"/>
      <c r="B38" s="129"/>
      <c r="C38" s="241"/>
      <c r="D38" s="75"/>
      <c r="E38" s="75"/>
      <c r="F38" s="75"/>
      <c r="G38" s="75"/>
      <c r="H38" s="517"/>
      <c r="I38" s="241"/>
      <c r="J38" s="75"/>
      <c r="K38" s="75"/>
      <c r="L38" s="75"/>
      <c r="M38" s="75"/>
      <c r="N38" s="517"/>
      <c r="O38" s="549"/>
      <c r="P38" s="241"/>
      <c r="Q38" s="75"/>
      <c r="R38" s="76"/>
    </row>
    <row r="39" spans="1:18" ht="12.75" customHeight="1" x14ac:dyDescent="0.25">
      <c r="A39" s="163" t="s">
        <v>604</v>
      </c>
      <c r="B39" s="163"/>
      <c r="C39" s="494">
        <f t="shared" ref="C39:R39" si="8">C23-C37</f>
        <v>171038710.28</v>
      </c>
      <c r="D39" s="81">
        <f t="shared" si="8"/>
        <v>-44346767.029999971</v>
      </c>
      <c r="E39" s="81">
        <f t="shared" si="8"/>
        <v>-71729970.579999939</v>
      </c>
      <c r="F39" s="81">
        <f t="shared" si="8"/>
        <v>-66136966.780000001</v>
      </c>
      <c r="G39" s="81">
        <f t="shared" si="8"/>
        <v>3034901.6899999976</v>
      </c>
      <c r="H39" s="528">
        <f t="shared" si="8"/>
        <v>-23600061.479999989</v>
      </c>
      <c r="I39" s="494">
        <f t="shared" si="8"/>
        <v>-64672530.310000002</v>
      </c>
      <c r="J39" s="81">
        <f t="shared" si="8"/>
        <v>-20295947</v>
      </c>
      <c r="K39" s="81">
        <f t="shared" si="8"/>
        <v>310093658.6085031</v>
      </c>
      <c r="L39" s="81">
        <f t="shared" si="8"/>
        <v>25048228.391496897</v>
      </c>
      <c r="M39" s="81">
        <f t="shared" si="8"/>
        <v>5873489.3333333135</v>
      </c>
      <c r="N39" s="528">
        <f t="shared" si="8"/>
        <v>-67660783.559333086</v>
      </c>
      <c r="O39" s="570">
        <f t="shared" si="8"/>
        <v>156645961.56399965</v>
      </c>
      <c r="P39" s="494">
        <f t="shared" si="8"/>
        <v>156645961.56399965</v>
      </c>
      <c r="Q39" s="81">
        <f t="shared" si="8"/>
        <v>166275899.90201139</v>
      </c>
      <c r="R39" s="82">
        <f t="shared" si="8"/>
        <v>274432842.17623281</v>
      </c>
    </row>
    <row r="40" spans="1:18" ht="12.75" customHeight="1" x14ac:dyDescent="0.25">
      <c r="A40" s="85" t="s">
        <v>605</v>
      </c>
      <c r="B40" s="129"/>
      <c r="C40" s="391">
        <v>157349000</v>
      </c>
      <c r="D40" s="109">
        <v>23840</v>
      </c>
      <c r="E40" s="109">
        <v>22476747</v>
      </c>
      <c r="F40" s="109">
        <v>46047000</v>
      </c>
      <c r="G40" s="109">
        <v>9895267</v>
      </c>
      <c r="H40" s="390">
        <v>88890000</v>
      </c>
      <c r="I40" s="391"/>
      <c r="J40" s="109">
        <v>0</v>
      </c>
      <c r="K40" s="109">
        <v>142000000</v>
      </c>
      <c r="L40" s="109">
        <v>4171803</v>
      </c>
      <c r="M40" s="109">
        <v>0</v>
      </c>
      <c r="N40" s="517">
        <f>P40-SUM(C40:M40)</f>
        <v>0</v>
      </c>
      <c r="O40" s="549"/>
      <c r="P40" s="241">
        <f>'B4-FinPerf RE'!K41</f>
        <v>470853657</v>
      </c>
      <c r="Q40" s="75">
        <f>'B4-FinPerf RE'!L41</f>
        <v>425198041.39999998</v>
      </c>
      <c r="R40" s="76">
        <f>'B4-FinPerf RE'!M41</f>
        <v>437608034.0582</v>
      </c>
    </row>
    <row r="41" spans="1:18" ht="12.75" customHeight="1" x14ac:dyDescent="0.25">
      <c r="A41" s="85" t="s">
        <v>705</v>
      </c>
      <c r="B41" s="129"/>
      <c r="C41" s="391">
        <v>0</v>
      </c>
      <c r="D41" s="109">
        <v>0</v>
      </c>
      <c r="E41" s="109">
        <v>0</v>
      </c>
      <c r="F41" s="109">
        <v>0</v>
      </c>
      <c r="G41" s="109">
        <v>0</v>
      </c>
      <c r="H41" s="390">
        <v>0</v>
      </c>
      <c r="I41" s="391">
        <v>0</v>
      </c>
      <c r="J41" s="109">
        <v>0</v>
      </c>
      <c r="K41" s="109">
        <v>0</v>
      </c>
      <c r="L41" s="109">
        <v>0</v>
      </c>
      <c r="M41" s="109">
        <v>0</v>
      </c>
      <c r="N41" s="517">
        <f>P41-SUM(C41:M41)</f>
        <v>0</v>
      </c>
      <c r="O41" s="549"/>
      <c r="P41" s="241">
        <f>'B4-FinPerf RE'!K42</f>
        <v>0</v>
      </c>
      <c r="Q41" s="75">
        <f>'B4-FinPerf RE'!L42</f>
        <v>0</v>
      </c>
      <c r="R41" s="76">
        <f>'B4-FinPerf RE'!M42</f>
        <v>0</v>
      </c>
    </row>
    <row r="42" spans="1:18" ht="12.75" customHeight="1" x14ac:dyDescent="0.25">
      <c r="A42" s="85" t="s">
        <v>706</v>
      </c>
      <c r="B42" s="129"/>
      <c r="C42" s="391">
        <v>0</v>
      </c>
      <c r="D42" s="109">
        <v>0</v>
      </c>
      <c r="E42" s="109">
        <v>0</v>
      </c>
      <c r="F42" s="109">
        <v>0</v>
      </c>
      <c r="G42" s="109">
        <v>0</v>
      </c>
      <c r="H42" s="390">
        <v>0</v>
      </c>
      <c r="I42" s="391">
        <v>0</v>
      </c>
      <c r="J42" s="109">
        <v>0</v>
      </c>
      <c r="K42" s="109">
        <v>0</v>
      </c>
      <c r="L42" s="109">
        <v>0</v>
      </c>
      <c r="M42" s="109">
        <v>0</v>
      </c>
      <c r="N42" s="517">
        <f>P42-SUM(C42:M42)</f>
        <v>0</v>
      </c>
      <c r="O42" s="549"/>
      <c r="P42" s="241">
        <f>'B4-FinPerf RE'!K43</f>
        <v>0</v>
      </c>
      <c r="Q42" s="75">
        <f>'B4-FinPerf RE'!L43</f>
        <v>0</v>
      </c>
      <c r="R42" s="76">
        <f>'B4-FinPerf RE'!M43</f>
        <v>0</v>
      </c>
    </row>
    <row r="43" spans="1:18" ht="12.75" customHeight="1" x14ac:dyDescent="0.25">
      <c r="A43" s="155" t="s">
        <v>607</v>
      </c>
      <c r="B43" s="155"/>
      <c r="C43" s="116">
        <f>C39+SUM(C40:C42)</f>
        <v>328387710.27999997</v>
      </c>
      <c r="D43" s="117">
        <f t="shared" ref="D43:R43" si="9">D39+SUM(D40:D42)</f>
        <v>-44322927.029999971</v>
      </c>
      <c r="E43" s="117">
        <f t="shared" si="9"/>
        <v>-49253223.579999939</v>
      </c>
      <c r="F43" s="117">
        <f t="shared" si="9"/>
        <v>-20089966.780000001</v>
      </c>
      <c r="G43" s="117">
        <f t="shared" si="9"/>
        <v>12930168.689999998</v>
      </c>
      <c r="H43" s="531">
        <f t="shared" si="9"/>
        <v>65289938.520000011</v>
      </c>
      <c r="I43" s="116">
        <f t="shared" si="9"/>
        <v>-64672530.310000002</v>
      </c>
      <c r="J43" s="117">
        <f t="shared" si="9"/>
        <v>-20295947</v>
      </c>
      <c r="K43" s="117">
        <f t="shared" si="9"/>
        <v>452093658.6085031</v>
      </c>
      <c r="L43" s="117">
        <f t="shared" si="9"/>
        <v>29220031.391496897</v>
      </c>
      <c r="M43" s="117">
        <f t="shared" si="9"/>
        <v>5873489.3333333135</v>
      </c>
      <c r="N43" s="531">
        <f t="shared" si="9"/>
        <v>-67660783.559333086</v>
      </c>
      <c r="O43" s="552">
        <f t="shared" si="9"/>
        <v>156645961.56399965</v>
      </c>
      <c r="P43" s="116">
        <f>P39+SUM(P40:P42)</f>
        <v>627499618.56399965</v>
      </c>
      <c r="Q43" s="117">
        <f t="shared" si="9"/>
        <v>591473941.30201137</v>
      </c>
      <c r="R43" s="118">
        <f t="shared" si="9"/>
        <v>712040876.23443282</v>
      </c>
    </row>
    <row r="44" spans="1:18" ht="12.75" customHeight="1" x14ac:dyDescent="0.25">
      <c r="A44" s="553" t="str">
        <f>head27a</f>
        <v>References</v>
      </c>
      <c r="B44" s="567"/>
      <c r="C44" s="554"/>
      <c r="D44" s="554"/>
      <c r="E44" s="554"/>
      <c r="F44" s="554"/>
      <c r="G44" s="554"/>
      <c r="H44" s="554"/>
      <c r="I44" s="554"/>
      <c r="J44" s="554"/>
      <c r="K44" s="554"/>
      <c r="L44" s="554"/>
      <c r="M44" s="554"/>
      <c r="N44" s="554"/>
      <c r="O44" s="554"/>
      <c r="P44" s="554"/>
      <c r="Q44" s="554"/>
      <c r="R44" s="554"/>
    </row>
    <row r="45" spans="1:18" ht="12.75" customHeight="1" x14ac:dyDescent="0.25">
      <c r="A45" s="99" t="s">
        <v>463</v>
      </c>
      <c r="B45" s="48"/>
      <c r="C45" s="48"/>
      <c r="D45" s="48"/>
      <c r="E45" s="48"/>
      <c r="F45" s="48"/>
      <c r="G45" s="48"/>
      <c r="H45" s="48"/>
      <c r="I45" s="48"/>
      <c r="J45" s="48"/>
      <c r="K45" s="48"/>
      <c r="L45" s="48"/>
      <c r="M45" s="48"/>
      <c r="N45" s="48"/>
      <c r="O45" s="48"/>
      <c r="P45" s="48"/>
      <c r="Q45" s="48"/>
      <c r="R45" s="48"/>
    </row>
    <row r="46" spans="1:18" x14ac:dyDescent="0.25">
      <c r="A46" s="320" t="s">
        <v>5</v>
      </c>
      <c r="B46" s="320"/>
      <c r="P46" s="555">
        <f>P43-'B4-FinPerf RE'!K44</f>
        <v>0</v>
      </c>
      <c r="Q46" s="555">
        <f>Q43-'B4-FinPerf RE'!L44</f>
        <v>0</v>
      </c>
      <c r="R46" s="555">
        <f>R43-'B4-FinPerf RE'!M44</f>
        <v>0</v>
      </c>
    </row>
    <row r="55" spans="2:2" x14ac:dyDescent="0.25">
      <c r="B55"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2"/>
  <sheetViews>
    <sheetView showGridLines="0" zoomScaleNormal="100" workbookViewId="0">
      <pane xSplit="2" ySplit="4" topLeftCell="H42" activePane="bottomRight" state="frozen"/>
      <selection activeCell="C6" sqref="C6"/>
      <selection pane="topRight" activeCell="C6" sqref="C6"/>
      <selection pane="bottomLeft" activeCell="C6" sqref="C6"/>
      <selection pane="bottomRight" activeCell="N47" sqref="N47"/>
    </sheetView>
  </sheetViews>
  <sheetFormatPr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x14ac:dyDescent="0.25">
      <c r="A1" s="57" t="str">
        <f>muni&amp;" - "&amp;ADJB15&amp;" - "&amp;Date</f>
        <v>LIM354 Polokwane - Supporting Table SB15 Adjustments Budget - monthly cash flow - 25 February 2016</v>
      </c>
      <c r="B1" s="57"/>
      <c r="D1" s="58"/>
    </row>
    <row r="2" spans="1:18" ht="25.5" customHeight="1" x14ac:dyDescent="0.25">
      <c r="A2" s="1321" t="s">
        <v>464</v>
      </c>
      <c r="B2" s="1318" t="str">
        <f>head27</f>
        <v>Ref</v>
      </c>
      <c r="C2" s="1315" t="str">
        <f>Head2</f>
        <v>Budget Year 2015/16</v>
      </c>
      <c r="D2" s="1316"/>
      <c r="E2" s="1316"/>
      <c r="F2" s="1316"/>
      <c r="G2" s="1316"/>
      <c r="H2" s="1316"/>
      <c r="I2" s="1316"/>
      <c r="J2" s="1316"/>
      <c r="K2" s="1316"/>
      <c r="L2" s="1316"/>
      <c r="M2" s="1316"/>
      <c r="N2" s="1317"/>
      <c r="O2" s="536"/>
      <c r="P2" s="1315" t="str">
        <f>Head3a</f>
        <v>Medium Term Revenue and Expenditure Framework</v>
      </c>
      <c r="Q2" s="1316"/>
      <c r="R2" s="1365"/>
    </row>
    <row r="3" spans="1:18" ht="38.25" x14ac:dyDescent="0.25">
      <c r="A3" s="1322"/>
      <c r="B3" s="1319"/>
      <c r="C3" s="461" t="s">
        <v>229</v>
      </c>
      <c r="D3" s="329" t="s">
        <v>230</v>
      </c>
      <c r="E3" s="329" t="s">
        <v>231</v>
      </c>
      <c r="F3" s="329" t="s">
        <v>232</v>
      </c>
      <c r="G3" s="329" t="s">
        <v>233</v>
      </c>
      <c r="H3" s="330" t="s">
        <v>234</v>
      </c>
      <c r="I3" s="540" t="s">
        <v>235</v>
      </c>
      <c r="J3" s="541" t="s">
        <v>236</v>
      </c>
      <c r="K3" s="329" t="s">
        <v>237</v>
      </c>
      <c r="L3" s="329" t="s">
        <v>238</v>
      </c>
      <c r="M3" s="542" t="s">
        <v>239</v>
      </c>
      <c r="N3" s="541" t="s">
        <v>240</v>
      </c>
      <c r="O3" s="543" t="s">
        <v>241</v>
      </c>
      <c r="P3" s="540" t="str">
        <f>Head9</f>
        <v>Budget Year 2015/16</v>
      </c>
      <c r="Q3" s="541" t="str">
        <f>Head10</f>
        <v>Budget Year +1 2016/17</v>
      </c>
      <c r="R3" s="331" t="str">
        <f>Head11</f>
        <v>Budget Year +2 2017/18</v>
      </c>
    </row>
    <row r="4" spans="1:18" ht="25.5" x14ac:dyDescent="0.25">
      <c r="A4" s="571" t="s">
        <v>641</v>
      </c>
      <c r="B4" s="104"/>
      <c r="C4" s="821" t="str">
        <f t="shared" ref="C4:H4" si="0">Head5A</f>
        <v>Outcome</v>
      </c>
      <c r="D4" s="822" t="str">
        <f t="shared" si="0"/>
        <v>Outcome</v>
      </c>
      <c r="E4" s="822" t="str">
        <f t="shared" si="0"/>
        <v>Outcome</v>
      </c>
      <c r="F4" s="822" t="str">
        <f t="shared" si="0"/>
        <v>Outcome</v>
      </c>
      <c r="G4" s="822" t="str">
        <f t="shared" si="0"/>
        <v>Outcome</v>
      </c>
      <c r="H4" s="823" t="str">
        <f t="shared" si="0"/>
        <v>Outcome</v>
      </c>
      <c r="I4" s="821" t="str">
        <f t="shared" ref="I4:N4" si="1">Head7</f>
        <v>Adjusted Budget</v>
      </c>
      <c r="J4" s="823" t="str">
        <f t="shared" si="1"/>
        <v>Adjusted Budget</v>
      </c>
      <c r="K4" s="822" t="str">
        <f t="shared" si="1"/>
        <v>Adjusted Budget</v>
      </c>
      <c r="L4" s="822" t="str">
        <f t="shared" si="1"/>
        <v>Adjusted Budget</v>
      </c>
      <c r="M4" s="822" t="str">
        <f t="shared" si="1"/>
        <v>Adjusted Budget</v>
      </c>
      <c r="N4" s="823" t="str">
        <f t="shared" si="1"/>
        <v>Adjusted Budget</v>
      </c>
      <c r="O4" s="545"/>
      <c r="P4" s="546" t="str">
        <f>Head7</f>
        <v>Adjusted Budget</v>
      </c>
      <c r="Q4" s="547" t="str">
        <f>Head7</f>
        <v>Adjusted Budget</v>
      </c>
      <c r="R4" s="548" t="str">
        <f>Head7</f>
        <v>Adjusted Budget</v>
      </c>
    </row>
    <row r="5" spans="1:18" ht="12.75" customHeight="1" x14ac:dyDescent="0.25">
      <c r="A5" s="516" t="s">
        <v>465</v>
      </c>
      <c r="B5" s="129">
        <v>1</v>
      </c>
      <c r="C5" s="241"/>
      <c r="D5" s="75"/>
      <c r="E5" s="75"/>
      <c r="F5" s="75"/>
      <c r="G5" s="75"/>
      <c r="H5" s="517"/>
      <c r="I5" s="241"/>
      <c r="J5" s="75"/>
      <c r="K5" s="75"/>
      <c r="L5" s="75"/>
      <c r="M5" s="75"/>
      <c r="N5" s="517"/>
      <c r="O5" s="549"/>
      <c r="P5" s="655"/>
      <c r="Q5" s="75"/>
      <c r="R5" s="76"/>
    </row>
    <row r="6" spans="1:18" ht="12.6" customHeight="1" x14ac:dyDescent="0.25">
      <c r="A6" s="129" t="s">
        <v>591</v>
      </c>
      <c r="B6" s="129"/>
      <c r="C6" s="391">
        <v>34795220.770000003</v>
      </c>
      <c r="D6" s="109">
        <v>28673321.34</v>
      </c>
      <c r="E6" s="109">
        <v>22863448.52</v>
      </c>
      <c r="F6" s="109">
        <v>21115859.699999999</v>
      </c>
      <c r="G6" s="109">
        <v>22384708.5</v>
      </c>
      <c r="H6" s="390">
        <v>18632126.949999999</v>
      </c>
      <c r="I6" s="391">
        <v>24961508.84</v>
      </c>
      <c r="J6" s="109">
        <v>7669070.0025000051</v>
      </c>
      <c r="K6" s="109">
        <v>8070070.0025000097</v>
      </c>
      <c r="L6" s="109">
        <v>7669070.0025000051</v>
      </c>
      <c r="M6" s="109">
        <v>19766986.41</v>
      </c>
      <c r="N6" s="517">
        <f t="shared" ref="N6:N21" si="2">P6-SUM(C6:M6)</f>
        <v>7268070.0025000274</v>
      </c>
      <c r="O6" s="549">
        <f t="shared" ref="O6:O21" si="3">SUM(C6:N6)</f>
        <v>223869461.04000002</v>
      </c>
      <c r="P6" s="391">
        <v>223869461.04000002</v>
      </c>
      <c r="Q6" s="109">
        <v>337032182.24280006</v>
      </c>
      <c r="R6" s="110">
        <v>353883791.35494006</v>
      </c>
    </row>
    <row r="7" spans="1:18" ht="12.6" customHeight="1" x14ac:dyDescent="0.25">
      <c r="A7" s="129" t="s">
        <v>683</v>
      </c>
      <c r="B7" s="129"/>
      <c r="C7" s="391">
        <v>0</v>
      </c>
      <c r="D7" s="109">
        <v>0</v>
      </c>
      <c r="E7" s="109">
        <v>0</v>
      </c>
      <c r="F7" s="109">
        <v>0</v>
      </c>
      <c r="G7" s="109">
        <v>0</v>
      </c>
      <c r="H7" s="390">
        <v>0</v>
      </c>
      <c r="I7" s="391">
        <v>0</v>
      </c>
      <c r="J7" s="109">
        <v>0</v>
      </c>
      <c r="K7" s="109">
        <v>0</v>
      </c>
      <c r="L7" s="109">
        <v>0</v>
      </c>
      <c r="M7" s="109">
        <v>0</v>
      </c>
      <c r="N7" s="517">
        <f t="shared" si="2"/>
        <v>0</v>
      </c>
      <c r="O7" s="549">
        <f t="shared" si="3"/>
        <v>0</v>
      </c>
      <c r="P7" s="391">
        <v>0</v>
      </c>
      <c r="Q7" s="109">
        <v>0</v>
      </c>
      <c r="R7" s="110">
        <v>0</v>
      </c>
    </row>
    <row r="8" spans="1:18" ht="12.6" customHeight="1" x14ac:dyDescent="0.25">
      <c r="A8" s="129" t="s">
        <v>684</v>
      </c>
      <c r="B8" s="129"/>
      <c r="C8" s="391">
        <v>56768346.899999999</v>
      </c>
      <c r="D8" s="109">
        <v>62592787.280000001</v>
      </c>
      <c r="E8" s="109">
        <v>55448016.299999997</v>
      </c>
      <c r="F8" s="109">
        <v>58378014.700000003</v>
      </c>
      <c r="G8" s="109">
        <v>64707650.609999999</v>
      </c>
      <c r="H8" s="390">
        <v>62338932.869999997</v>
      </c>
      <c r="I8" s="391">
        <v>63174864.740000002</v>
      </c>
      <c r="J8" s="109">
        <v>54885364.709666654</v>
      </c>
      <c r="K8" s="109">
        <v>58191711.981333323</v>
      </c>
      <c r="L8" s="109">
        <v>58391711.9813333</v>
      </c>
      <c r="M8" s="109">
        <v>61804406.524666697</v>
      </c>
      <c r="N8" s="517">
        <f t="shared" si="2"/>
        <v>24900203.779520035</v>
      </c>
      <c r="O8" s="549">
        <f t="shared" si="3"/>
        <v>681582012.37652004</v>
      </c>
      <c r="P8" s="391">
        <f>690365307.53652-8783295.16</f>
        <v>681582012.37652004</v>
      </c>
      <c r="Q8" s="109">
        <v>815980048.54318666</v>
      </c>
      <c r="R8" s="110">
        <v>895605353.40224922</v>
      </c>
    </row>
    <row r="9" spans="1:18" ht="12.6" customHeight="1" x14ac:dyDescent="0.25">
      <c r="A9" s="129" t="s">
        <v>685</v>
      </c>
      <c r="B9" s="129"/>
      <c r="C9" s="391">
        <v>17325515.57</v>
      </c>
      <c r="D9" s="109">
        <v>18598267.670000002</v>
      </c>
      <c r="E9" s="109">
        <v>16110450.539999999</v>
      </c>
      <c r="F9" s="109">
        <v>21984208.890000001</v>
      </c>
      <c r="G9" s="109">
        <v>5933202.9500000002</v>
      </c>
      <c r="H9" s="390">
        <v>21190846.739999998</v>
      </c>
      <c r="I9" s="391">
        <v>14561149</v>
      </c>
      <c r="J9" s="109">
        <v>18598267.670000002</v>
      </c>
      <c r="K9" s="109">
        <v>16110450.539999999</v>
      </c>
      <c r="L9" s="109">
        <v>22072115</v>
      </c>
      <c r="M9" s="109">
        <v>19424627.655000001</v>
      </c>
      <c r="N9" s="517">
        <f t="shared" si="2"/>
        <v>24633281.333700001</v>
      </c>
      <c r="O9" s="549">
        <f t="shared" si="3"/>
        <v>216542383.5587</v>
      </c>
      <c r="P9" s="391">
        <f>225325678.7187-8783295.16</f>
        <v>216542383.5587</v>
      </c>
      <c r="Q9" s="109">
        <v>251251078.86190104</v>
      </c>
      <c r="R9" s="110">
        <v>263418405.6793088</v>
      </c>
    </row>
    <row r="10" spans="1:18" ht="12.6" customHeight="1" x14ac:dyDescent="0.25">
      <c r="A10" s="129" t="s">
        <v>686</v>
      </c>
      <c r="B10" s="129"/>
      <c r="C10" s="391">
        <v>3452121.41</v>
      </c>
      <c r="D10" s="109">
        <v>3825943.02</v>
      </c>
      <c r="E10" s="109">
        <v>3508021.52</v>
      </c>
      <c r="F10" s="109">
        <v>3813099.23</v>
      </c>
      <c r="G10" s="109">
        <v>3312370.15</v>
      </c>
      <c r="H10" s="390">
        <v>3377535.22</v>
      </c>
      <c r="I10" s="391">
        <v>3722734.81</v>
      </c>
      <c r="J10" s="109">
        <v>3825943.02</v>
      </c>
      <c r="K10" s="109">
        <v>2508021.52</v>
      </c>
      <c r="L10" s="109">
        <v>3872799.77</v>
      </c>
      <c r="M10" s="109">
        <v>2287742.6025</v>
      </c>
      <c r="N10" s="517">
        <f t="shared" si="2"/>
        <v>1843738.5275000036</v>
      </c>
      <c r="O10" s="549">
        <f t="shared" si="3"/>
        <v>39350070.799999997</v>
      </c>
      <c r="P10" s="391">
        <f>48133365.96-8783295.16</f>
        <v>39350070.799999997</v>
      </c>
      <c r="Q10" s="109">
        <v>52465365.660000011</v>
      </c>
      <c r="R10" s="110">
        <v>56924921.741100013</v>
      </c>
    </row>
    <row r="11" spans="1:18" ht="12.6" customHeight="1" x14ac:dyDescent="0.25">
      <c r="A11" s="129" t="s">
        <v>247</v>
      </c>
      <c r="B11" s="129"/>
      <c r="C11" s="391">
        <v>4221941.51</v>
      </c>
      <c r="D11" s="109">
        <v>5286695.4800000004</v>
      </c>
      <c r="E11" s="109">
        <v>4737159.6100000003</v>
      </c>
      <c r="F11" s="109">
        <v>4555919.3600000003</v>
      </c>
      <c r="G11" s="109">
        <v>4676035.78</v>
      </c>
      <c r="H11" s="390">
        <v>4401152.3499999996</v>
      </c>
      <c r="I11" s="391">
        <v>4952963.72</v>
      </c>
      <c r="J11" s="109">
        <v>5286695.4800000004</v>
      </c>
      <c r="K11" s="109">
        <v>2737159.61</v>
      </c>
      <c r="L11" s="109">
        <v>2639208.7866666699</v>
      </c>
      <c r="M11" s="109">
        <v>2444456.35</v>
      </c>
      <c r="N11" s="517">
        <f t="shared" si="2"/>
        <v>315202.86333332956</v>
      </c>
      <c r="O11" s="549">
        <f t="shared" si="3"/>
        <v>46254590.900000006</v>
      </c>
      <c r="P11" s="391">
        <f>55037886.06-8783295.16</f>
        <v>46254590.900000006</v>
      </c>
      <c r="Q11" s="109">
        <v>64128626.160000019</v>
      </c>
      <c r="R11" s="110">
        <v>69579559.383600011</v>
      </c>
    </row>
    <row r="12" spans="1:18" ht="12.6" customHeight="1" x14ac:dyDescent="0.25">
      <c r="A12" s="129" t="s">
        <v>687</v>
      </c>
      <c r="B12" s="129"/>
      <c r="C12" s="391">
        <v>3746.76</v>
      </c>
      <c r="D12" s="109">
        <v>37058.370000000003</v>
      </c>
      <c r="E12" s="109">
        <v>2529.88</v>
      </c>
      <c r="F12" s="109">
        <v>37212.04</v>
      </c>
      <c r="G12" s="109">
        <v>398.35</v>
      </c>
      <c r="H12" s="390">
        <v>380.47</v>
      </c>
      <c r="I12" s="391"/>
      <c r="J12" s="109">
        <v>0</v>
      </c>
      <c r="K12" s="109">
        <v>0</v>
      </c>
      <c r="L12" s="109">
        <v>0</v>
      </c>
      <c r="M12" s="109">
        <v>0</v>
      </c>
      <c r="N12" s="517">
        <f t="shared" si="2"/>
        <v>-81325.87000000001</v>
      </c>
      <c r="O12" s="549">
        <f t="shared" si="3"/>
        <v>0</v>
      </c>
      <c r="P12" s="391">
        <v>0</v>
      </c>
      <c r="Q12" s="109">
        <v>0</v>
      </c>
      <c r="R12" s="110">
        <v>0</v>
      </c>
    </row>
    <row r="13" spans="1:18" ht="12.6" customHeight="1" x14ac:dyDescent="0.25">
      <c r="A13" s="129" t="s">
        <v>688</v>
      </c>
      <c r="B13" s="129"/>
      <c r="C13" s="391">
        <v>684506.27</v>
      </c>
      <c r="D13" s="109">
        <v>1471516.35</v>
      </c>
      <c r="E13" s="109">
        <v>1405940.34</v>
      </c>
      <c r="F13" s="109">
        <v>418665.07</v>
      </c>
      <c r="G13" s="109">
        <v>262663.77</v>
      </c>
      <c r="H13" s="390">
        <v>485317.66</v>
      </c>
      <c r="I13" s="391">
        <v>530469.64</v>
      </c>
      <c r="J13" s="109">
        <v>1471516.35</v>
      </c>
      <c r="K13" s="109">
        <v>1405940.34</v>
      </c>
      <c r="L13" s="109">
        <v>1697653.9391999999</v>
      </c>
      <c r="M13" s="109">
        <v>1556182.7775999999</v>
      </c>
      <c r="N13" s="517">
        <f t="shared" si="2"/>
        <v>8344840.3632000033</v>
      </c>
      <c r="O13" s="549">
        <f t="shared" si="3"/>
        <v>19735212.870000001</v>
      </c>
      <c r="P13" s="391">
        <v>19735212.870000001</v>
      </c>
      <c r="Q13" s="109">
        <v>21017996.559</v>
      </c>
      <c r="R13" s="110">
        <v>22342138.898217</v>
      </c>
    </row>
    <row r="14" spans="1:18" ht="12.6" customHeight="1" x14ac:dyDescent="0.25">
      <c r="A14" s="129" t="s">
        <v>689</v>
      </c>
      <c r="B14" s="129"/>
      <c r="C14" s="391">
        <v>265903.21000000002</v>
      </c>
      <c r="D14" s="109">
        <v>275601.81</v>
      </c>
      <c r="E14" s="109">
        <v>1022900.32</v>
      </c>
      <c r="F14" s="109">
        <v>3114920.32</v>
      </c>
      <c r="G14" s="109">
        <v>699145.74</v>
      </c>
      <c r="H14" s="390">
        <v>815329.89</v>
      </c>
      <c r="I14" s="391">
        <v>691157.51</v>
      </c>
      <c r="J14" s="109">
        <v>275601.81</v>
      </c>
      <c r="K14" s="109">
        <v>1022900.32</v>
      </c>
      <c r="L14" s="109">
        <v>2480000</v>
      </c>
      <c r="M14" s="109">
        <v>2273333.3333333335</v>
      </c>
      <c r="N14" s="517">
        <f t="shared" si="2"/>
        <v>15893205.736666666</v>
      </c>
      <c r="O14" s="549">
        <f t="shared" si="3"/>
        <v>28830000</v>
      </c>
      <c r="P14" s="391">
        <v>28830000</v>
      </c>
      <c r="Q14" s="109">
        <v>30703950</v>
      </c>
      <c r="R14" s="110">
        <v>32638298.850000001</v>
      </c>
    </row>
    <row r="15" spans="1:18" ht="12.6" customHeight="1" x14ac:dyDescent="0.25">
      <c r="A15" s="129" t="s">
        <v>690</v>
      </c>
      <c r="B15" s="129"/>
      <c r="C15" s="391">
        <v>4789227.25</v>
      </c>
      <c r="D15" s="109">
        <v>4698541</v>
      </c>
      <c r="E15" s="109">
        <v>4198541</v>
      </c>
      <c r="F15" s="109">
        <v>4000541</v>
      </c>
      <c r="G15" s="109">
        <v>4336559</v>
      </c>
      <c r="H15" s="390">
        <v>4751984.84</v>
      </c>
      <c r="I15" s="391">
        <v>4434538.09</v>
      </c>
      <c r="J15" s="109">
        <v>0</v>
      </c>
      <c r="K15" s="109">
        <v>0</v>
      </c>
      <c r="L15" s="109">
        <v>0</v>
      </c>
      <c r="M15" s="109">
        <v>0</v>
      </c>
      <c r="N15" s="517">
        <f t="shared" si="2"/>
        <v>-1635932.1799999997</v>
      </c>
      <c r="O15" s="549">
        <f t="shared" si="3"/>
        <v>29574000</v>
      </c>
      <c r="P15" s="391">
        <v>29574000</v>
      </c>
      <c r="Q15" s="109">
        <v>31496310</v>
      </c>
      <c r="R15" s="110">
        <v>33480577.530000001</v>
      </c>
    </row>
    <row r="16" spans="1:18" ht="12.6" customHeight="1" x14ac:dyDescent="0.25">
      <c r="A16" s="129" t="s">
        <v>691</v>
      </c>
      <c r="B16" s="129"/>
      <c r="C16" s="391">
        <v>0</v>
      </c>
      <c r="D16" s="109">
        <v>0</v>
      </c>
      <c r="E16" s="109">
        <v>0</v>
      </c>
      <c r="F16" s="109">
        <v>0</v>
      </c>
      <c r="G16" s="109">
        <v>0</v>
      </c>
      <c r="H16" s="390">
        <v>0</v>
      </c>
      <c r="I16" s="391">
        <v>0</v>
      </c>
      <c r="J16" s="109">
        <v>0</v>
      </c>
      <c r="K16" s="109">
        <v>0</v>
      </c>
      <c r="L16" s="109">
        <v>0</v>
      </c>
      <c r="M16" s="109">
        <v>0</v>
      </c>
      <c r="N16" s="517">
        <f t="shared" si="2"/>
        <v>0</v>
      </c>
      <c r="O16" s="549">
        <f t="shared" si="3"/>
        <v>0</v>
      </c>
      <c r="P16" s="391">
        <v>0</v>
      </c>
      <c r="Q16" s="109">
        <v>0</v>
      </c>
      <c r="R16" s="110">
        <v>0</v>
      </c>
    </row>
    <row r="17" spans="1:18" ht="12.6" customHeight="1" x14ac:dyDescent="0.25">
      <c r="A17" s="129" t="s">
        <v>692</v>
      </c>
      <c r="B17" s="129"/>
      <c r="C17" s="391">
        <v>229446.44</v>
      </c>
      <c r="D17" s="109">
        <v>322354.59999999998</v>
      </c>
      <c r="E17" s="109">
        <v>233331.20000000001</v>
      </c>
      <c r="F17" s="109">
        <v>413607.6</v>
      </c>
      <c r="G17" s="109">
        <v>270867.20000000001</v>
      </c>
      <c r="H17" s="390">
        <v>388495.12</v>
      </c>
      <c r="I17" s="391">
        <v>266989.90000000002</v>
      </c>
      <c r="J17" s="109">
        <v>1006557.6444000001</v>
      </c>
      <c r="K17" s="109">
        <v>834985.31865000003</v>
      </c>
      <c r="L17" s="109">
        <v>1006557.6444000001</v>
      </c>
      <c r="M17" s="109">
        <v>1029433.9545000001</v>
      </c>
      <c r="N17" s="517">
        <f t="shared" si="2"/>
        <v>6762352.4980500014</v>
      </c>
      <c r="O17" s="549">
        <f t="shared" si="3"/>
        <v>12764979.120000001</v>
      </c>
      <c r="P17" s="391">
        <v>12764979.120000001</v>
      </c>
      <c r="Q17" s="109">
        <v>13594925.69775</v>
      </c>
      <c r="R17" s="110">
        <v>14451688.01688825</v>
      </c>
    </row>
    <row r="18" spans="1:18" ht="12.6" customHeight="1" x14ac:dyDescent="0.25">
      <c r="A18" s="129" t="s">
        <v>693</v>
      </c>
      <c r="B18" s="129"/>
      <c r="C18" s="391">
        <v>826472.91</v>
      </c>
      <c r="D18" s="109">
        <v>622016.69999999995</v>
      </c>
      <c r="E18" s="109">
        <v>700778.97</v>
      </c>
      <c r="F18" s="109">
        <v>537036</v>
      </c>
      <c r="G18" s="109">
        <v>751642</v>
      </c>
      <c r="H18" s="390">
        <v>689750</v>
      </c>
      <c r="I18" s="391">
        <v>528958.05000000005</v>
      </c>
      <c r="J18" s="109">
        <v>701732.84719999996</v>
      </c>
      <c r="K18" s="109">
        <v>582119.29369999992</v>
      </c>
      <c r="L18" s="109">
        <v>701732.84719999996</v>
      </c>
      <c r="M18" s="109">
        <v>717681.321</v>
      </c>
      <c r="N18" s="517">
        <f t="shared" si="2"/>
        <v>1539322.5309000015</v>
      </c>
      <c r="O18" s="549">
        <f t="shared" si="3"/>
        <v>8899243.4700000007</v>
      </c>
      <c r="P18" s="391">
        <v>8899243.4700000007</v>
      </c>
      <c r="Q18" s="109">
        <v>9477691.1568000019</v>
      </c>
      <c r="R18" s="110">
        <v>10074785.6782884</v>
      </c>
    </row>
    <row r="19" spans="1:18" ht="12.6" customHeight="1" x14ac:dyDescent="0.25">
      <c r="A19" s="129" t="s">
        <v>694</v>
      </c>
      <c r="B19" s="129"/>
      <c r="C19" s="391">
        <v>135184</v>
      </c>
      <c r="D19" s="109">
        <v>101684</v>
      </c>
      <c r="E19" s="109">
        <v>136788</v>
      </c>
      <c r="F19" s="109">
        <v>62694</v>
      </c>
      <c r="G19" s="109">
        <v>127485.35</v>
      </c>
      <c r="H19" s="390">
        <v>104139.8</v>
      </c>
      <c r="I19" s="391">
        <v>79968</v>
      </c>
      <c r="J19" s="109">
        <v>1217008.6133333333</v>
      </c>
      <c r="K19" s="109">
        <v>1009563.9633333333</v>
      </c>
      <c r="L19" s="109">
        <v>1217008.6133333333</v>
      </c>
      <c r="M19" s="109">
        <v>1244667.8999999999</v>
      </c>
      <c r="N19" s="517">
        <f t="shared" si="2"/>
        <v>9997689.7200000007</v>
      </c>
      <c r="O19" s="549">
        <f t="shared" si="3"/>
        <v>15433881.960000001</v>
      </c>
      <c r="P19" s="391">
        <v>15433881.960000001</v>
      </c>
      <c r="Q19" s="109">
        <v>16437084.120000001</v>
      </c>
      <c r="R19" s="110">
        <v>17472620.419559997</v>
      </c>
    </row>
    <row r="20" spans="1:18" ht="12.6" customHeight="1" x14ac:dyDescent="0.25">
      <c r="A20" s="129" t="s">
        <v>515</v>
      </c>
      <c r="B20" s="129"/>
      <c r="C20" s="391">
        <v>217748000</v>
      </c>
      <c r="D20" s="109">
        <v>1343702.3914969</v>
      </c>
      <c r="E20" s="109">
        <v>0</v>
      </c>
      <c r="F20" s="109">
        <v>0</v>
      </c>
      <c r="G20" s="109">
        <v>19619000</v>
      </c>
      <c r="H20" s="390">
        <v>0</v>
      </c>
      <c r="I20" s="391">
        <v>0</v>
      </c>
      <c r="J20" s="109">
        <v>4000000</v>
      </c>
      <c r="K20" s="109">
        <v>280149297.6085031</v>
      </c>
      <c r="L20" s="109">
        <v>0</v>
      </c>
      <c r="M20" s="109">
        <v>0</v>
      </c>
      <c r="N20" s="517">
        <f t="shared" si="2"/>
        <v>0</v>
      </c>
      <c r="O20" s="549">
        <f t="shared" si="3"/>
        <v>522860000</v>
      </c>
      <c r="P20" s="391">
        <f>679560000-156700000</f>
        <v>522860000</v>
      </c>
      <c r="Q20" s="109">
        <v>665756000</v>
      </c>
      <c r="R20" s="110">
        <v>716327000</v>
      </c>
    </row>
    <row r="21" spans="1:18" ht="12.6" customHeight="1" x14ac:dyDescent="0.25">
      <c r="A21" s="129" t="s">
        <v>695</v>
      </c>
      <c r="B21" s="85"/>
      <c r="C21" s="391">
        <v>17095842.740000013</v>
      </c>
      <c r="D21" s="109">
        <v>11817085.149999995</v>
      </c>
      <c r="E21" s="109">
        <v>57589163.379999995</v>
      </c>
      <c r="F21" s="109">
        <v>224992049.63999999</v>
      </c>
      <c r="G21" s="109">
        <v>91044191</v>
      </c>
      <c r="H21" s="390">
        <v>119745518</v>
      </c>
      <c r="I21" s="391">
        <v>24527140</v>
      </c>
      <c r="J21" s="109">
        <v>0</v>
      </c>
      <c r="K21" s="109">
        <v>0</v>
      </c>
      <c r="L21" s="109">
        <v>0</v>
      </c>
      <c r="M21" s="109">
        <v>0</v>
      </c>
      <c r="N21" s="517">
        <f t="shared" si="2"/>
        <v>-486933259.00999999</v>
      </c>
      <c r="O21" s="549">
        <f t="shared" si="3"/>
        <v>59877730.899999976</v>
      </c>
      <c r="P21" s="391">
        <f>59876730.9+1000</f>
        <v>59877730.899999999</v>
      </c>
      <c r="Q21" s="109">
        <v>28932544.250196502</v>
      </c>
      <c r="R21" s="110">
        <v>31737204</v>
      </c>
    </row>
    <row r="22" spans="1:18" ht="12.75" customHeight="1" x14ac:dyDescent="0.25">
      <c r="A22" s="139" t="s">
        <v>466</v>
      </c>
      <c r="B22" s="550"/>
      <c r="C22" s="305">
        <f t="shared" ref="C22:R22" si="4">SUM(C6:C21)</f>
        <v>358341475.74000001</v>
      </c>
      <c r="D22" s="151">
        <f t="shared" si="4"/>
        <v>139666575.16149691</v>
      </c>
      <c r="E22" s="151">
        <f t="shared" si="4"/>
        <v>167957069.57999998</v>
      </c>
      <c r="F22" s="151">
        <f t="shared" si="4"/>
        <v>343423827.54999995</v>
      </c>
      <c r="G22" s="151">
        <f t="shared" si="4"/>
        <v>218125920.39999998</v>
      </c>
      <c r="H22" s="530">
        <f t="shared" si="4"/>
        <v>236921509.90999997</v>
      </c>
      <c r="I22" s="305">
        <f t="shared" si="4"/>
        <v>142432442.30000001</v>
      </c>
      <c r="J22" s="151">
        <f t="shared" si="4"/>
        <v>98937758.147099987</v>
      </c>
      <c r="K22" s="151">
        <f t="shared" si="4"/>
        <v>372622220.49801975</v>
      </c>
      <c r="L22" s="151">
        <f t="shared" si="4"/>
        <v>101747858.58463332</v>
      </c>
      <c r="M22" s="151">
        <f t="shared" si="4"/>
        <v>112549518.82860003</v>
      </c>
      <c r="N22" s="530">
        <f t="shared" si="4"/>
        <v>-387152609.7046299</v>
      </c>
      <c r="O22" s="551">
        <f t="shared" si="4"/>
        <v>1905573566.9952202</v>
      </c>
      <c r="P22" s="305">
        <f t="shared" si="4"/>
        <v>1905573566.9952202</v>
      </c>
      <c r="Q22" s="151">
        <f t="shared" si="4"/>
        <v>2338273803.2516346</v>
      </c>
      <c r="R22" s="152">
        <f t="shared" si="4"/>
        <v>2517936344.9541516</v>
      </c>
    </row>
    <row r="23" spans="1:18" ht="5.0999999999999996" customHeight="1" x14ac:dyDescent="0.25">
      <c r="A23" s="50"/>
      <c r="B23" s="85"/>
      <c r="C23" s="241"/>
      <c r="D23" s="75"/>
      <c r="E23" s="75"/>
      <c r="F23" s="75"/>
      <c r="G23" s="75"/>
      <c r="H23" s="517"/>
      <c r="I23" s="241"/>
      <c r="J23" s="75"/>
      <c r="K23" s="75"/>
      <c r="L23" s="75"/>
      <c r="M23" s="75"/>
      <c r="N23" s="517"/>
      <c r="O23" s="549"/>
      <c r="P23" s="241"/>
      <c r="Q23" s="75"/>
      <c r="R23" s="76"/>
    </row>
    <row r="24" spans="1:18" ht="12.75" customHeight="1" x14ac:dyDescent="0.25">
      <c r="A24" s="544" t="s">
        <v>467</v>
      </c>
      <c r="B24" s="129"/>
      <c r="C24" s="241"/>
      <c r="D24" s="75"/>
      <c r="E24" s="75"/>
      <c r="F24" s="75"/>
      <c r="G24" s="75"/>
      <c r="H24" s="517"/>
      <c r="I24" s="241"/>
      <c r="J24" s="75"/>
      <c r="K24" s="75"/>
      <c r="L24" s="75"/>
      <c r="M24" s="75"/>
      <c r="N24" s="517"/>
      <c r="O24" s="549"/>
      <c r="P24" s="241"/>
      <c r="Q24" s="75"/>
      <c r="R24" s="76"/>
    </row>
    <row r="25" spans="1:18" ht="12.6" customHeight="1" x14ac:dyDescent="0.25">
      <c r="A25" s="30" t="s">
        <v>771</v>
      </c>
      <c r="B25" s="129"/>
      <c r="C25" s="391">
        <v>159599000</v>
      </c>
      <c r="D25" s="109">
        <v>462297.60850310011</v>
      </c>
      <c r="E25" s="109">
        <v>22476747</v>
      </c>
      <c r="F25" s="109">
        <v>46047000</v>
      </c>
      <c r="G25" s="109">
        <v>10000000</v>
      </c>
      <c r="H25" s="390">
        <v>88890000</v>
      </c>
      <c r="I25" s="391">
        <v>2750000</v>
      </c>
      <c r="J25" s="109">
        <v>0</v>
      </c>
      <c r="K25" s="109">
        <v>102486255.3914969</v>
      </c>
      <c r="L25" s="109">
        <v>0</v>
      </c>
      <c r="M25" s="109">
        <v>0</v>
      </c>
      <c r="N25" s="517">
        <f t="shared" ref="N25:N33" si="5">P25-SUM(C25:M25)</f>
        <v>0</v>
      </c>
      <c r="O25" s="549">
        <f>SUM(C25:N25)</f>
        <v>432711300</v>
      </c>
      <c r="P25" s="391">
        <f>432711300</f>
        <v>432711300</v>
      </c>
      <c r="Q25" s="109">
        <v>425198041.39999998</v>
      </c>
      <c r="R25" s="110">
        <v>437608034.0582</v>
      </c>
    </row>
    <row r="26" spans="1:18" ht="12.6" customHeight="1" x14ac:dyDescent="0.25">
      <c r="A26" s="129" t="s">
        <v>606</v>
      </c>
      <c r="B26" s="129"/>
      <c r="C26" s="391">
        <v>0</v>
      </c>
      <c r="D26" s="109">
        <v>0</v>
      </c>
      <c r="E26" s="109">
        <v>0</v>
      </c>
      <c r="F26" s="109">
        <v>0</v>
      </c>
      <c r="G26" s="109">
        <v>0</v>
      </c>
      <c r="H26" s="390">
        <v>0</v>
      </c>
      <c r="I26" s="391">
        <v>0</v>
      </c>
      <c r="J26" s="109">
        <v>0</v>
      </c>
      <c r="K26" s="109">
        <v>0</v>
      </c>
      <c r="L26" s="109">
        <v>0</v>
      </c>
      <c r="M26" s="109">
        <v>0</v>
      </c>
      <c r="N26" s="517">
        <f t="shared" si="5"/>
        <v>0</v>
      </c>
      <c r="O26" s="549">
        <f>SUM(C26:N26)</f>
        <v>0</v>
      </c>
      <c r="P26" s="391">
        <v>0</v>
      </c>
      <c r="Q26" s="109">
        <v>0</v>
      </c>
      <c r="R26" s="110">
        <v>0</v>
      </c>
    </row>
    <row r="27" spans="1:18" ht="12.6" customHeight="1" x14ac:dyDescent="0.25">
      <c r="A27" s="129" t="s">
        <v>783</v>
      </c>
      <c r="B27" s="129"/>
      <c r="C27" s="391">
        <v>0</v>
      </c>
      <c r="D27" s="109">
        <v>0</v>
      </c>
      <c r="E27" s="109">
        <v>0</v>
      </c>
      <c r="F27" s="109">
        <v>0</v>
      </c>
      <c r="G27" s="109">
        <v>0</v>
      </c>
      <c r="H27" s="390">
        <v>0</v>
      </c>
      <c r="I27" s="391">
        <v>0</v>
      </c>
      <c r="J27" s="109">
        <v>0</v>
      </c>
      <c r="K27" s="109"/>
      <c r="L27" s="1279">
        <v>0</v>
      </c>
      <c r="M27" s="109">
        <v>18623333.333333332</v>
      </c>
      <c r="N27" s="517">
        <f t="shared" si="5"/>
        <v>2516666.6666666679</v>
      </c>
      <c r="O27" s="549">
        <f>SUM(C27:N27)</f>
        <v>21140000</v>
      </c>
      <c r="P27" s="391">
        <v>21140000</v>
      </c>
      <c r="Q27" s="109">
        <v>0</v>
      </c>
      <c r="R27" s="110">
        <v>0</v>
      </c>
    </row>
    <row r="28" spans="1:18" ht="12.6" customHeight="1" x14ac:dyDescent="0.25">
      <c r="A28" s="129" t="s">
        <v>795</v>
      </c>
      <c r="B28" s="129"/>
      <c r="C28" s="391">
        <v>0</v>
      </c>
      <c r="D28" s="109">
        <v>0</v>
      </c>
      <c r="E28" s="109">
        <v>0</v>
      </c>
      <c r="F28" s="109">
        <v>0</v>
      </c>
      <c r="G28" s="109">
        <v>0</v>
      </c>
      <c r="H28" s="390">
        <v>0</v>
      </c>
      <c r="I28" s="391">
        <v>0</v>
      </c>
      <c r="J28" s="109">
        <v>0</v>
      </c>
      <c r="K28" s="109">
        <v>0</v>
      </c>
      <c r="L28" s="109">
        <v>0</v>
      </c>
      <c r="M28" s="109">
        <v>0</v>
      </c>
      <c r="N28" s="517">
        <f t="shared" si="5"/>
        <v>0</v>
      </c>
      <c r="O28" s="549">
        <f>SUM(C28:N28)</f>
        <v>0</v>
      </c>
      <c r="P28" s="391">
        <v>0</v>
      </c>
      <c r="Q28" s="109">
        <v>0</v>
      </c>
      <c r="R28" s="110">
        <v>0</v>
      </c>
    </row>
    <row r="29" spans="1:18" ht="12.6" customHeight="1" x14ac:dyDescent="0.25">
      <c r="A29" s="129" t="s">
        <v>796</v>
      </c>
      <c r="B29" s="129"/>
      <c r="C29" s="391">
        <v>0</v>
      </c>
      <c r="D29" s="109">
        <v>0</v>
      </c>
      <c r="E29" s="109">
        <v>0</v>
      </c>
      <c r="F29" s="109">
        <v>0</v>
      </c>
      <c r="G29" s="109">
        <v>0</v>
      </c>
      <c r="H29" s="390">
        <v>0</v>
      </c>
      <c r="I29" s="391">
        <v>0</v>
      </c>
      <c r="J29" s="109">
        <v>0</v>
      </c>
      <c r="K29" s="109">
        <v>0</v>
      </c>
      <c r="L29" s="109">
        <v>0</v>
      </c>
      <c r="M29" s="109">
        <v>0</v>
      </c>
      <c r="N29" s="517">
        <f t="shared" si="5"/>
        <v>0</v>
      </c>
      <c r="O29" s="549"/>
      <c r="P29" s="391">
        <v>0</v>
      </c>
      <c r="Q29" s="109">
        <v>0</v>
      </c>
      <c r="R29" s="110">
        <v>0</v>
      </c>
    </row>
    <row r="30" spans="1:18" ht="12.6" customHeight="1" x14ac:dyDescent="0.25">
      <c r="A30" s="599" t="s">
        <v>1281</v>
      </c>
      <c r="B30" s="129"/>
      <c r="C30" s="391">
        <v>452038.11</v>
      </c>
      <c r="D30" s="109">
        <v>275403.84000000003</v>
      </c>
      <c r="E30" s="109">
        <v>405229.1</v>
      </c>
      <c r="F30" s="109">
        <v>344624.71</v>
      </c>
      <c r="G30" s="109">
        <v>255008.5</v>
      </c>
      <c r="H30" s="390">
        <v>243560.26</v>
      </c>
      <c r="I30" s="391">
        <v>269203.51</v>
      </c>
      <c r="J30" s="1279">
        <v>0</v>
      </c>
      <c r="K30" s="1279">
        <v>0</v>
      </c>
      <c r="L30" s="1279">
        <v>0</v>
      </c>
      <c r="M30" s="1279">
        <v>0</v>
      </c>
      <c r="N30" s="517">
        <f t="shared" si="5"/>
        <v>-245068.0299999998</v>
      </c>
      <c r="O30" s="549"/>
      <c r="P30" s="391">
        <v>2000000</v>
      </c>
      <c r="Q30" s="109">
        <v>2000000</v>
      </c>
      <c r="R30" s="110">
        <v>2000000</v>
      </c>
    </row>
    <row r="31" spans="1:18" ht="12.6" customHeight="1" x14ac:dyDescent="0.25">
      <c r="A31" s="129" t="s">
        <v>784</v>
      </c>
      <c r="B31" s="129"/>
      <c r="C31" s="391">
        <v>2433.62</v>
      </c>
      <c r="D31" s="109">
        <v>5001.3900000000003</v>
      </c>
      <c r="E31" s="109">
        <v>4046.45</v>
      </c>
      <c r="F31" s="109">
        <v>8223.74</v>
      </c>
      <c r="G31" s="109">
        <v>2014.9</v>
      </c>
      <c r="H31" s="390">
        <v>429.39</v>
      </c>
      <c r="I31" s="391">
        <v>2627.78</v>
      </c>
      <c r="J31" s="1279">
        <v>0</v>
      </c>
      <c r="K31" s="1279">
        <v>0</v>
      </c>
      <c r="L31" s="1279">
        <v>0</v>
      </c>
      <c r="M31" s="1279">
        <v>0</v>
      </c>
      <c r="N31" s="517">
        <f t="shared" si="5"/>
        <v>375222.73</v>
      </c>
      <c r="O31" s="549"/>
      <c r="P31" s="391">
        <v>400000</v>
      </c>
      <c r="Q31" s="109">
        <v>405000</v>
      </c>
      <c r="R31" s="110">
        <v>410000</v>
      </c>
    </row>
    <row r="32" spans="1:18" ht="12.6" customHeight="1" x14ac:dyDescent="0.25">
      <c r="A32" s="129" t="s">
        <v>790</v>
      </c>
      <c r="B32" s="129"/>
      <c r="C32" s="391">
        <v>0</v>
      </c>
      <c r="D32" s="109">
        <v>0</v>
      </c>
      <c r="E32" s="109">
        <v>0</v>
      </c>
      <c r="F32" s="109">
        <v>0</v>
      </c>
      <c r="G32" s="109">
        <v>0</v>
      </c>
      <c r="H32" s="390">
        <v>0</v>
      </c>
      <c r="I32" s="391">
        <v>0</v>
      </c>
      <c r="J32" s="109">
        <v>0</v>
      </c>
      <c r="K32" s="109">
        <v>0</v>
      </c>
      <c r="L32" s="109">
        <v>0</v>
      </c>
      <c r="M32" s="109">
        <v>0</v>
      </c>
      <c r="N32" s="517">
        <f t="shared" si="5"/>
        <v>0</v>
      </c>
      <c r="O32" s="549"/>
      <c r="P32" s="391">
        <v>0</v>
      </c>
      <c r="Q32" s="109">
        <v>0</v>
      </c>
      <c r="R32" s="110">
        <v>0</v>
      </c>
    </row>
    <row r="33" spans="1:19" ht="12.6" customHeight="1" x14ac:dyDescent="0.25">
      <c r="A33" s="129" t="s">
        <v>791</v>
      </c>
      <c r="B33" s="129"/>
      <c r="C33" s="391">
        <v>0</v>
      </c>
      <c r="D33" s="109">
        <v>0</v>
      </c>
      <c r="E33" s="109">
        <v>0</v>
      </c>
      <c r="F33" s="109">
        <v>0</v>
      </c>
      <c r="G33" s="109"/>
      <c r="H33" s="390">
        <v>0</v>
      </c>
      <c r="I33" s="391">
        <v>0</v>
      </c>
      <c r="J33" s="109">
        <v>0</v>
      </c>
      <c r="K33" s="109">
        <v>0</v>
      </c>
      <c r="L33" s="109">
        <v>0</v>
      </c>
      <c r="M33" s="109">
        <v>0</v>
      </c>
      <c r="N33" s="517">
        <f t="shared" si="5"/>
        <v>0</v>
      </c>
      <c r="O33" s="549"/>
      <c r="P33" s="391">
        <v>0</v>
      </c>
      <c r="Q33" s="109">
        <v>0</v>
      </c>
      <c r="R33" s="110">
        <v>0</v>
      </c>
    </row>
    <row r="34" spans="1:19" ht="12.75" customHeight="1" x14ac:dyDescent="0.25">
      <c r="A34" s="163" t="s">
        <v>468</v>
      </c>
      <c r="B34" s="163"/>
      <c r="C34" s="494">
        <f t="shared" ref="C34:R34" si="6">SUM(C22:C33)</f>
        <v>518394947.47000003</v>
      </c>
      <c r="D34" s="81">
        <f t="shared" si="6"/>
        <v>140409278</v>
      </c>
      <c r="E34" s="81">
        <f t="shared" si="6"/>
        <v>190843092.12999997</v>
      </c>
      <c r="F34" s="81">
        <f t="shared" si="6"/>
        <v>389823675.99999994</v>
      </c>
      <c r="G34" s="81">
        <f t="shared" si="6"/>
        <v>228382943.79999998</v>
      </c>
      <c r="H34" s="528">
        <f t="shared" si="6"/>
        <v>326055499.55999994</v>
      </c>
      <c r="I34" s="494">
        <f t="shared" si="6"/>
        <v>145454273.59</v>
      </c>
      <c r="J34" s="81">
        <f t="shared" si="6"/>
        <v>98937758.147099987</v>
      </c>
      <c r="K34" s="81">
        <f t="shared" si="6"/>
        <v>475108475.88951665</v>
      </c>
      <c r="L34" s="81">
        <f t="shared" si="6"/>
        <v>101747858.58463332</v>
      </c>
      <c r="M34" s="81">
        <f t="shared" si="6"/>
        <v>131172852.16193336</v>
      </c>
      <c r="N34" s="528">
        <f t="shared" si="6"/>
        <v>-384505788.33796316</v>
      </c>
      <c r="O34" s="570">
        <f t="shared" si="6"/>
        <v>2359424866.9952202</v>
      </c>
      <c r="P34" s="494">
        <f t="shared" si="6"/>
        <v>2361824866.9952202</v>
      </c>
      <c r="Q34" s="81">
        <f t="shared" si="6"/>
        <v>2765876844.6516347</v>
      </c>
      <c r="R34" s="82">
        <f t="shared" si="6"/>
        <v>2957954379.0123515</v>
      </c>
    </row>
    <row r="35" spans="1:19" ht="5.0999999999999996" customHeight="1" x14ac:dyDescent="0.25">
      <c r="A35" s="572"/>
      <c r="B35" s="129"/>
      <c r="C35" s="241"/>
      <c r="D35" s="75"/>
      <c r="E35" s="75"/>
      <c r="F35" s="75"/>
      <c r="G35" s="75"/>
      <c r="H35" s="517"/>
      <c r="I35" s="241"/>
      <c r="J35" s="75"/>
      <c r="K35" s="75"/>
      <c r="L35" s="75"/>
      <c r="M35" s="75"/>
      <c r="N35" s="517"/>
      <c r="O35" s="549"/>
      <c r="P35" s="241"/>
      <c r="Q35" s="75"/>
      <c r="R35" s="76"/>
    </row>
    <row r="36" spans="1:19" ht="12.75" customHeight="1" x14ac:dyDescent="0.25">
      <c r="A36" s="126" t="s">
        <v>469</v>
      </c>
      <c r="B36" s="129"/>
      <c r="C36" s="241"/>
      <c r="D36" s="75"/>
      <c r="E36" s="75"/>
      <c r="F36" s="75"/>
      <c r="G36" s="75"/>
      <c r="H36" s="517"/>
      <c r="I36" s="241"/>
      <c r="J36" s="75"/>
      <c r="K36" s="75"/>
      <c r="L36" s="75"/>
      <c r="M36" s="75"/>
      <c r="N36" s="517"/>
      <c r="O36" s="549"/>
      <c r="P36" s="241"/>
      <c r="Q36" s="75"/>
      <c r="R36" s="76"/>
    </row>
    <row r="37" spans="1:19" ht="12.6" customHeight="1" x14ac:dyDescent="0.25">
      <c r="A37" s="129" t="s">
        <v>698</v>
      </c>
      <c r="B37" s="129"/>
      <c r="C37" s="391">
        <v>41652239.200000003</v>
      </c>
      <c r="D37" s="109">
        <v>42098708.850000001</v>
      </c>
      <c r="E37" s="109">
        <v>42944477.609999999</v>
      </c>
      <c r="F37" s="109">
        <v>53290928.859999999</v>
      </c>
      <c r="G37" s="109">
        <v>45844221.840000004</v>
      </c>
      <c r="H37" s="390">
        <v>46961035.170000002</v>
      </c>
      <c r="I37" s="391">
        <v>47744914.350000001</v>
      </c>
      <c r="J37" s="109">
        <v>50036920.575000003</v>
      </c>
      <c r="K37" s="109">
        <v>49020000</v>
      </c>
      <c r="L37" s="109">
        <v>47036920.575000003</v>
      </c>
      <c r="M37" s="109">
        <v>45000000</v>
      </c>
      <c r="N37" s="517">
        <f t="shared" ref="N37:N46" si="7">P37-SUM(C37:M37)</f>
        <v>59820641.969999969</v>
      </c>
      <c r="O37" s="549">
        <f t="shared" ref="O37:O42" si="8">SUM(C37:N37)</f>
        <v>571451009</v>
      </c>
      <c r="P37" s="391">
        <v>571451009</v>
      </c>
      <c r="Q37" s="109">
        <v>608585193.01499999</v>
      </c>
      <c r="R37" s="110">
        <v>646915368.00494802</v>
      </c>
    </row>
    <row r="38" spans="1:19" ht="12.6" customHeight="1" x14ac:dyDescent="0.25">
      <c r="A38" s="129" t="s">
        <v>597</v>
      </c>
      <c r="B38" s="129"/>
      <c r="C38" s="391">
        <v>1913802.95</v>
      </c>
      <c r="D38" s="109">
        <v>1869753.01</v>
      </c>
      <c r="E38" s="109">
        <v>1868723.01</v>
      </c>
      <c r="F38" s="109">
        <v>1915506.92</v>
      </c>
      <c r="G38" s="109">
        <v>1891671.05</v>
      </c>
      <c r="H38" s="390">
        <v>1887847.28</v>
      </c>
      <c r="I38" s="391">
        <v>2618720.66</v>
      </c>
      <c r="J38" s="109">
        <v>2133747</v>
      </c>
      <c r="K38" s="109">
        <v>2146868</v>
      </c>
      <c r="L38" s="109">
        <v>2154278</v>
      </c>
      <c r="M38" s="109">
        <v>2027002</v>
      </c>
      <c r="N38" s="517">
        <f t="shared" si="7"/>
        <v>3351630.120000001</v>
      </c>
      <c r="O38" s="549">
        <f t="shared" si="8"/>
        <v>25779550</v>
      </c>
      <c r="P38" s="391">
        <v>25779550</v>
      </c>
      <c r="Q38" s="109">
        <v>27455220.75</v>
      </c>
      <c r="R38" s="110">
        <v>29184899.657249998</v>
      </c>
    </row>
    <row r="39" spans="1:19" ht="12.6" customHeight="1" x14ac:dyDescent="0.25">
      <c r="A39" s="129" t="s">
        <v>599</v>
      </c>
      <c r="B39" s="129"/>
      <c r="C39" s="391">
        <v>0</v>
      </c>
      <c r="D39" s="109"/>
      <c r="E39" s="109"/>
      <c r="F39" s="109">
        <v>0</v>
      </c>
      <c r="G39" s="109"/>
      <c r="H39" s="390">
        <v>11487311.33</v>
      </c>
      <c r="I39" s="391">
        <v>0</v>
      </c>
      <c r="J39" s="109">
        <v>0</v>
      </c>
      <c r="K39" s="109">
        <v>0</v>
      </c>
      <c r="L39" s="109">
        <v>0</v>
      </c>
      <c r="M39" s="109">
        <v>0</v>
      </c>
      <c r="N39" s="517">
        <f t="shared" si="7"/>
        <v>25512688.670000002</v>
      </c>
      <c r="O39" s="549">
        <f t="shared" si="8"/>
        <v>37000000</v>
      </c>
      <c r="P39" s="391">
        <v>37000000</v>
      </c>
      <c r="Q39" s="109">
        <v>39404984.979999989</v>
      </c>
      <c r="R39" s="110">
        <v>41887483.493740007</v>
      </c>
    </row>
    <row r="40" spans="1:19" ht="12.6" customHeight="1" x14ac:dyDescent="0.25">
      <c r="A40" s="129" t="s">
        <v>470</v>
      </c>
      <c r="B40" s="129"/>
      <c r="C40" s="391">
        <v>58274716</v>
      </c>
      <c r="D40" s="109">
        <v>70309882.340000004</v>
      </c>
      <c r="E40" s="109">
        <v>83822978.060000002</v>
      </c>
      <c r="F40" s="109">
        <v>42212124.649999999</v>
      </c>
      <c r="G40" s="109"/>
      <c r="H40" s="390">
        <v>37929927.18</v>
      </c>
      <c r="I40" s="391">
        <v>39953443.600000001</v>
      </c>
      <c r="J40" s="109">
        <v>38000000</v>
      </c>
      <c r="K40" s="109">
        <v>29000000</v>
      </c>
      <c r="L40" s="109">
        <v>38000000</v>
      </c>
      <c r="M40" s="109">
        <v>48000000</v>
      </c>
      <c r="N40" s="517">
        <f t="shared" si="7"/>
        <v>54496928.169999957</v>
      </c>
      <c r="O40" s="549">
        <f t="shared" si="8"/>
        <v>540000000</v>
      </c>
      <c r="P40" s="391">
        <v>540000000</v>
      </c>
      <c r="Q40" s="109">
        <v>583000000</v>
      </c>
      <c r="R40" s="110">
        <v>630000000</v>
      </c>
    </row>
    <row r="41" spans="1:19" ht="12.6" customHeight="1" x14ac:dyDescent="0.25">
      <c r="A41" s="129" t="s">
        <v>471</v>
      </c>
      <c r="B41" s="129"/>
      <c r="C41" s="391">
        <v>10879981.710000001</v>
      </c>
      <c r="D41" s="109">
        <v>8260103.0499999998</v>
      </c>
      <c r="E41" s="109">
        <v>127494.08</v>
      </c>
      <c r="F41" s="109">
        <v>12142995.42</v>
      </c>
      <c r="G41" s="109">
        <v>11370969.699999999</v>
      </c>
      <c r="H41" s="390">
        <v>64255.66</v>
      </c>
      <c r="I41" s="391">
        <v>67476.92</v>
      </c>
      <c r="J41" s="109">
        <v>11000000</v>
      </c>
      <c r="K41" s="109">
        <v>13000000</v>
      </c>
      <c r="L41" s="109">
        <v>24000000</v>
      </c>
      <c r="M41" s="109">
        <v>14000000</v>
      </c>
      <c r="N41" s="517">
        <f t="shared" si="7"/>
        <v>53086723.460000008</v>
      </c>
      <c r="O41" s="549">
        <f t="shared" si="8"/>
        <v>158000000</v>
      </c>
      <c r="P41" s="391">
        <v>158000000</v>
      </c>
      <c r="Q41" s="109">
        <v>158000000</v>
      </c>
      <c r="R41" s="110">
        <v>158000000</v>
      </c>
    </row>
    <row r="42" spans="1:19" ht="12.6" customHeight="1" x14ac:dyDescent="0.25">
      <c r="A42" s="30" t="s">
        <v>701</v>
      </c>
      <c r="B42" s="129"/>
      <c r="C42" s="391">
        <v>4535833.8099999996</v>
      </c>
      <c r="D42" s="109">
        <v>9234125.0299999993</v>
      </c>
      <c r="E42" s="109">
        <v>13909746.050000001</v>
      </c>
      <c r="F42" s="109">
        <v>10135165.1</v>
      </c>
      <c r="G42" s="109">
        <v>9266969.3000000007</v>
      </c>
      <c r="H42" s="390">
        <v>15382118.51</v>
      </c>
      <c r="I42" s="391">
        <v>3265131</v>
      </c>
      <c r="J42" s="109">
        <v>16540000</v>
      </c>
      <c r="K42" s="109">
        <v>17137000</v>
      </c>
      <c r="L42" s="109">
        <v>11024560</v>
      </c>
      <c r="M42" s="109">
        <v>18850000</v>
      </c>
      <c r="N42" s="517">
        <f t="shared" si="7"/>
        <v>48239744.799999982</v>
      </c>
      <c r="O42" s="549">
        <f t="shared" si="8"/>
        <v>177520393.59999999</v>
      </c>
      <c r="P42" s="391">
        <v>177520393.59999999</v>
      </c>
      <c r="Q42" s="109">
        <v>188637432.43400025</v>
      </c>
      <c r="R42" s="110">
        <v>200521539.71734217</v>
      </c>
      <c r="S42" s="169"/>
    </row>
    <row r="43" spans="1:19" ht="12.6" customHeight="1" x14ac:dyDescent="0.25">
      <c r="A43" s="30" t="s">
        <v>702</v>
      </c>
      <c r="B43" s="129"/>
      <c r="C43" s="391">
        <v>4217382.93</v>
      </c>
      <c r="D43" s="109">
        <v>5459662.7999999998</v>
      </c>
      <c r="E43" s="109">
        <v>3906189.75</v>
      </c>
      <c r="F43" s="109">
        <v>8353323.04</v>
      </c>
      <c r="G43" s="109">
        <v>5729610.5599999996</v>
      </c>
      <c r="H43" s="390">
        <v>9421023.1400000006</v>
      </c>
      <c r="I43" s="391">
        <v>4257432.01</v>
      </c>
      <c r="J43" s="109">
        <v>5191924</v>
      </c>
      <c r="K43" s="109">
        <v>5026371</v>
      </c>
      <c r="L43" s="109">
        <v>16475190</v>
      </c>
      <c r="M43" s="109">
        <v>9515424</v>
      </c>
      <c r="N43" s="517">
        <f t="shared" si="7"/>
        <v>9691466.7700000107</v>
      </c>
      <c r="O43" s="549"/>
      <c r="P43" s="391">
        <v>87245000</v>
      </c>
      <c r="Q43" s="109">
        <v>84161625</v>
      </c>
      <c r="R43" s="110">
        <v>89463807.375</v>
      </c>
      <c r="S43" s="169"/>
    </row>
    <row r="44" spans="1:19" ht="12.6" customHeight="1" x14ac:dyDescent="0.25">
      <c r="A44" s="30" t="s">
        <v>1648</v>
      </c>
      <c r="B44" s="129"/>
      <c r="C44" s="391">
        <v>3020000</v>
      </c>
      <c r="D44" s="109">
        <v>20000</v>
      </c>
      <c r="E44" s="109">
        <v>20000</v>
      </c>
      <c r="F44" s="109">
        <v>1520000</v>
      </c>
      <c r="G44" s="109">
        <v>1520000</v>
      </c>
      <c r="H44" s="390">
        <v>0</v>
      </c>
      <c r="I44" s="391">
        <v>0</v>
      </c>
      <c r="J44" s="109">
        <v>340000</v>
      </c>
      <c r="K44" s="109">
        <v>20000</v>
      </c>
      <c r="L44" s="109">
        <v>20000</v>
      </c>
      <c r="M44" s="109">
        <v>0</v>
      </c>
      <c r="N44" s="517">
        <f t="shared" si="7"/>
        <v>10700000</v>
      </c>
      <c r="O44" s="549">
        <f>SUM(C44:N44)</f>
        <v>17180000</v>
      </c>
      <c r="P44" s="391">
        <v>17180000</v>
      </c>
      <c r="Q44" s="109">
        <v>6901200</v>
      </c>
      <c r="R44" s="110">
        <v>7335975.5999999996</v>
      </c>
    </row>
    <row r="45" spans="1:19" ht="12.6" customHeight="1" x14ac:dyDescent="0.25">
      <c r="A45" s="30" t="s">
        <v>1649</v>
      </c>
      <c r="B45" s="129"/>
      <c r="C45" s="391">
        <v>0</v>
      </c>
      <c r="D45" s="109">
        <v>0</v>
      </c>
      <c r="E45" s="109">
        <v>0</v>
      </c>
      <c r="F45" s="109">
        <v>0</v>
      </c>
      <c r="G45" s="109">
        <v>0</v>
      </c>
      <c r="H45" s="390">
        <v>20000</v>
      </c>
      <c r="I45" s="391">
        <v>0</v>
      </c>
      <c r="J45" s="109">
        <v>0</v>
      </c>
      <c r="K45" s="109">
        <v>0</v>
      </c>
      <c r="L45" s="109">
        <v>0</v>
      </c>
      <c r="M45" s="109">
        <v>0</v>
      </c>
      <c r="N45" s="517">
        <f t="shared" si="7"/>
        <v>-20000</v>
      </c>
      <c r="O45" s="549"/>
      <c r="P45" s="391">
        <v>0</v>
      </c>
      <c r="Q45" s="109">
        <v>0</v>
      </c>
      <c r="R45" s="110">
        <v>0</v>
      </c>
    </row>
    <row r="46" spans="1:19" ht="12.6" customHeight="1" x14ac:dyDescent="0.25">
      <c r="A46" s="30" t="s">
        <v>602</v>
      </c>
      <c r="B46" s="129"/>
      <c r="C46" s="391">
        <v>255067010.06999996</v>
      </c>
      <c r="D46" s="109">
        <v>73064903.599999964</v>
      </c>
      <c r="E46" s="109">
        <v>73719107.833000004</v>
      </c>
      <c r="F46" s="109">
        <v>131059563.18999997</v>
      </c>
      <c r="G46" s="109">
        <v>202127476</v>
      </c>
      <c r="H46" s="390">
        <v>191633230</v>
      </c>
      <c r="I46" s="391">
        <v>49584363</v>
      </c>
      <c r="J46" s="109"/>
      <c r="K46" s="109"/>
      <c r="L46" s="109">
        <v>0</v>
      </c>
      <c r="M46" s="109">
        <v>0</v>
      </c>
      <c r="N46" s="517">
        <f t="shared" si="7"/>
        <v>-729416881.83899999</v>
      </c>
      <c r="O46" s="549">
        <f>SUM(C46:N46)</f>
        <v>246838771.85399997</v>
      </c>
      <c r="P46" s="391">
        <f>341935700.854-95096929</f>
        <v>246838771.85399997</v>
      </c>
      <c r="Q46" s="109">
        <v>314547343.50036842</v>
      </c>
      <c r="R46" s="110">
        <v>304598835.3392477</v>
      </c>
    </row>
    <row r="47" spans="1:19" ht="12.75" customHeight="1" x14ac:dyDescent="0.25">
      <c r="A47" s="550" t="s">
        <v>469</v>
      </c>
      <c r="B47" s="550"/>
      <c r="C47" s="305">
        <f t="shared" ref="C47:R47" si="9">SUM(C37:C46)</f>
        <v>379560966.66999996</v>
      </c>
      <c r="D47" s="151">
        <f t="shared" si="9"/>
        <v>210317138.67999998</v>
      </c>
      <c r="E47" s="151">
        <f t="shared" si="9"/>
        <v>220318716.39300001</v>
      </c>
      <c r="F47" s="151">
        <f t="shared" si="9"/>
        <v>260629607.17999998</v>
      </c>
      <c r="G47" s="151">
        <f t="shared" si="9"/>
        <v>277750918.44999999</v>
      </c>
      <c r="H47" s="530">
        <f t="shared" si="9"/>
        <v>314786748.26999998</v>
      </c>
      <c r="I47" s="305">
        <f t="shared" si="9"/>
        <v>147491481.54000002</v>
      </c>
      <c r="J47" s="151">
        <f t="shared" si="9"/>
        <v>123242591.575</v>
      </c>
      <c r="K47" s="151">
        <f t="shared" si="9"/>
        <v>115350239</v>
      </c>
      <c r="L47" s="151">
        <f t="shared" si="9"/>
        <v>138710948.57499999</v>
      </c>
      <c r="M47" s="151">
        <f t="shared" si="9"/>
        <v>137392426</v>
      </c>
      <c r="N47" s="530">
        <f t="shared" si="9"/>
        <v>-464537057.87900007</v>
      </c>
      <c r="O47" s="551">
        <f t="shared" si="9"/>
        <v>1773769724.454</v>
      </c>
      <c r="P47" s="305">
        <f t="shared" si="9"/>
        <v>1861014724.454</v>
      </c>
      <c r="Q47" s="151">
        <f t="shared" si="9"/>
        <v>2010692999.6793685</v>
      </c>
      <c r="R47" s="152">
        <f t="shared" si="9"/>
        <v>2107907909.1875279</v>
      </c>
    </row>
    <row r="48" spans="1:19" ht="5.0999999999999996" customHeight="1" x14ac:dyDescent="0.25">
      <c r="A48" s="39"/>
      <c r="B48" s="85"/>
      <c r="C48" s="241"/>
      <c r="D48" s="75"/>
      <c r="E48" s="75"/>
      <c r="F48" s="75"/>
      <c r="G48" s="75"/>
      <c r="H48" s="517"/>
      <c r="I48" s="241"/>
      <c r="J48" s="75"/>
      <c r="K48" s="75"/>
      <c r="L48" s="75"/>
      <c r="M48" s="75"/>
      <c r="N48" s="517"/>
      <c r="O48" s="549"/>
      <c r="P48" s="241"/>
      <c r="Q48" s="75"/>
      <c r="R48" s="76"/>
    </row>
    <row r="49" spans="1:18" ht="12.75" customHeight="1" x14ac:dyDescent="0.25">
      <c r="A49" s="51" t="s">
        <v>472</v>
      </c>
      <c r="B49" s="85"/>
      <c r="C49" s="241"/>
      <c r="D49" s="75"/>
      <c r="E49" s="75"/>
      <c r="F49" s="75"/>
      <c r="G49" s="75"/>
      <c r="H49" s="517"/>
      <c r="I49" s="241"/>
      <c r="J49" s="75"/>
      <c r="K49" s="75"/>
      <c r="L49" s="75"/>
      <c r="M49" s="75"/>
      <c r="N49" s="517"/>
      <c r="O49" s="549"/>
      <c r="P49" s="241"/>
      <c r="Q49" s="75"/>
      <c r="R49" s="76"/>
    </row>
    <row r="50" spans="1:18" ht="12.6" customHeight="1" x14ac:dyDescent="0.25">
      <c r="A50" s="30" t="s">
        <v>792</v>
      </c>
      <c r="B50" s="129"/>
      <c r="C50" s="391">
        <v>5366149</v>
      </c>
      <c r="D50" s="109">
        <v>15024352.32</v>
      </c>
      <c r="E50" s="109">
        <v>29542279.559999999</v>
      </c>
      <c r="F50" s="109">
        <v>28880471.710000001</v>
      </c>
      <c r="G50" s="109">
        <v>31444520</v>
      </c>
      <c r="H50" s="390">
        <v>49119017.790000007</v>
      </c>
      <c r="I50" s="391">
        <v>41168070.800000004</v>
      </c>
      <c r="J50" s="109">
        <v>0</v>
      </c>
      <c r="K50" s="109">
        <v>46500000</v>
      </c>
      <c r="L50" s="109">
        <v>259000000</v>
      </c>
      <c r="M50" s="109">
        <v>75000000</v>
      </c>
      <c r="N50" s="517">
        <f>P50-SUM(C50:M50)</f>
        <v>41753227.389999986</v>
      </c>
      <c r="O50" s="549">
        <f>SUM(C50:N50)</f>
        <v>622798088.57000005</v>
      </c>
      <c r="P50" s="391">
        <v>622798088.57000005</v>
      </c>
      <c r="Q50" s="109">
        <v>632618000</v>
      </c>
      <c r="R50" s="110">
        <v>679731000</v>
      </c>
    </row>
    <row r="51" spans="1:18" ht="12.6" customHeight="1" x14ac:dyDescent="0.25">
      <c r="A51" s="30" t="s">
        <v>797</v>
      </c>
      <c r="B51" s="129"/>
      <c r="C51" s="391"/>
      <c r="D51" s="109"/>
      <c r="E51" s="109"/>
      <c r="F51" s="109"/>
      <c r="G51" s="109"/>
      <c r="H51" s="390">
        <v>18538260</v>
      </c>
      <c r="I51" s="391"/>
      <c r="J51" s="109">
        <v>0</v>
      </c>
      <c r="K51" s="109">
        <v>0</v>
      </c>
      <c r="L51" s="109">
        <v>0</v>
      </c>
      <c r="M51" s="109">
        <v>0</v>
      </c>
      <c r="N51" s="517">
        <f>P51-SUM(C51:M51)</f>
        <v>39561740</v>
      </c>
      <c r="O51" s="549">
        <f>SUM(C51:N51)</f>
        <v>58100000</v>
      </c>
      <c r="P51" s="391">
        <v>58100000</v>
      </c>
      <c r="Q51" s="109">
        <v>58600000</v>
      </c>
      <c r="R51" s="110">
        <v>59100000</v>
      </c>
    </row>
    <row r="52" spans="1:18" ht="12.6" customHeight="1" x14ac:dyDescent="0.25">
      <c r="A52" s="30" t="s">
        <v>473</v>
      </c>
      <c r="B52" s="129"/>
      <c r="C52" s="391"/>
      <c r="D52" s="109"/>
      <c r="E52" s="109"/>
      <c r="F52" s="109"/>
      <c r="G52" s="109"/>
      <c r="H52" s="390"/>
      <c r="I52" s="391"/>
      <c r="J52" s="109">
        <v>0</v>
      </c>
      <c r="K52" s="109">
        <v>0</v>
      </c>
      <c r="L52" s="109">
        <v>0</v>
      </c>
      <c r="M52" s="109">
        <v>0</v>
      </c>
      <c r="N52" s="517">
        <f>P52-SUM(C52:M52)</f>
        <v>0</v>
      </c>
      <c r="O52" s="549">
        <f>SUM(C52:N52)</f>
        <v>0</v>
      </c>
      <c r="P52" s="391">
        <v>0</v>
      </c>
      <c r="Q52" s="109">
        <v>0</v>
      </c>
      <c r="R52" s="110">
        <v>0</v>
      </c>
    </row>
    <row r="53" spans="1:18" ht="12.75" customHeight="1" x14ac:dyDescent="0.25">
      <c r="A53" s="573" t="s">
        <v>474</v>
      </c>
      <c r="B53" s="573"/>
      <c r="C53" s="305">
        <f t="shared" ref="C53:R53" si="10">SUM(C47:C52)</f>
        <v>384927115.66999996</v>
      </c>
      <c r="D53" s="151">
        <f t="shared" si="10"/>
        <v>225341490.99999997</v>
      </c>
      <c r="E53" s="151">
        <f t="shared" si="10"/>
        <v>249860995.95300001</v>
      </c>
      <c r="F53" s="151">
        <f t="shared" si="10"/>
        <v>289510078.88999999</v>
      </c>
      <c r="G53" s="151">
        <f t="shared" si="10"/>
        <v>309195438.44999999</v>
      </c>
      <c r="H53" s="530">
        <f t="shared" si="10"/>
        <v>382444026.06</v>
      </c>
      <c r="I53" s="305">
        <f t="shared" si="10"/>
        <v>188659552.34000003</v>
      </c>
      <c r="J53" s="151">
        <f t="shared" si="10"/>
        <v>123242591.575</v>
      </c>
      <c r="K53" s="151">
        <f t="shared" si="10"/>
        <v>161850239</v>
      </c>
      <c r="L53" s="151">
        <f t="shared" si="10"/>
        <v>397710948.57499999</v>
      </c>
      <c r="M53" s="151">
        <f t="shared" si="10"/>
        <v>212392426</v>
      </c>
      <c r="N53" s="530">
        <f t="shared" si="10"/>
        <v>-383222090.48900008</v>
      </c>
      <c r="O53" s="551">
        <f t="shared" si="10"/>
        <v>2454667813.0240002</v>
      </c>
      <c r="P53" s="305">
        <f t="shared" si="10"/>
        <v>2541912813.0240002</v>
      </c>
      <c r="Q53" s="151">
        <f t="shared" si="10"/>
        <v>2701910999.6793685</v>
      </c>
      <c r="R53" s="152">
        <f t="shared" si="10"/>
        <v>2846738909.1875277</v>
      </c>
    </row>
    <row r="54" spans="1:18" s="575" customFormat="1" ht="5.0999999999999996" customHeight="1" x14ac:dyDescent="0.25">
      <c r="A54" s="574"/>
      <c r="B54" s="561"/>
      <c r="C54" s="106"/>
      <c r="D54" s="489"/>
      <c r="E54" s="489"/>
      <c r="F54" s="489"/>
      <c r="G54" s="489"/>
      <c r="H54" s="562"/>
      <c r="I54" s="106"/>
      <c r="J54" s="489"/>
      <c r="K54" s="489"/>
      <c r="L54" s="489"/>
      <c r="M54" s="489"/>
      <c r="N54" s="562"/>
      <c r="O54" s="563"/>
      <c r="P54" s="106"/>
      <c r="Q54" s="489"/>
      <c r="R54" s="529"/>
    </row>
    <row r="55" spans="1:18" ht="12.75" customHeight="1" x14ac:dyDescent="0.25">
      <c r="A55" s="306" t="s">
        <v>475</v>
      </c>
      <c r="B55" s="858"/>
      <c r="C55" s="237">
        <f t="shared" ref="C55:R55" si="11">C34-C53</f>
        <v>133467831.80000007</v>
      </c>
      <c r="D55" s="238">
        <f t="shared" si="11"/>
        <v>-84932212.99999997</v>
      </c>
      <c r="E55" s="238">
        <f t="shared" si="11"/>
        <v>-59017903.823000044</v>
      </c>
      <c r="F55" s="238">
        <f t="shared" si="11"/>
        <v>100313597.10999995</v>
      </c>
      <c r="G55" s="238">
        <f t="shared" si="11"/>
        <v>-80812494.650000006</v>
      </c>
      <c r="H55" s="527">
        <f t="shared" si="11"/>
        <v>-56388526.50000006</v>
      </c>
      <c r="I55" s="237">
        <f t="shared" si="11"/>
        <v>-43205278.75000003</v>
      </c>
      <c r="J55" s="238">
        <f t="shared" si="11"/>
        <v>-24304833.427900016</v>
      </c>
      <c r="K55" s="238">
        <f t="shared" si="11"/>
        <v>313258236.88951665</v>
      </c>
      <c r="L55" s="238">
        <f t="shared" si="11"/>
        <v>-295963089.9903667</v>
      </c>
      <c r="M55" s="238">
        <f t="shared" si="11"/>
        <v>-81219573.838066638</v>
      </c>
      <c r="N55" s="527">
        <f t="shared" si="11"/>
        <v>-1283697.8489630818</v>
      </c>
      <c r="O55" s="576">
        <f t="shared" si="11"/>
        <v>-95242946.028779984</v>
      </c>
      <c r="P55" s="237">
        <f t="shared" si="11"/>
        <v>-180087946.02877998</v>
      </c>
      <c r="Q55" s="238">
        <f t="shared" si="11"/>
        <v>63965844.972266197</v>
      </c>
      <c r="R55" s="239">
        <f t="shared" si="11"/>
        <v>111215469.82482386</v>
      </c>
    </row>
    <row r="56" spans="1:18" ht="12.6" customHeight="1" x14ac:dyDescent="0.25">
      <c r="A56" s="30" t="s">
        <v>476</v>
      </c>
      <c r="B56" s="129"/>
      <c r="C56" s="391">
        <v>322963447.27999997</v>
      </c>
      <c r="D56" s="75">
        <f t="shared" ref="D56:N56" si="12">C57</f>
        <v>456431279.08000004</v>
      </c>
      <c r="E56" s="75">
        <f t="shared" si="12"/>
        <v>371499066.08000004</v>
      </c>
      <c r="F56" s="75">
        <f t="shared" si="12"/>
        <v>312481162.25699997</v>
      </c>
      <c r="G56" s="75">
        <f t="shared" si="12"/>
        <v>412794759.36699992</v>
      </c>
      <c r="H56" s="517">
        <f t="shared" si="12"/>
        <v>331982264.71699989</v>
      </c>
      <c r="I56" s="241">
        <f t="shared" si="12"/>
        <v>275593738.21699983</v>
      </c>
      <c r="J56" s="75">
        <f t="shared" si="12"/>
        <v>232388459.4669998</v>
      </c>
      <c r="K56" s="75">
        <f t="shared" si="12"/>
        <v>208083626.03909978</v>
      </c>
      <c r="L56" s="75">
        <f t="shared" si="12"/>
        <v>521341862.9286164</v>
      </c>
      <c r="M56" s="75">
        <f t="shared" si="12"/>
        <v>225378772.93824971</v>
      </c>
      <c r="N56" s="517">
        <f t="shared" si="12"/>
        <v>144159199.10018307</v>
      </c>
      <c r="O56" s="549"/>
      <c r="P56" s="241">
        <f>C56</f>
        <v>322963447.27999997</v>
      </c>
      <c r="Q56" s="75">
        <f>P57</f>
        <v>142875501.25121999</v>
      </c>
      <c r="R56" s="76">
        <f>Q57</f>
        <v>206841346.22348619</v>
      </c>
    </row>
    <row r="57" spans="1:18" ht="12.6" customHeight="1" x14ac:dyDescent="0.25">
      <c r="A57" s="577" t="s">
        <v>477</v>
      </c>
      <c r="B57" s="176"/>
      <c r="C57" s="578">
        <f t="shared" ref="C57:N57" si="13">C55+C56</f>
        <v>456431279.08000004</v>
      </c>
      <c r="D57" s="178">
        <f t="shared" si="13"/>
        <v>371499066.08000004</v>
      </c>
      <c r="E57" s="178">
        <f t="shared" si="13"/>
        <v>312481162.25699997</v>
      </c>
      <c r="F57" s="178">
        <f t="shared" si="13"/>
        <v>412794759.36699992</v>
      </c>
      <c r="G57" s="178">
        <f t="shared" si="13"/>
        <v>331982264.71699989</v>
      </c>
      <c r="H57" s="579">
        <f t="shared" si="13"/>
        <v>275593738.21699983</v>
      </c>
      <c r="I57" s="578">
        <f t="shared" si="13"/>
        <v>232388459.4669998</v>
      </c>
      <c r="J57" s="178">
        <f t="shared" si="13"/>
        <v>208083626.03909978</v>
      </c>
      <c r="K57" s="178">
        <f t="shared" si="13"/>
        <v>521341862.9286164</v>
      </c>
      <c r="L57" s="178">
        <f t="shared" si="13"/>
        <v>225378772.93824971</v>
      </c>
      <c r="M57" s="178">
        <f t="shared" si="13"/>
        <v>144159199.10018307</v>
      </c>
      <c r="N57" s="579">
        <f t="shared" si="13"/>
        <v>142875501.25121999</v>
      </c>
      <c r="O57" s="580"/>
      <c r="P57" s="578">
        <f>P55+P56</f>
        <v>142875501.25121999</v>
      </c>
      <c r="Q57" s="178">
        <f>Q55+Q56</f>
        <v>206841346.22348619</v>
      </c>
      <c r="R57" s="179">
        <f>R55+R56</f>
        <v>318056816.04831004</v>
      </c>
    </row>
    <row r="58" spans="1:18" ht="10.5" customHeight="1" x14ac:dyDescent="0.25">
      <c r="A58" s="654" t="s">
        <v>547</v>
      </c>
    </row>
    <row r="59" spans="1:18" ht="10.5" customHeight="1" x14ac:dyDescent="0.25">
      <c r="A59" s="120" t="s">
        <v>789</v>
      </c>
    </row>
    <row r="60" spans="1:18" ht="10.5" customHeight="1" x14ac:dyDescent="0.25"/>
    <row r="61" spans="1:18" ht="10.5" customHeight="1" x14ac:dyDescent="0.25"/>
    <row r="63" spans="1:18" x14ac:dyDescent="0.25">
      <c r="F63" s="84"/>
      <c r="G63" s="84"/>
      <c r="H63" s="84"/>
      <c r="I63" s="84"/>
      <c r="J63" s="84"/>
      <c r="K63" s="84"/>
      <c r="L63" s="84"/>
      <c r="M63" s="84"/>
      <c r="N63" s="84"/>
    </row>
    <row r="64" spans="1:18" x14ac:dyDescent="0.25">
      <c r="F64" s="169">
        <f t="shared" ref="F64:R64" si="14">F47+F63</f>
        <v>260629607.17999998</v>
      </c>
      <c r="G64" s="169">
        <f t="shared" si="14"/>
        <v>277750918.44999999</v>
      </c>
      <c r="H64" s="169">
        <f t="shared" si="14"/>
        <v>314786748.26999998</v>
      </c>
      <c r="I64" s="169">
        <f t="shared" si="14"/>
        <v>147491481.54000002</v>
      </c>
      <c r="J64" s="169">
        <f t="shared" si="14"/>
        <v>123242591.575</v>
      </c>
      <c r="K64" s="169">
        <f t="shared" si="14"/>
        <v>115350239</v>
      </c>
      <c r="L64" s="169">
        <f t="shared" si="14"/>
        <v>138710948.57499999</v>
      </c>
      <c r="M64" s="169">
        <f t="shared" si="14"/>
        <v>137392426</v>
      </c>
      <c r="N64" s="169">
        <f t="shared" si="14"/>
        <v>-464537057.87900007</v>
      </c>
      <c r="O64" s="169">
        <f t="shared" si="14"/>
        <v>1773769724.454</v>
      </c>
      <c r="P64" s="169">
        <f t="shared" si="14"/>
        <v>1861014724.454</v>
      </c>
      <c r="Q64" s="169">
        <f t="shared" si="14"/>
        <v>2010692999.6793685</v>
      </c>
      <c r="R64" s="169">
        <f t="shared" si="14"/>
        <v>2107907909.1875279</v>
      </c>
    </row>
    <row r="65" spans="6:18" x14ac:dyDescent="0.25">
      <c r="F65" s="169">
        <f t="shared" ref="F65:R65" si="15">F55-F63</f>
        <v>100313597.10999995</v>
      </c>
      <c r="G65" s="169">
        <f t="shared" si="15"/>
        <v>-80812494.650000006</v>
      </c>
      <c r="H65" s="169">
        <f t="shared" si="15"/>
        <v>-56388526.50000006</v>
      </c>
      <c r="I65" s="169">
        <f t="shared" si="15"/>
        <v>-43205278.75000003</v>
      </c>
      <c r="J65" s="169">
        <f t="shared" si="15"/>
        <v>-24304833.427900016</v>
      </c>
      <c r="K65" s="169">
        <f t="shared" si="15"/>
        <v>313258236.88951665</v>
      </c>
      <c r="L65" s="169">
        <f t="shared" si="15"/>
        <v>-295963089.9903667</v>
      </c>
      <c r="M65" s="169">
        <f t="shared" si="15"/>
        <v>-81219573.838066638</v>
      </c>
      <c r="N65" s="169">
        <f t="shared" si="15"/>
        <v>-1283697.8489630818</v>
      </c>
      <c r="O65" s="169">
        <f t="shared" si="15"/>
        <v>-95242946.028779984</v>
      </c>
      <c r="P65" s="169">
        <f t="shared" si="15"/>
        <v>-180087946.02877998</v>
      </c>
      <c r="Q65" s="169">
        <f t="shared" si="15"/>
        <v>63965844.972266197</v>
      </c>
      <c r="R65" s="169">
        <f t="shared" si="15"/>
        <v>111215469.82482386</v>
      </c>
    </row>
    <row r="190" spans="3:46" x14ac:dyDescent="0.25">
      <c r="C190" s="102"/>
      <c r="D190" s="102"/>
      <c r="E190" s="102"/>
      <c r="F190" s="102"/>
      <c r="G190" s="102"/>
      <c r="H190" s="102"/>
      <c r="I190" s="102"/>
      <c r="J190" s="102"/>
      <c r="K190" s="102"/>
      <c r="L190" s="102"/>
      <c r="M190" s="102"/>
      <c r="O190" s="169"/>
      <c r="P190" s="169"/>
      <c r="Q190" s="169"/>
      <c r="R190" s="169"/>
      <c r="S190" s="169"/>
      <c r="T190" s="169"/>
      <c r="U190" s="169"/>
      <c r="AJ190" s="169"/>
      <c r="AK190" s="169"/>
      <c r="AL190" s="169"/>
      <c r="AM190" s="169"/>
      <c r="AN190" s="169"/>
      <c r="AO190" s="169"/>
      <c r="AP190" s="169"/>
      <c r="AQ190" s="169"/>
      <c r="AR190" s="169"/>
      <c r="AS190" s="169"/>
      <c r="AT190" s="169"/>
    </row>
    <row r="191" spans="3:46" x14ac:dyDescent="0.25">
      <c r="O191" s="169"/>
      <c r="P191" s="169"/>
      <c r="Q191" s="169"/>
      <c r="R191" s="169"/>
      <c r="S191" s="169"/>
      <c r="T191" s="169"/>
      <c r="U191" s="169"/>
      <c r="AJ191" s="169"/>
      <c r="AK191" s="169"/>
      <c r="AL191" s="169"/>
      <c r="AM191" s="169"/>
      <c r="AN191" s="169"/>
      <c r="AO191" s="169"/>
      <c r="AP191" s="169"/>
      <c r="AQ191" s="169"/>
      <c r="AR191" s="169"/>
      <c r="AS191" s="169"/>
      <c r="AT191" s="169"/>
    </row>
    <row r="192" spans="3:46" x14ac:dyDescent="0.25">
      <c r="O192" s="169"/>
      <c r="P192" s="169"/>
      <c r="Q192" s="169"/>
      <c r="R192" s="169"/>
      <c r="S192" s="169"/>
      <c r="T192" s="169"/>
      <c r="U192" s="169"/>
      <c r="AJ192" s="169"/>
      <c r="AK192" s="169"/>
      <c r="AL192" s="169"/>
      <c r="AM192" s="169"/>
      <c r="AN192" s="169"/>
      <c r="AO192" s="169"/>
      <c r="AP192" s="169"/>
      <c r="AQ192" s="169"/>
      <c r="AR192" s="169"/>
      <c r="AS192" s="169"/>
      <c r="AT192" s="169"/>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F26" activePane="bottomRight" state="frozen"/>
      <selection activeCell="C6" sqref="C6"/>
      <selection pane="topRight" activeCell="C6" sqref="C6"/>
      <selection pane="bottomLeft" activeCell="C6" sqref="C6"/>
      <selection pane="bottomRight" activeCell="N39" sqref="N39"/>
    </sheetView>
  </sheetViews>
  <sheetFormatPr defaultRowHeight="12.75" x14ac:dyDescent="0.25"/>
  <cols>
    <col min="1" max="1" width="30.5703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LIM354 Polokwane - Supporting Table SB16 Adjustments Budget - monthly capital expenditure (municipal vote) - 25 February 2016</v>
      </c>
      <c r="B1" s="57"/>
      <c r="D1" s="58"/>
    </row>
    <row r="2" spans="1:19" ht="25.5" x14ac:dyDescent="0.25">
      <c r="A2" s="1321" t="str">
        <f>desc&amp;" - Municipal Vote"</f>
        <v>Description - Municipal Vote</v>
      </c>
      <c r="B2" s="1318" t="str">
        <f>head27</f>
        <v>Ref</v>
      </c>
      <c r="C2" s="581" t="str">
        <f>Head2</f>
        <v>Budget Year 2015/16</v>
      </c>
      <c r="D2" s="538"/>
      <c r="E2" s="538"/>
      <c r="F2" s="538"/>
      <c r="G2" s="538"/>
      <c r="H2" s="538"/>
      <c r="I2" s="538"/>
      <c r="J2" s="538"/>
      <c r="K2" s="538"/>
      <c r="L2" s="538"/>
      <c r="M2" s="538"/>
      <c r="N2" s="538"/>
      <c r="O2" s="536"/>
      <c r="P2" s="537" t="s">
        <v>228</v>
      </c>
      <c r="Q2" s="538"/>
      <c r="R2" s="539"/>
    </row>
    <row r="3" spans="1:19" ht="38.25" x14ac:dyDescent="0.25">
      <c r="A3" s="1322"/>
      <c r="B3" s="1319"/>
      <c r="C3" s="461" t="s">
        <v>229</v>
      </c>
      <c r="D3" s="329" t="s">
        <v>230</v>
      </c>
      <c r="E3" s="329" t="s">
        <v>231</v>
      </c>
      <c r="F3" s="329" t="s">
        <v>232</v>
      </c>
      <c r="G3" s="329" t="s">
        <v>233</v>
      </c>
      <c r="H3" s="330" t="s">
        <v>234</v>
      </c>
      <c r="I3" s="540" t="s">
        <v>235</v>
      </c>
      <c r="J3" s="541" t="s">
        <v>236</v>
      </c>
      <c r="K3" s="329" t="s">
        <v>237</v>
      </c>
      <c r="L3" s="329" t="s">
        <v>238</v>
      </c>
      <c r="M3" s="542" t="s">
        <v>239</v>
      </c>
      <c r="N3" s="541" t="s">
        <v>240</v>
      </c>
      <c r="O3" s="543" t="s">
        <v>241</v>
      </c>
      <c r="P3" s="540" t="str">
        <f>Head9</f>
        <v>Budget Year 2015/16</v>
      </c>
      <c r="Q3" s="541" t="str">
        <f>Head10</f>
        <v>Budget Year +1 2016/17</v>
      </c>
      <c r="R3" s="331" t="str">
        <f>Head11</f>
        <v>Budget Year +2 2017/18</v>
      </c>
    </row>
    <row r="4" spans="1:19" ht="25.5" x14ac:dyDescent="0.25">
      <c r="A4" s="544" t="s">
        <v>641</v>
      </c>
      <c r="B4" s="104"/>
      <c r="C4" s="827" t="str">
        <f t="shared" ref="C4:H4" si="0">Head5A</f>
        <v>Outcome</v>
      </c>
      <c r="D4" s="822" t="str">
        <f t="shared" si="0"/>
        <v>Outcome</v>
      </c>
      <c r="E4" s="822" t="str">
        <f t="shared" si="0"/>
        <v>Outcome</v>
      </c>
      <c r="F4" s="822" t="str">
        <f t="shared" si="0"/>
        <v>Outcome</v>
      </c>
      <c r="G4" s="822" t="str">
        <f t="shared" si="0"/>
        <v>Outcome</v>
      </c>
      <c r="H4" s="823" t="str">
        <f t="shared" si="0"/>
        <v>Outcome</v>
      </c>
      <c r="I4" s="821" t="str">
        <f t="shared" ref="I4:N4" si="1">Head7</f>
        <v>Adjusted Budget</v>
      </c>
      <c r="J4" s="823" t="str">
        <f t="shared" si="1"/>
        <v>Adjusted Budget</v>
      </c>
      <c r="K4" s="822" t="str">
        <f t="shared" si="1"/>
        <v>Adjusted Budget</v>
      </c>
      <c r="L4" s="822" t="str">
        <f t="shared" si="1"/>
        <v>Adjusted Budget</v>
      </c>
      <c r="M4" s="822" t="str">
        <f t="shared" si="1"/>
        <v>Adjusted Budget</v>
      </c>
      <c r="N4" s="823" t="str">
        <f t="shared" si="1"/>
        <v>Adjusted Budget</v>
      </c>
      <c r="O4" s="545"/>
      <c r="P4" s="546" t="str">
        <f>Head7</f>
        <v>Adjusted Budget</v>
      </c>
      <c r="Q4" s="547" t="str">
        <f>Head7</f>
        <v>Adjusted Budget</v>
      </c>
      <c r="R4" s="548" t="str">
        <f>Head7</f>
        <v>Adjusted Budget</v>
      </c>
    </row>
    <row r="5" spans="1:19" ht="12.75" customHeight="1" x14ac:dyDescent="0.25">
      <c r="A5" s="516" t="s">
        <v>1241</v>
      </c>
      <c r="B5" s="129">
        <v>1</v>
      </c>
      <c r="C5" s="241"/>
      <c r="D5" s="75"/>
      <c r="E5" s="75"/>
      <c r="F5" s="75"/>
      <c r="G5" s="75"/>
      <c r="H5" s="517"/>
      <c r="I5" s="241"/>
      <c r="J5" s="75"/>
      <c r="K5" s="75"/>
      <c r="L5" s="75"/>
      <c r="M5" s="75"/>
      <c r="N5" s="517"/>
      <c r="O5" s="549"/>
      <c r="P5" s="241"/>
      <c r="Q5" s="75"/>
      <c r="R5" s="76"/>
      <c r="S5" s="128"/>
    </row>
    <row r="6" spans="1:19" ht="12.75" customHeight="1" x14ac:dyDescent="0.25">
      <c r="A6" s="129" t="str">
        <f>'B5-Capex'!A8</f>
        <v>Vote 1 - COUNCIL</v>
      </c>
      <c r="B6" s="129"/>
      <c r="C6" s="391"/>
      <c r="D6" s="109"/>
      <c r="E6" s="109"/>
      <c r="F6" s="109"/>
      <c r="G6" s="109"/>
      <c r="H6" s="390"/>
      <c r="I6" s="391"/>
      <c r="J6" s="109"/>
      <c r="K6" s="109"/>
      <c r="L6" s="109"/>
      <c r="M6" s="109"/>
      <c r="N6" s="517">
        <f t="shared" ref="N6:N20" si="2">P6-SUM(C6:M6)</f>
        <v>0</v>
      </c>
      <c r="O6" s="549"/>
      <c r="P6" s="241">
        <f>'B5-Capex'!K8</f>
        <v>0</v>
      </c>
      <c r="Q6" s="75">
        <f>'B5-Capex'!L8</f>
        <v>0</v>
      </c>
      <c r="R6" s="76">
        <f>'B5-Capex'!M8</f>
        <v>0</v>
      </c>
      <c r="S6" s="128"/>
    </row>
    <row r="7" spans="1:19" ht="12.75" customHeight="1" x14ac:dyDescent="0.25">
      <c r="A7" s="129" t="str">
        <f>'B5-Capex'!A9</f>
        <v>Vote 2 - Office of the Municipal Manger</v>
      </c>
      <c r="B7" s="129"/>
      <c r="C7" s="391"/>
      <c r="D7" s="109"/>
      <c r="E7" s="109"/>
      <c r="F7" s="109"/>
      <c r="G7" s="109"/>
      <c r="H7" s="390"/>
      <c r="I7" s="391"/>
      <c r="J7" s="109"/>
      <c r="K7" s="109"/>
      <c r="L7" s="109"/>
      <c r="M7" s="109"/>
      <c r="N7" s="517">
        <f t="shared" si="2"/>
        <v>0</v>
      </c>
      <c r="O7" s="549"/>
      <c r="P7" s="241">
        <f>'B5-Capex'!K9</f>
        <v>0</v>
      </c>
      <c r="Q7" s="75">
        <f>'B5-Capex'!L9</f>
        <v>0</v>
      </c>
      <c r="R7" s="76">
        <f>'B5-Capex'!M9</f>
        <v>0</v>
      </c>
      <c r="S7" s="128"/>
    </row>
    <row r="8" spans="1:19" ht="12.75" customHeight="1" x14ac:dyDescent="0.25">
      <c r="A8" s="129" t="str">
        <f>'B5-Capex'!A10</f>
        <v>Vote 3 - Strategic Planning Monitoring and Evaluation</v>
      </c>
      <c r="B8" s="129"/>
      <c r="C8" s="391"/>
      <c r="D8" s="109"/>
      <c r="E8" s="109"/>
      <c r="F8" s="109"/>
      <c r="G8" s="109"/>
      <c r="H8" s="390"/>
      <c r="I8" s="391"/>
      <c r="J8" s="109"/>
      <c r="K8" s="109"/>
      <c r="L8" s="109"/>
      <c r="M8" s="109"/>
      <c r="N8" s="517">
        <f t="shared" si="2"/>
        <v>0</v>
      </c>
      <c r="O8" s="549"/>
      <c r="P8" s="241">
        <f>'B5-Capex'!K10</f>
        <v>0</v>
      </c>
      <c r="Q8" s="75">
        <f>'B5-Capex'!L10</f>
        <v>0</v>
      </c>
      <c r="R8" s="76">
        <f>'B5-Capex'!M10</f>
        <v>0</v>
      </c>
      <c r="S8" s="128"/>
    </row>
    <row r="9" spans="1:19" ht="12.75" customHeight="1" x14ac:dyDescent="0.25">
      <c r="A9" s="129" t="str">
        <f>'B5-Capex'!A11</f>
        <v>Vote 4 - Engineering Services</v>
      </c>
      <c r="B9" s="129"/>
      <c r="C9" s="391"/>
      <c r="D9" s="109"/>
      <c r="E9" s="109"/>
      <c r="F9" s="109"/>
      <c r="G9" s="109"/>
      <c r="H9" s="390"/>
      <c r="I9" s="391"/>
      <c r="J9" s="109"/>
      <c r="K9" s="109"/>
      <c r="L9" s="109"/>
      <c r="M9" s="109"/>
      <c r="N9" s="517">
        <f t="shared" si="2"/>
        <v>0</v>
      </c>
      <c r="O9" s="549"/>
      <c r="P9" s="241">
        <f>'B5-Capex'!K11</f>
        <v>0</v>
      </c>
      <c r="Q9" s="75">
        <f>'B5-Capex'!L11</f>
        <v>0</v>
      </c>
      <c r="R9" s="76">
        <f>'B5-Capex'!M11</f>
        <v>0</v>
      </c>
      <c r="S9" s="128"/>
    </row>
    <row r="10" spans="1:19" ht="12.75" customHeight="1" x14ac:dyDescent="0.25">
      <c r="A10" s="129" t="str">
        <f>'B5-Capex'!A12</f>
        <v>Vote 5 -  Community Services</v>
      </c>
      <c r="B10" s="129"/>
      <c r="C10" s="391"/>
      <c r="D10" s="109"/>
      <c r="E10" s="109"/>
      <c r="F10" s="109"/>
      <c r="G10" s="109"/>
      <c r="H10" s="390"/>
      <c r="I10" s="391"/>
      <c r="J10" s="109"/>
      <c r="K10" s="109"/>
      <c r="L10" s="109"/>
      <c r="M10" s="109"/>
      <c r="N10" s="517">
        <f t="shared" si="2"/>
        <v>0</v>
      </c>
      <c r="O10" s="549"/>
      <c r="P10" s="241">
        <f>'B5-Capex'!K12</f>
        <v>0</v>
      </c>
      <c r="Q10" s="75">
        <f>'B5-Capex'!L12</f>
        <v>0</v>
      </c>
      <c r="R10" s="76">
        <f>'B5-Capex'!M12</f>
        <v>0</v>
      </c>
      <c r="S10" s="128"/>
    </row>
    <row r="11" spans="1:19" ht="12.75" customHeight="1" x14ac:dyDescent="0.25">
      <c r="A11" s="129" t="str">
        <f>'B5-Capex'!A13</f>
        <v>Vote 6 - Community Development</v>
      </c>
      <c r="B11" s="129"/>
      <c r="C11" s="391"/>
      <c r="D11" s="109"/>
      <c r="E11" s="109"/>
      <c r="F11" s="109"/>
      <c r="G11" s="109"/>
      <c r="H11" s="390"/>
      <c r="I11" s="391"/>
      <c r="J11" s="109"/>
      <c r="K11" s="109"/>
      <c r="L11" s="109"/>
      <c r="M11" s="109"/>
      <c r="N11" s="517">
        <f t="shared" si="2"/>
        <v>0</v>
      </c>
      <c r="O11" s="549"/>
      <c r="P11" s="241">
        <f>'B5-Capex'!K13</f>
        <v>0</v>
      </c>
      <c r="Q11" s="75">
        <f>'B5-Capex'!L13</f>
        <v>0</v>
      </c>
      <c r="R11" s="76">
        <f>'B5-Capex'!M13</f>
        <v>0</v>
      </c>
      <c r="S11" s="128"/>
    </row>
    <row r="12" spans="1:19" ht="12.75" customHeight="1" x14ac:dyDescent="0.25">
      <c r="A12" s="129" t="str">
        <f>'B5-Capex'!A14</f>
        <v>Vote 7 - Corporate  and Shared Services</v>
      </c>
      <c r="B12" s="129"/>
      <c r="C12" s="391"/>
      <c r="D12" s="109"/>
      <c r="E12" s="109"/>
      <c r="F12" s="109"/>
      <c r="G12" s="109"/>
      <c r="H12" s="390"/>
      <c r="I12" s="391"/>
      <c r="J12" s="109"/>
      <c r="K12" s="109"/>
      <c r="L12" s="109"/>
      <c r="M12" s="109"/>
      <c r="N12" s="517">
        <f t="shared" si="2"/>
        <v>0</v>
      </c>
      <c r="O12" s="549"/>
      <c r="P12" s="241">
        <f>'B5-Capex'!K14</f>
        <v>0</v>
      </c>
      <c r="Q12" s="75">
        <f>'B5-Capex'!L14</f>
        <v>0</v>
      </c>
      <c r="R12" s="76">
        <f>'B5-Capex'!M14</f>
        <v>0</v>
      </c>
      <c r="S12" s="128"/>
    </row>
    <row r="13" spans="1:19" ht="12.75" customHeight="1" x14ac:dyDescent="0.25">
      <c r="A13" s="129" t="str">
        <f>'B5-Capex'!A15</f>
        <v>Vote 8 - Planning and Economic Development</v>
      </c>
      <c r="B13" s="129"/>
      <c r="C13" s="391"/>
      <c r="D13" s="109"/>
      <c r="E13" s="109"/>
      <c r="F13" s="109"/>
      <c r="G13" s="109"/>
      <c r="H13" s="390"/>
      <c r="I13" s="391"/>
      <c r="J13" s="109"/>
      <c r="K13" s="109"/>
      <c r="L13" s="109"/>
      <c r="M13" s="109"/>
      <c r="N13" s="517">
        <f t="shared" si="2"/>
        <v>0</v>
      </c>
      <c r="O13" s="549"/>
      <c r="P13" s="241">
        <f>'B5-Capex'!K15</f>
        <v>0</v>
      </c>
      <c r="Q13" s="75">
        <f>'B5-Capex'!L15</f>
        <v>0</v>
      </c>
      <c r="R13" s="76">
        <f>'B5-Capex'!M15</f>
        <v>0</v>
      </c>
      <c r="S13" s="128"/>
    </row>
    <row r="14" spans="1:19" ht="12.75" customHeight="1" x14ac:dyDescent="0.25">
      <c r="A14" s="129" t="str">
        <f>'B5-Capex'!A16</f>
        <v>Vote 9 - Budget and Treasury</v>
      </c>
      <c r="B14" s="129"/>
      <c r="C14" s="391"/>
      <c r="D14" s="109"/>
      <c r="E14" s="109"/>
      <c r="F14" s="109"/>
      <c r="G14" s="109"/>
      <c r="H14" s="390"/>
      <c r="I14" s="391"/>
      <c r="J14" s="109"/>
      <c r="K14" s="109"/>
      <c r="L14" s="109"/>
      <c r="M14" s="109"/>
      <c r="N14" s="517">
        <f t="shared" si="2"/>
        <v>0</v>
      </c>
      <c r="O14" s="549"/>
      <c r="P14" s="241">
        <f>'B5-Capex'!K16</f>
        <v>0</v>
      </c>
      <c r="Q14" s="75">
        <f>'B5-Capex'!L16</f>
        <v>0</v>
      </c>
      <c r="R14" s="76">
        <f>'B5-Capex'!M16</f>
        <v>0</v>
      </c>
      <c r="S14" s="128"/>
    </row>
    <row r="15" spans="1:19" ht="12.75" customHeight="1" x14ac:dyDescent="0.25">
      <c r="A15" s="129" t="str">
        <f>'B5-Capex'!A17</f>
        <v>Vote 10 - Transport Operations</v>
      </c>
      <c r="B15" s="129"/>
      <c r="C15" s="391"/>
      <c r="D15" s="109"/>
      <c r="E15" s="109"/>
      <c r="F15" s="109"/>
      <c r="G15" s="109"/>
      <c r="H15" s="390"/>
      <c r="I15" s="391"/>
      <c r="J15" s="109"/>
      <c r="K15" s="109"/>
      <c r="L15" s="109"/>
      <c r="M15" s="109"/>
      <c r="N15" s="517">
        <f t="shared" si="2"/>
        <v>0</v>
      </c>
      <c r="O15" s="549"/>
      <c r="P15" s="241">
        <f>'B5-Capex'!K17</f>
        <v>0</v>
      </c>
      <c r="Q15" s="75">
        <f>'B5-Capex'!L17</f>
        <v>0</v>
      </c>
      <c r="R15" s="76">
        <f>'B5-Capex'!M17</f>
        <v>0</v>
      </c>
      <c r="S15" s="128"/>
    </row>
    <row r="16" spans="1:19" ht="12.75" customHeight="1" x14ac:dyDescent="0.25">
      <c r="A16" s="129" t="str">
        <f>'B5-Capex'!A18</f>
        <v>Vote 11 - [NAME OF VOTE 11]</v>
      </c>
      <c r="B16" s="129"/>
      <c r="C16" s="391"/>
      <c r="D16" s="109"/>
      <c r="E16" s="109"/>
      <c r="F16" s="109"/>
      <c r="G16" s="109"/>
      <c r="H16" s="390"/>
      <c r="I16" s="391"/>
      <c r="J16" s="109"/>
      <c r="K16" s="109"/>
      <c r="L16" s="109"/>
      <c r="M16" s="109"/>
      <c r="N16" s="517">
        <f t="shared" si="2"/>
        <v>0</v>
      </c>
      <c r="O16" s="549"/>
      <c r="P16" s="241">
        <f>'B5-Capex'!K18</f>
        <v>0</v>
      </c>
      <c r="Q16" s="75">
        <f>'B5-Capex'!L18</f>
        <v>0</v>
      </c>
      <c r="R16" s="76">
        <f>'B5-Capex'!M18</f>
        <v>0</v>
      </c>
      <c r="S16" s="128"/>
    </row>
    <row r="17" spans="1:19" ht="12.75" customHeight="1" x14ac:dyDescent="0.25">
      <c r="A17" s="129" t="str">
        <f>'B5-Capex'!A19</f>
        <v>Vote 12 - [NAME OF VOTE 12]</v>
      </c>
      <c r="B17" s="129"/>
      <c r="C17" s="391"/>
      <c r="D17" s="109"/>
      <c r="E17" s="109"/>
      <c r="F17" s="109"/>
      <c r="G17" s="109"/>
      <c r="H17" s="390"/>
      <c r="I17" s="391"/>
      <c r="J17" s="109"/>
      <c r="K17" s="109"/>
      <c r="L17" s="109"/>
      <c r="M17" s="109"/>
      <c r="N17" s="517">
        <f t="shared" si="2"/>
        <v>0</v>
      </c>
      <c r="O17" s="549"/>
      <c r="P17" s="241">
        <f>'B5-Capex'!K19</f>
        <v>0</v>
      </c>
      <c r="Q17" s="75">
        <f>'B5-Capex'!L19</f>
        <v>0</v>
      </c>
      <c r="R17" s="76">
        <f>'B5-Capex'!M19</f>
        <v>0</v>
      </c>
      <c r="S17" s="128"/>
    </row>
    <row r="18" spans="1:19" ht="12.75" customHeight="1" x14ac:dyDescent="0.25">
      <c r="A18" s="129" t="str">
        <f>'B5-Capex'!A20</f>
        <v>Vote 13 - [NAME OF VOTE 13]</v>
      </c>
      <c r="B18" s="129"/>
      <c r="C18" s="391"/>
      <c r="D18" s="109"/>
      <c r="E18" s="109"/>
      <c r="F18" s="109"/>
      <c r="G18" s="109"/>
      <c r="H18" s="390"/>
      <c r="I18" s="391"/>
      <c r="J18" s="109"/>
      <c r="K18" s="109"/>
      <c r="L18" s="109"/>
      <c r="M18" s="109"/>
      <c r="N18" s="517">
        <f t="shared" si="2"/>
        <v>0</v>
      </c>
      <c r="O18" s="549"/>
      <c r="P18" s="241">
        <f>'B5-Capex'!K20</f>
        <v>0</v>
      </c>
      <c r="Q18" s="75">
        <f>'B5-Capex'!L20</f>
        <v>0</v>
      </c>
      <c r="R18" s="76">
        <f>'B5-Capex'!M20</f>
        <v>0</v>
      </c>
      <c r="S18" s="128"/>
    </row>
    <row r="19" spans="1:19" ht="12.75" customHeight="1" x14ac:dyDescent="0.25">
      <c r="A19" s="129" t="str">
        <f>'B5-Capex'!A21</f>
        <v>Vote 14 - [NAME OF VOTE 14]</v>
      </c>
      <c r="B19" s="129"/>
      <c r="C19" s="391"/>
      <c r="D19" s="109"/>
      <c r="E19" s="109"/>
      <c r="F19" s="109"/>
      <c r="G19" s="109"/>
      <c r="H19" s="390"/>
      <c r="I19" s="391"/>
      <c r="J19" s="109"/>
      <c r="K19" s="109"/>
      <c r="L19" s="109"/>
      <c r="M19" s="109"/>
      <c r="N19" s="517">
        <f t="shared" si="2"/>
        <v>0</v>
      </c>
      <c r="O19" s="549"/>
      <c r="P19" s="241">
        <f>'B5-Capex'!K21</f>
        <v>0</v>
      </c>
      <c r="Q19" s="75">
        <f>'B5-Capex'!L21</f>
        <v>0</v>
      </c>
      <c r="R19" s="76">
        <f>'B5-Capex'!M21</f>
        <v>0</v>
      </c>
      <c r="S19" s="128"/>
    </row>
    <row r="20" spans="1:19" ht="12.75" customHeight="1" x14ac:dyDescent="0.25">
      <c r="A20" s="129" t="str">
        <f>'B5-Capex'!A22</f>
        <v>Vote 15 - [NAME OF VOTE 15]</v>
      </c>
      <c r="B20" s="129"/>
      <c r="C20" s="391"/>
      <c r="D20" s="109"/>
      <c r="E20" s="109"/>
      <c r="F20" s="109"/>
      <c r="G20" s="109"/>
      <c r="H20" s="390"/>
      <c r="I20" s="391"/>
      <c r="J20" s="109"/>
      <c r="K20" s="109"/>
      <c r="L20" s="109"/>
      <c r="M20" s="109"/>
      <c r="N20" s="517">
        <f t="shared" si="2"/>
        <v>0</v>
      </c>
      <c r="O20" s="549"/>
      <c r="P20" s="241">
        <f>'B5-Capex'!K22</f>
        <v>0</v>
      </c>
      <c r="Q20" s="75">
        <f>'B5-Capex'!L22</f>
        <v>0</v>
      </c>
      <c r="R20" s="76">
        <f>'B5-Capex'!M22</f>
        <v>0</v>
      </c>
      <c r="S20" s="128"/>
    </row>
    <row r="21" spans="1:19" ht="12.75" customHeight="1" x14ac:dyDescent="0.25">
      <c r="A21" s="767" t="s">
        <v>478</v>
      </c>
      <c r="B21" s="73">
        <v>3</v>
      </c>
      <c r="C21" s="582">
        <f t="shared" ref="C21:R21" si="3">SUM(C6:C20)</f>
        <v>0</v>
      </c>
      <c r="D21" s="583">
        <f t="shared" si="3"/>
        <v>0</v>
      </c>
      <c r="E21" s="583">
        <f t="shared" si="3"/>
        <v>0</v>
      </c>
      <c r="F21" s="583">
        <f t="shared" si="3"/>
        <v>0</v>
      </c>
      <c r="G21" s="583">
        <f t="shared" si="3"/>
        <v>0</v>
      </c>
      <c r="H21" s="584">
        <f t="shared" si="3"/>
        <v>0</v>
      </c>
      <c r="I21" s="585">
        <f t="shared" si="3"/>
        <v>0</v>
      </c>
      <c r="J21" s="583">
        <f t="shared" si="3"/>
        <v>0</v>
      </c>
      <c r="K21" s="583">
        <f t="shared" si="3"/>
        <v>0</v>
      </c>
      <c r="L21" s="583">
        <f t="shared" si="3"/>
        <v>0</v>
      </c>
      <c r="M21" s="584">
        <f t="shared" si="3"/>
        <v>0</v>
      </c>
      <c r="N21" s="586">
        <f t="shared" si="3"/>
        <v>0</v>
      </c>
      <c r="O21" s="587">
        <f t="shared" si="3"/>
        <v>0</v>
      </c>
      <c r="P21" s="588">
        <f t="shared" si="3"/>
        <v>0</v>
      </c>
      <c r="Q21" s="589">
        <f t="shared" si="3"/>
        <v>0</v>
      </c>
      <c r="R21" s="586">
        <f t="shared" si="3"/>
        <v>0</v>
      </c>
      <c r="S21" s="128"/>
    </row>
    <row r="22" spans="1:19" ht="3.75" customHeight="1" x14ac:dyDescent="0.25">
      <c r="A22" s="136"/>
      <c r="B22" s="73"/>
      <c r="C22" s="74"/>
      <c r="D22" s="75"/>
      <c r="E22" s="75"/>
      <c r="F22" s="75"/>
      <c r="G22" s="75"/>
      <c r="H22" s="517"/>
      <c r="I22" s="241"/>
      <c r="J22" s="75"/>
      <c r="K22" s="75"/>
      <c r="L22" s="75"/>
      <c r="M22" s="517"/>
      <c r="N22" s="76">
        <f>SUM(N7:N21)</f>
        <v>0</v>
      </c>
      <c r="O22" s="549">
        <f>SUM(O7:O21)</f>
        <v>0</v>
      </c>
      <c r="P22" s="241">
        <f>SUM(P7:P21)</f>
        <v>0</v>
      </c>
      <c r="Q22" s="75">
        <f>SUM(Q7:Q21)</f>
        <v>0</v>
      </c>
      <c r="R22" s="76">
        <f>SUM(R7:R21)</f>
        <v>0</v>
      </c>
      <c r="S22" s="128"/>
    </row>
    <row r="23" spans="1:19" ht="12.75" customHeight="1" x14ac:dyDescent="0.25">
      <c r="A23" s="72" t="s">
        <v>1242</v>
      </c>
      <c r="B23" s="129"/>
      <c r="C23" s="590"/>
      <c r="D23" s="174"/>
      <c r="E23" s="174"/>
      <c r="F23" s="174"/>
      <c r="G23" s="174"/>
      <c r="H23" s="591"/>
      <c r="I23" s="590"/>
      <c r="J23" s="174"/>
      <c r="K23" s="174"/>
      <c r="L23" s="174"/>
      <c r="M23" s="174"/>
      <c r="N23" s="467"/>
      <c r="O23" s="549"/>
      <c r="P23" s="241"/>
      <c r="Q23" s="75"/>
      <c r="R23" s="76"/>
      <c r="S23" s="128"/>
    </row>
    <row r="24" spans="1:19" ht="12.75" customHeight="1" x14ac:dyDescent="0.25">
      <c r="A24" s="129" t="str">
        <f t="shared" ref="A24:A38" si="4">A6</f>
        <v>Vote 1 - COUNCIL</v>
      </c>
      <c r="B24" s="129"/>
      <c r="C24" s="391">
        <v>0</v>
      </c>
      <c r="D24" s="109">
        <v>0</v>
      </c>
      <c r="E24" s="109">
        <v>906156.84</v>
      </c>
      <c r="F24" s="109">
        <v>0</v>
      </c>
      <c r="G24" s="109">
        <v>0</v>
      </c>
      <c r="H24" s="390">
        <v>0</v>
      </c>
      <c r="I24" s="391">
        <v>0</v>
      </c>
      <c r="J24" s="109"/>
      <c r="K24" s="109"/>
      <c r="L24" s="109"/>
      <c r="M24" s="109"/>
      <c r="N24" s="517">
        <f t="shared" ref="N24:N38" si="5">P24-SUM(C24:M24)</f>
        <v>0.16000000003259629</v>
      </c>
      <c r="O24" s="549"/>
      <c r="P24" s="241">
        <f>'B5-Capex'!K26</f>
        <v>906157</v>
      </c>
      <c r="Q24" s="75">
        <f>'B5-Capex'!L26</f>
        <v>0</v>
      </c>
      <c r="R24" s="76">
        <f>'B5-Capex'!M26</f>
        <v>0</v>
      </c>
      <c r="S24" s="128"/>
    </row>
    <row r="25" spans="1:19" ht="12.75" customHeight="1" x14ac:dyDescent="0.25">
      <c r="A25" s="129" t="str">
        <f t="shared" si="4"/>
        <v>Vote 2 - Office of the Municipal Manger</v>
      </c>
      <c r="B25" s="129"/>
      <c r="C25" s="391">
        <v>0</v>
      </c>
      <c r="D25" s="109">
        <v>0</v>
      </c>
      <c r="E25" s="109">
        <v>0</v>
      </c>
      <c r="F25" s="109">
        <v>0</v>
      </c>
      <c r="G25" s="109">
        <v>0</v>
      </c>
      <c r="H25" s="390">
        <v>0</v>
      </c>
      <c r="I25" s="391">
        <v>0</v>
      </c>
      <c r="J25" s="109"/>
      <c r="K25" s="109"/>
      <c r="L25" s="109"/>
      <c r="M25" s="109"/>
      <c r="N25" s="517">
        <f t="shared" si="5"/>
        <v>0</v>
      </c>
      <c r="O25" s="549"/>
      <c r="P25" s="241">
        <f>'B5-Capex'!K27</f>
        <v>0</v>
      </c>
      <c r="Q25" s="75">
        <f>'B5-Capex'!L27</f>
        <v>0</v>
      </c>
      <c r="R25" s="76">
        <f>'B5-Capex'!M27</f>
        <v>0</v>
      </c>
      <c r="S25" s="128"/>
    </row>
    <row r="26" spans="1:19" ht="12.75" customHeight="1" x14ac:dyDescent="0.25">
      <c r="A26" s="129" t="str">
        <f t="shared" si="4"/>
        <v>Vote 3 - Strategic Planning Monitoring and Evaluation</v>
      </c>
      <c r="B26" s="129"/>
      <c r="C26" s="391">
        <v>0</v>
      </c>
      <c r="D26" s="109">
        <v>0</v>
      </c>
      <c r="E26" s="109">
        <v>0</v>
      </c>
      <c r="F26" s="109">
        <v>0</v>
      </c>
      <c r="G26" s="109">
        <v>0</v>
      </c>
      <c r="H26" s="390">
        <v>0</v>
      </c>
      <c r="I26" s="391">
        <v>0</v>
      </c>
      <c r="J26" s="109"/>
      <c r="K26" s="109"/>
      <c r="L26" s="109"/>
      <c r="M26" s="109"/>
      <c r="N26" s="517">
        <f t="shared" si="5"/>
        <v>0</v>
      </c>
      <c r="O26" s="549"/>
      <c r="P26" s="241">
        <f>'B5-Capex'!K28</f>
        <v>0</v>
      </c>
      <c r="Q26" s="75">
        <f>'B5-Capex'!L28</f>
        <v>0</v>
      </c>
      <c r="R26" s="76">
        <f>'B5-Capex'!M28</f>
        <v>0</v>
      </c>
      <c r="S26" s="128"/>
    </row>
    <row r="27" spans="1:19" ht="12.75" customHeight="1" x14ac:dyDescent="0.25">
      <c r="A27" s="129" t="str">
        <f t="shared" si="4"/>
        <v>Vote 4 - Engineering Services</v>
      </c>
      <c r="B27" s="129"/>
      <c r="C27" s="391">
        <f>4267278.21+139080.52</f>
        <v>4406358.7299999995</v>
      </c>
      <c r="D27" s="109">
        <v>11807720.41</v>
      </c>
      <c r="E27" s="109">
        <v>14356521.09</v>
      </c>
      <c r="F27" s="109">
        <v>14905541.629999999</v>
      </c>
      <c r="G27" s="109">
        <v>19652957.170000002</v>
      </c>
      <c r="H27" s="390">
        <v>24547362.84</v>
      </c>
      <c r="I27" s="391">
        <v>7546059</v>
      </c>
      <c r="J27" s="109">
        <v>46430643.680000007</v>
      </c>
      <c r="K27" s="109">
        <v>30000000</v>
      </c>
      <c r="L27" s="109">
        <f>54456200+21000000</f>
        <v>75456200</v>
      </c>
      <c r="M27" s="109">
        <v>35000000</v>
      </c>
      <c r="N27" s="517">
        <f t="shared" si="5"/>
        <v>25885713.420000076</v>
      </c>
      <c r="O27" s="549"/>
      <c r="P27" s="241">
        <f>'B5-Capex'!K29</f>
        <v>309995077.97000009</v>
      </c>
      <c r="Q27" s="75">
        <f>'B5-Capex'!L29</f>
        <v>322094000</v>
      </c>
      <c r="R27" s="76">
        <f>'B5-Capex'!M29</f>
        <v>371110000</v>
      </c>
      <c r="S27" s="128"/>
    </row>
    <row r="28" spans="1:19" ht="12.75" customHeight="1" x14ac:dyDescent="0.25">
      <c r="A28" s="129" t="str">
        <f t="shared" si="4"/>
        <v>Vote 5 -  Community Services</v>
      </c>
      <c r="B28" s="129"/>
      <c r="C28" s="391">
        <v>0</v>
      </c>
      <c r="D28" s="109">
        <v>62563.22</v>
      </c>
      <c r="E28" s="109">
        <v>274639.32</v>
      </c>
      <c r="F28" s="109">
        <v>186744.11</v>
      </c>
      <c r="G28" s="109">
        <v>1859613.24</v>
      </c>
      <c r="H28" s="390">
        <v>958524.59000000008</v>
      </c>
      <c r="I28" s="391">
        <v>649122</v>
      </c>
      <c r="J28" s="109">
        <v>2000000</v>
      </c>
      <c r="K28" s="109">
        <v>3000000</v>
      </c>
      <c r="L28" s="109">
        <v>3500000</v>
      </c>
      <c r="M28" s="109">
        <v>2000000</v>
      </c>
      <c r="N28" s="517">
        <f t="shared" si="5"/>
        <v>2721506.5199999996</v>
      </c>
      <c r="O28" s="549"/>
      <c r="P28" s="241">
        <f>'B5-Capex'!K30</f>
        <v>17212713</v>
      </c>
      <c r="Q28" s="75">
        <f>'B5-Capex'!L30</f>
        <v>15156000</v>
      </c>
      <c r="R28" s="76">
        <f>'B5-Capex'!M30</f>
        <v>19190000</v>
      </c>
      <c r="S28" s="128"/>
    </row>
    <row r="29" spans="1:19" ht="12.75" customHeight="1" x14ac:dyDescent="0.25">
      <c r="A29" s="129" t="str">
        <f t="shared" si="4"/>
        <v>Vote 6 - Community Development</v>
      </c>
      <c r="B29" s="129"/>
      <c r="C29" s="391">
        <v>-165000</v>
      </c>
      <c r="D29" s="109">
        <v>1996168.6900000002</v>
      </c>
      <c r="E29" s="109">
        <v>3713572.45</v>
      </c>
      <c r="F29" s="109">
        <v>3822876.06</v>
      </c>
      <c r="G29" s="109">
        <v>7706788.6399999997</v>
      </c>
      <c r="H29" s="390">
        <v>3269167.17</v>
      </c>
      <c r="I29" s="391">
        <v>4514679.8000000045</v>
      </c>
      <c r="J29" s="109">
        <v>10000000</v>
      </c>
      <c r="K29" s="109">
        <v>11000000</v>
      </c>
      <c r="L29" s="109">
        <v>15000000</v>
      </c>
      <c r="M29" s="109">
        <v>20250000</v>
      </c>
      <c r="N29" s="517">
        <f t="shared" si="5"/>
        <v>3356605.1899999976</v>
      </c>
      <c r="O29" s="549"/>
      <c r="P29" s="241">
        <f>'B5-Capex'!K31</f>
        <v>84464858</v>
      </c>
      <c r="Q29" s="75">
        <f>'B5-Capex'!L31</f>
        <v>83237000</v>
      </c>
      <c r="R29" s="76">
        <f>'B5-Capex'!M31</f>
        <v>81270000</v>
      </c>
      <c r="S29" s="128"/>
    </row>
    <row r="30" spans="1:19" ht="12.75" customHeight="1" x14ac:dyDescent="0.25">
      <c r="A30" s="129" t="str">
        <f t="shared" si="4"/>
        <v>Vote 7 - Corporate  and Shared Services</v>
      </c>
      <c r="B30" s="129"/>
      <c r="C30" s="391">
        <v>99704.38</v>
      </c>
      <c r="D30" s="109">
        <v>39220</v>
      </c>
      <c r="E30" s="109">
        <v>0</v>
      </c>
      <c r="F30" s="109">
        <v>2206.2600000000002</v>
      </c>
      <c r="G30" s="109">
        <v>215995</v>
      </c>
      <c r="H30" s="390">
        <v>0</v>
      </c>
      <c r="I30" s="391">
        <v>0</v>
      </c>
      <c r="J30" s="109"/>
      <c r="K30" s="109"/>
      <c r="L30" s="109"/>
      <c r="M30" s="109"/>
      <c r="N30" s="517">
        <f t="shared" si="5"/>
        <v>7873685.3600000003</v>
      </c>
      <c r="O30" s="549"/>
      <c r="P30" s="241">
        <f>'B5-Capex'!K32</f>
        <v>8230811</v>
      </c>
      <c r="Q30" s="75">
        <f>'B5-Capex'!L32</f>
        <v>8500000</v>
      </c>
      <c r="R30" s="76">
        <f>'B5-Capex'!M32</f>
        <v>9500000</v>
      </c>
      <c r="S30" s="128"/>
    </row>
    <row r="31" spans="1:19" ht="12.75" customHeight="1" x14ac:dyDescent="0.25">
      <c r="A31" s="129" t="str">
        <f t="shared" si="4"/>
        <v>Vote 8 - Planning and Economic Development</v>
      </c>
      <c r="B31" s="129"/>
      <c r="C31" s="391">
        <v>1025086.61</v>
      </c>
      <c r="D31" s="109">
        <v>1118680</v>
      </c>
      <c r="E31" s="109">
        <v>0</v>
      </c>
      <c r="F31" s="109">
        <v>0</v>
      </c>
      <c r="G31" s="109">
        <v>0</v>
      </c>
      <c r="H31" s="390">
        <v>0</v>
      </c>
      <c r="I31" s="391">
        <v>0</v>
      </c>
      <c r="J31" s="109"/>
      <c r="K31" s="109">
        <v>1000000</v>
      </c>
      <c r="L31" s="109"/>
      <c r="M31" s="109">
        <v>975084.39000000013</v>
      </c>
      <c r="N31" s="517">
        <f t="shared" si="5"/>
        <v>0</v>
      </c>
      <c r="O31" s="549"/>
      <c r="P31" s="241">
        <f>'B5-Capex'!K33</f>
        <v>4118851</v>
      </c>
      <c r="Q31" s="75">
        <f>'B5-Capex'!L33</f>
        <v>3500000</v>
      </c>
      <c r="R31" s="76">
        <f>'B5-Capex'!M33</f>
        <v>2000000</v>
      </c>
      <c r="S31" s="128"/>
    </row>
    <row r="32" spans="1:19" ht="12.75" customHeight="1" x14ac:dyDescent="0.25">
      <c r="A32" s="129" t="str">
        <f t="shared" si="4"/>
        <v>Vote 9 - Budget and Treasury</v>
      </c>
      <c r="B32" s="129"/>
      <c r="C32" s="391">
        <v>0</v>
      </c>
      <c r="D32" s="109">
        <v>0</v>
      </c>
      <c r="E32" s="109">
        <v>0</v>
      </c>
      <c r="F32" s="109">
        <v>126356</v>
      </c>
      <c r="G32" s="109">
        <v>0</v>
      </c>
      <c r="H32" s="390">
        <v>1221253</v>
      </c>
      <c r="I32" s="391">
        <v>430711</v>
      </c>
      <c r="J32" s="109">
        <v>500000</v>
      </c>
      <c r="K32" s="109">
        <v>1500000</v>
      </c>
      <c r="L32" s="109"/>
      <c r="M32" s="109">
        <v>1221680</v>
      </c>
      <c r="N32" s="517">
        <f t="shared" si="5"/>
        <v>0</v>
      </c>
      <c r="O32" s="549"/>
      <c r="P32" s="241">
        <f>'B5-Capex'!K34</f>
        <v>5000000</v>
      </c>
      <c r="Q32" s="75">
        <f>'B5-Capex'!L34</f>
        <v>7000000</v>
      </c>
      <c r="R32" s="76">
        <f>'B5-Capex'!M34</f>
        <v>7000000</v>
      </c>
      <c r="S32" s="128"/>
    </row>
    <row r="33" spans="1:20" ht="12.75" customHeight="1" x14ac:dyDescent="0.25">
      <c r="A33" s="129" t="str">
        <f t="shared" si="4"/>
        <v>Vote 10 - Transport Operations</v>
      </c>
      <c r="B33" s="129"/>
      <c r="C33" s="391">
        <v>0</v>
      </c>
      <c r="D33" s="109">
        <v>0</v>
      </c>
      <c r="E33" s="109">
        <v>10291389.859999999</v>
      </c>
      <c r="F33" s="109">
        <v>9836747.6500000004</v>
      </c>
      <c r="G33" s="109">
        <v>2009165.59</v>
      </c>
      <c r="H33" s="390">
        <v>19122709.609999999</v>
      </c>
      <c r="I33" s="391">
        <v>28027499</v>
      </c>
      <c r="J33" s="109">
        <v>19069356.319999993</v>
      </c>
      <c r="K33" s="1279">
        <v>36896100</v>
      </c>
      <c r="L33" s="1279"/>
      <c r="M33" s="1279">
        <v>59249999.999999993</v>
      </c>
      <c r="N33" s="517">
        <f t="shared" si="5"/>
        <v>11853900</v>
      </c>
      <c r="O33" s="549"/>
      <c r="P33" s="241">
        <f>'B5-Capex'!K35</f>
        <v>196356868.02999997</v>
      </c>
      <c r="Q33" s="75">
        <f>'B5-Capex'!L35</f>
        <v>156361000</v>
      </c>
      <c r="R33" s="76">
        <f>'B5-Capex'!M35</f>
        <v>147625950</v>
      </c>
      <c r="S33" s="128"/>
    </row>
    <row r="34" spans="1:20" ht="12.75" customHeight="1" x14ac:dyDescent="0.25">
      <c r="A34" s="129" t="str">
        <f t="shared" si="4"/>
        <v>Vote 11 - [NAME OF VOTE 11]</v>
      </c>
      <c r="B34" s="129"/>
      <c r="C34" s="391"/>
      <c r="D34" s="109"/>
      <c r="E34" s="109"/>
      <c r="F34" s="109"/>
      <c r="G34" s="109"/>
      <c r="H34" s="390"/>
      <c r="I34" s="391"/>
      <c r="J34" s="109"/>
      <c r="K34" s="109"/>
      <c r="L34" s="109"/>
      <c r="M34" s="109"/>
      <c r="N34" s="517">
        <f t="shared" si="5"/>
        <v>0</v>
      </c>
      <c r="O34" s="549"/>
      <c r="P34" s="241">
        <f>'B5-Capex'!K36</f>
        <v>0</v>
      </c>
      <c r="Q34" s="75">
        <f>'B5-Capex'!L36</f>
        <v>0</v>
      </c>
      <c r="R34" s="76">
        <f>'B5-Capex'!M36</f>
        <v>0</v>
      </c>
      <c r="S34" s="128"/>
    </row>
    <row r="35" spans="1:20" ht="12.75" customHeight="1" x14ac:dyDescent="0.25">
      <c r="A35" s="129" t="str">
        <f t="shared" si="4"/>
        <v>Vote 12 - [NAME OF VOTE 12]</v>
      </c>
      <c r="B35" s="129"/>
      <c r="C35" s="391"/>
      <c r="D35" s="109">
        <v>0</v>
      </c>
      <c r="E35" s="109"/>
      <c r="F35" s="109"/>
      <c r="G35" s="109"/>
      <c r="H35" s="390"/>
      <c r="I35" s="391"/>
      <c r="J35" s="109"/>
      <c r="K35" s="109"/>
      <c r="L35" s="109"/>
      <c r="M35" s="109"/>
      <c r="N35" s="517">
        <f t="shared" si="5"/>
        <v>0</v>
      </c>
      <c r="O35" s="549"/>
      <c r="P35" s="241">
        <f>'B5-Capex'!K37</f>
        <v>0</v>
      </c>
      <c r="Q35" s="75">
        <f>'B5-Capex'!L37</f>
        <v>0</v>
      </c>
      <c r="R35" s="76">
        <f>'B5-Capex'!M37</f>
        <v>0</v>
      </c>
      <c r="S35" s="128"/>
    </row>
    <row r="36" spans="1:20" ht="12.75" customHeight="1" x14ac:dyDescent="0.25">
      <c r="A36" s="129" t="str">
        <f t="shared" si="4"/>
        <v>Vote 13 - [NAME OF VOTE 13]</v>
      </c>
      <c r="B36" s="129"/>
      <c r="C36" s="391"/>
      <c r="D36" s="109"/>
      <c r="E36" s="109"/>
      <c r="F36" s="109"/>
      <c r="G36" s="109"/>
      <c r="H36" s="390"/>
      <c r="I36" s="391"/>
      <c r="J36" s="109"/>
      <c r="K36" s="109"/>
      <c r="L36" s="109"/>
      <c r="M36" s="109"/>
      <c r="N36" s="517">
        <f t="shared" si="5"/>
        <v>0</v>
      </c>
      <c r="O36" s="549"/>
      <c r="P36" s="241">
        <f>'B5-Capex'!K38</f>
        <v>0</v>
      </c>
      <c r="Q36" s="75">
        <f>'B5-Capex'!L38</f>
        <v>0</v>
      </c>
      <c r="R36" s="76">
        <f>'B5-Capex'!M38</f>
        <v>0</v>
      </c>
      <c r="S36" s="128"/>
    </row>
    <row r="37" spans="1:20" ht="12.75" customHeight="1" x14ac:dyDescent="0.25">
      <c r="A37" s="129" t="str">
        <f t="shared" si="4"/>
        <v>Vote 14 - [NAME OF VOTE 14]</v>
      </c>
      <c r="B37" s="129"/>
      <c r="C37" s="391"/>
      <c r="D37" s="109"/>
      <c r="E37" s="109"/>
      <c r="F37" s="109"/>
      <c r="G37" s="109"/>
      <c r="H37" s="390"/>
      <c r="I37" s="391"/>
      <c r="J37" s="109"/>
      <c r="K37" s="109"/>
      <c r="L37" s="109"/>
      <c r="M37" s="109"/>
      <c r="N37" s="517">
        <f t="shared" si="5"/>
        <v>0</v>
      </c>
      <c r="O37" s="549"/>
      <c r="P37" s="241">
        <f>'B5-Capex'!K39</f>
        <v>0</v>
      </c>
      <c r="Q37" s="75">
        <f>'B5-Capex'!L39</f>
        <v>0</v>
      </c>
      <c r="R37" s="76">
        <f>'B5-Capex'!M39</f>
        <v>0</v>
      </c>
      <c r="S37" s="128"/>
    </row>
    <row r="38" spans="1:20" ht="12.75" customHeight="1" x14ac:dyDescent="0.25">
      <c r="A38" s="129" t="str">
        <f t="shared" si="4"/>
        <v>Vote 15 - [NAME OF VOTE 15]</v>
      </c>
      <c r="B38" s="129"/>
      <c r="C38" s="391"/>
      <c r="D38" s="109"/>
      <c r="E38" s="109"/>
      <c r="F38" s="109"/>
      <c r="G38" s="109"/>
      <c r="H38" s="390"/>
      <c r="I38" s="391"/>
      <c r="J38" s="109"/>
      <c r="K38" s="109"/>
      <c r="L38" s="109"/>
      <c r="M38" s="109"/>
      <c r="N38" s="517">
        <f t="shared" si="5"/>
        <v>0</v>
      </c>
      <c r="O38" s="549"/>
      <c r="P38" s="241">
        <f>'B5-Capex'!K40</f>
        <v>0</v>
      </c>
      <c r="Q38" s="75">
        <f>'B5-Capex'!L40</f>
        <v>0</v>
      </c>
      <c r="R38" s="76">
        <f>'B5-Capex'!M40</f>
        <v>0</v>
      </c>
      <c r="S38" s="128"/>
    </row>
    <row r="39" spans="1:20" ht="12.75" customHeight="1" x14ac:dyDescent="0.25">
      <c r="A39" s="162" t="s">
        <v>715</v>
      </c>
      <c r="B39" s="73">
        <v>3</v>
      </c>
      <c r="C39" s="582">
        <f>SUM(C24:C38)</f>
        <v>5366149.72</v>
      </c>
      <c r="D39" s="583">
        <f t="shared" ref="D39:R39" si="6">SUM(D24:D38)</f>
        <v>15024352.32</v>
      </c>
      <c r="E39" s="583">
        <f t="shared" si="6"/>
        <v>29542279.559999999</v>
      </c>
      <c r="F39" s="583">
        <f t="shared" si="6"/>
        <v>28880471.710000001</v>
      </c>
      <c r="G39" s="583">
        <f t="shared" si="6"/>
        <v>31444519.640000001</v>
      </c>
      <c r="H39" s="584">
        <f t="shared" si="6"/>
        <v>49119017.210000001</v>
      </c>
      <c r="I39" s="585">
        <f t="shared" si="6"/>
        <v>41168070.800000004</v>
      </c>
      <c r="J39" s="583">
        <f t="shared" si="6"/>
        <v>78000000</v>
      </c>
      <c r="K39" s="583">
        <f t="shared" si="6"/>
        <v>83396100</v>
      </c>
      <c r="L39" s="583">
        <f t="shared" si="6"/>
        <v>93956200</v>
      </c>
      <c r="M39" s="584">
        <f t="shared" si="6"/>
        <v>118696764.38999999</v>
      </c>
      <c r="N39" s="586">
        <f t="shared" si="6"/>
        <v>51691410.650000073</v>
      </c>
      <c r="O39" s="587">
        <f t="shared" si="6"/>
        <v>0</v>
      </c>
      <c r="P39" s="588">
        <f t="shared" si="6"/>
        <v>626285336</v>
      </c>
      <c r="Q39" s="589">
        <f t="shared" si="6"/>
        <v>595848000</v>
      </c>
      <c r="R39" s="586">
        <f t="shared" si="6"/>
        <v>637695950</v>
      </c>
      <c r="S39" s="128"/>
    </row>
    <row r="40" spans="1:20" ht="12.75" customHeight="1" x14ac:dyDescent="0.25">
      <c r="A40" s="592" t="s">
        <v>479</v>
      </c>
      <c r="B40" s="593">
        <v>2</v>
      </c>
      <c r="C40" s="116">
        <f>C21+C39</f>
        <v>5366149.72</v>
      </c>
      <c r="D40" s="117">
        <f t="shared" ref="D40:R40" si="7">D21+D39</f>
        <v>15024352.32</v>
      </c>
      <c r="E40" s="117">
        <f t="shared" si="7"/>
        <v>29542279.559999999</v>
      </c>
      <c r="F40" s="117">
        <f t="shared" si="7"/>
        <v>28880471.710000001</v>
      </c>
      <c r="G40" s="117">
        <f t="shared" si="7"/>
        <v>31444519.640000001</v>
      </c>
      <c r="H40" s="531">
        <f t="shared" si="7"/>
        <v>49119017.210000001</v>
      </c>
      <c r="I40" s="116">
        <f t="shared" si="7"/>
        <v>41168070.800000004</v>
      </c>
      <c r="J40" s="117">
        <f t="shared" si="7"/>
        <v>78000000</v>
      </c>
      <c r="K40" s="117">
        <f t="shared" si="7"/>
        <v>83396100</v>
      </c>
      <c r="L40" s="117">
        <f t="shared" si="7"/>
        <v>93956200</v>
      </c>
      <c r="M40" s="117">
        <f t="shared" si="7"/>
        <v>118696764.38999999</v>
      </c>
      <c r="N40" s="531">
        <f t="shared" si="7"/>
        <v>51691410.650000073</v>
      </c>
      <c r="O40" s="552">
        <f t="shared" si="7"/>
        <v>0</v>
      </c>
      <c r="P40" s="116">
        <f t="shared" si="7"/>
        <v>626285336</v>
      </c>
      <c r="Q40" s="117">
        <f t="shared" si="7"/>
        <v>595848000</v>
      </c>
      <c r="R40" s="118">
        <f t="shared" si="7"/>
        <v>637695950</v>
      </c>
      <c r="S40" s="128"/>
    </row>
    <row r="41" spans="1:20" ht="12.75" customHeight="1" x14ac:dyDescent="0.25">
      <c r="A41" s="594" t="str">
        <f>head27a</f>
        <v>References</v>
      </c>
      <c r="B41" s="595"/>
      <c r="C41" s="554"/>
      <c r="D41" s="554"/>
      <c r="E41" s="554"/>
      <c r="F41" s="554"/>
      <c r="G41" s="554"/>
      <c r="H41" s="554"/>
      <c r="I41" s="554"/>
      <c r="J41" s="554"/>
      <c r="K41" s="554"/>
      <c r="L41" s="554"/>
      <c r="M41" s="554"/>
      <c r="N41" s="554"/>
      <c r="O41" s="554"/>
      <c r="P41" s="554"/>
      <c r="Q41" s="554"/>
      <c r="R41" s="347"/>
      <c r="S41" s="128"/>
      <c r="T41" s="128"/>
    </row>
    <row r="42" spans="1:20" ht="12.75" customHeight="1" x14ac:dyDescent="0.25">
      <c r="A42" s="99" t="s">
        <v>480</v>
      </c>
      <c r="B42" s="48"/>
      <c r="C42" s="554"/>
      <c r="D42" s="554"/>
      <c r="E42" s="554"/>
      <c r="F42" s="554"/>
      <c r="G42" s="554"/>
      <c r="H42" s="554"/>
      <c r="I42" s="554"/>
      <c r="J42" s="554"/>
      <c r="K42" s="554"/>
      <c r="L42" s="554"/>
      <c r="M42" s="554"/>
      <c r="N42" s="554"/>
      <c r="O42" s="554"/>
      <c r="P42" s="554"/>
      <c r="Q42" s="554"/>
      <c r="R42" s="347"/>
      <c r="S42" s="128"/>
      <c r="T42" s="128"/>
    </row>
    <row r="43" spans="1:20" ht="12.75" customHeight="1" x14ac:dyDescent="0.25">
      <c r="A43" s="99" t="s">
        <v>481</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20" t="s">
        <v>5</v>
      </c>
      <c r="B45" s="320"/>
      <c r="O45" s="168">
        <f>O40-'B5-Capex'!J42</f>
        <v>-46164336.000000075</v>
      </c>
      <c r="P45" s="349">
        <f>P40-'B5-Capex'!K42</f>
        <v>0</v>
      </c>
      <c r="Q45" s="349">
        <f>Q40-'B5-Capex'!L42</f>
        <v>0</v>
      </c>
      <c r="R45" s="349">
        <f>R40-'B5-Capex'!M42</f>
        <v>0</v>
      </c>
    </row>
    <row r="56" spans="2:2" x14ac:dyDescent="0.25">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G13" activePane="bottomRight" state="frozen"/>
      <selection activeCell="C6" sqref="C6"/>
      <selection pane="topRight" activeCell="C6" sqref="C6"/>
      <selection pane="bottomLeft" activeCell="C6" sqref="C6"/>
      <selection pane="bottomRight" activeCell="I26" sqref="I26:N26"/>
    </sheetView>
  </sheetViews>
  <sheetFormatPr defaultRowHeight="12.75" x14ac:dyDescent="0.25"/>
  <cols>
    <col min="1" max="1" width="30.5703125" style="5" customWidth="1"/>
    <col min="2" max="2" width="3.140625" style="5" customWidth="1"/>
    <col min="3" max="18" width="8.7109375" style="5" customWidth="1"/>
    <col min="19" max="16384" width="9.140625" style="5"/>
  </cols>
  <sheetData>
    <row r="1" spans="1:18" ht="13.5" x14ac:dyDescent="0.25">
      <c r="A1" s="57" t="str">
        <f>muni&amp;" - "&amp;ADJB17&amp;" - "&amp;Date</f>
        <v>LIM354 Polokwane - Supporting Table SB17 Adjustments Budget - monthly capital expenditure (standard classification) - 25 February 2016</v>
      </c>
      <c r="B1" s="57"/>
      <c r="D1" s="58"/>
    </row>
    <row r="2" spans="1:18" ht="25.5" x14ac:dyDescent="0.25">
      <c r="A2" s="1321" t="str">
        <f>desc</f>
        <v>Description</v>
      </c>
      <c r="B2" s="1318" t="str">
        <f>head27</f>
        <v>Ref</v>
      </c>
      <c r="C2" s="1315" t="str">
        <f>Head2</f>
        <v>Budget Year 2015/16</v>
      </c>
      <c r="D2" s="1316"/>
      <c r="E2" s="1316"/>
      <c r="F2" s="1316"/>
      <c r="G2" s="1316"/>
      <c r="H2" s="1316"/>
      <c r="I2" s="1316"/>
      <c r="J2" s="1316"/>
      <c r="K2" s="1316"/>
      <c r="L2" s="1316"/>
      <c r="M2" s="1316"/>
      <c r="N2" s="1365"/>
      <c r="O2" s="596" t="str">
        <f>Head3a</f>
        <v>Medium Term Revenue and Expenditure Framework</v>
      </c>
      <c r="P2" s="459"/>
      <c r="Q2" s="171"/>
    </row>
    <row r="3" spans="1:18" ht="38.25" x14ac:dyDescent="0.25">
      <c r="A3" s="1322"/>
      <c r="B3" s="1319"/>
      <c r="C3" s="461" t="s">
        <v>229</v>
      </c>
      <c r="D3" s="329" t="s">
        <v>230</v>
      </c>
      <c r="E3" s="329" t="s">
        <v>231</v>
      </c>
      <c r="F3" s="329" t="s">
        <v>232</v>
      </c>
      <c r="G3" s="329" t="s">
        <v>233</v>
      </c>
      <c r="H3" s="330" t="s">
        <v>234</v>
      </c>
      <c r="I3" s="540" t="s">
        <v>235</v>
      </c>
      <c r="J3" s="541" t="s">
        <v>236</v>
      </c>
      <c r="K3" s="329" t="s">
        <v>237</v>
      </c>
      <c r="L3" s="329" t="s">
        <v>238</v>
      </c>
      <c r="M3" s="542" t="s">
        <v>239</v>
      </c>
      <c r="N3" s="541" t="s">
        <v>240</v>
      </c>
      <c r="O3" s="540" t="str">
        <f>Head9</f>
        <v>Budget Year 2015/16</v>
      </c>
      <c r="P3" s="541" t="str">
        <f>Head10</f>
        <v>Budget Year +1 2016/17</v>
      </c>
      <c r="Q3" s="331" t="str">
        <f>Head11</f>
        <v>Budget Year +2 2017/18</v>
      </c>
    </row>
    <row r="4" spans="1:18" ht="25.5" x14ac:dyDescent="0.25">
      <c r="A4" s="571" t="s">
        <v>641</v>
      </c>
      <c r="B4" s="104"/>
      <c r="C4" s="821" t="str">
        <f t="shared" ref="C4:H4" si="0">Head5A</f>
        <v>Outcome</v>
      </c>
      <c r="D4" s="822" t="str">
        <f t="shared" si="0"/>
        <v>Outcome</v>
      </c>
      <c r="E4" s="822" t="str">
        <f t="shared" si="0"/>
        <v>Outcome</v>
      </c>
      <c r="F4" s="822" t="str">
        <f t="shared" si="0"/>
        <v>Outcome</v>
      </c>
      <c r="G4" s="822" t="str">
        <f t="shared" si="0"/>
        <v>Outcome</v>
      </c>
      <c r="H4" s="823" t="str">
        <f t="shared" si="0"/>
        <v>Outcome</v>
      </c>
      <c r="I4" s="821" t="str">
        <f t="shared" ref="I4:Q4" si="1">Head7</f>
        <v>Adjusted Budget</v>
      </c>
      <c r="J4" s="823" t="str">
        <f t="shared" si="1"/>
        <v>Adjusted Budget</v>
      </c>
      <c r="K4" s="822" t="str">
        <f t="shared" si="1"/>
        <v>Adjusted Budget</v>
      </c>
      <c r="L4" s="822" t="str">
        <f t="shared" si="1"/>
        <v>Adjusted Budget</v>
      </c>
      <c r="M4" s="822" t="str">
        <f t="shared" si="1"/>
        <v>Adjusted Budget</v>
      </c>
      <c r="N4" s="823" t="str">
        <f t="shared" si="1"/>
        <v>Adjusted Budget</v>
      </c>
      <c r="O4" s="546" t="str">
        <f t="shared" si="1"/>
        <v>Adjusted Budget</v>
      </c>
      <c r="P4" s="547" t="str">
        <f t="shared" si="1"/>
        <v>Adjusted Budget</v>
      </c>
      <c r="Q4" s="548" t="str">
        <f t="shared" si="1"/>
        <v>Adjusted Budget</v>
      </c>
    </row>
    <row r="5" spans="1:18" ht="12.75" customHeight="1" x14ac:dyDescent="0.25">
      <c r="A5" s="516" t="s">
        <v>716</v>
      </c>
      <c r="B5" s="129"/>
      <c r="C5" s="241"/>
      <c r="D5" s="75"/>
      <c r="E5" s="75"/>
      <c r="F5" s="75"/>
      <c r="G5" s="75"/>
      <c r="H5" s="517"/>
      <c r="I5" s="241"/>
      <c r="J5" s="75"/>
      <c r="K5" s="75"/>
      <c r="L5" s="75"/>
      <c r="M5" s="75"/>
      <c r="N5" s="517"/>
      <c r="O5" s="241"/>
      <c r="P5" s="75"/>
      <c r="Q5" s="76"/>
      <c r="R5" s="128"/>
    </row>
    <row r="6" spans="1:18" ht="12.75" customHeight="1" x14ac:dyDescent="0.25">
      <c r="A6" s="107" t="str">
        <f>'B2-FinPerf SC'!A7</f>
        <v>Governance and administration</v>
      </c>
      <c r="B6" s="129"/>
      <c r="C6" s="921">
        <f t="shared" ref="C6:M6" si="2">SUM(C7:C9)</f>
        <v>99704.38</v>
      </c>
      <c r="D6" s="922">
        <f t="shared" si="2"/>
        <v>482868.57</v>
      </c>
      <c r="E6" s="922">
        <f t="shared" si="2"/>
        <v>1105099.53</v>
      </c>
      <c r="F6" s="922">
        <f t="shared" si="2"/>
        <v>128562.26</v>
      </c>
      <c r="G6" s="922">
        <f t="shared" si="2"/>
        <v>1874863.62</v>
      </c>
      <c r="H6" s="923">
        <f t="shared" si="2"/>
        <v>2160464.75</v>
      </c>
      <c r="I6" s="921">
        <f t="shared" si="2"/>
        <v>430711</v>
      </c>
      <c r="J6" s="922">
        <f t="shared" si="2"/>
        <v>2000000</v>
      </c>
      <c r="K6" s="922">
        <f t="shared" si="2"/>
        <v>5396100</v>
      </c>
      <c r="L6" s="922">
        <f t="shared" si="2"/>
        <v>6856200</v>
      </c>
      <c r="M6" s="922">
        <f t="shared" si="2"/>
        <v>1221680</v>
      </c>
      <c r="N6" s="924">
        <f t="shared" ref="N6:N25" si="3">O6-SUM(C6:M6)</f>
        <v>8549902.8900000006</v>
      </c>
      <c r="O6" s="788">
        <f>'B5-Capex'!K45</f>
        <v>30306157</v>
      </c>
      <c r="P6" s="789">
        <f>'B5-Capex'!L45</f>
        <v>38650000</v>
      </c>
      <c r="Q6" s="791">
        <f>'B5-Capex'!M45</f>
        <v>35300000</v>
      </c>
      <c r="R6" s="128"/>
    </row>
    <row r="7" spans="1:18" ht="12.75" customHeight="1" x14ac:dyDescent="0.25">
      <c r="A7" s="108" t="str">
        <f>'B2-FinPerf SC'!A8</f>
        <v>Executive and council</v>
      </c>
      <c r="B7" s="129"/>
      <c r="C7" s="109"/>
      <c r="D7" s="109">
        <v>0</v>
      </c>
      <c r="E7" s="109">
        <v>906156.84</v>
      </c>
      <c r="F7" s="109">
        <v>0</v>
      </c>
      <c r="G7" s="109">
        <v>0</v>
      </c>
      <c r="H7" s="390">
        <v>0</v>
      </c>
      <c r="I7" s="391">
        <v>0</v>
      </c>
      <c r="J7" s="109"/>
      <c r="K7" s="109"/>
      <c r="L7" s="109"/>
      <c r="M7" s="109"/>
      <c r="N7" s="517">
        <f t="shared" si="3"/>
        <v>0.16000000003259629</v>
      </c>
      <c r="O7" s="241">
        <f>'B5-Capex'!K46</f>
        <v>906157</v>
      </c>
      <c r="P7" s="75">
        <f>'B5-Capex'!L46</f>
        <v>0</v>
      </c>
      <c r="Q7" s="76">
        <f>'B5-Capex'!M46</f>
        <v>0</v>
      </c>
      <c r="R7" s="128"/>
    </row>
    <row r="8" spans="1:18" ht="12.75" customHeight="1" x14ac:dyDescent="0.25">
      <c r="A8" s="108" t="str">
        <f>'B2-FinPerf SC'!A9</f>
        <v>Budget and treasury office</v>
      </c>
      <c r="B8" s="129"/>
      <c r="C8" s="111"/>
      <c r="D8" s="111">
        <v>0</v>
      </c>
      <c r="E8" s="111">
        <v>0</v>
      </c>
      <c r="F8" s="111">
        <v>126356</v>
      </c>
      <c r="G8" s="111">
        <v>0</v>
      </c>
      <c r="H8" s="565">
        <v>1221253</v>
      </c>
      <c r="I8" s="566">
        <v>430711</v>
      </c>
      <c r="J8" s="111">
        <v>500000</v>
      </c>
      <c r="K8" s="111">
        <v>1500000</v>
      </c>
      <c r="L8" s="111"/>
      <c r="M8" s="111">
        <v>1221680</v>
      </c>
      <c r="N8" s="517">
        <f t="shared" si="3"/>
        <v>0</v>
      </c>
      <c r="O8" s="241">
        <f>'B5-Capex'!K47</f>
        <v>5000000</v>
      </c>
      <c r="P8" s="75">
        <f>'B5-Capex'!L47</f>
        <v>7000000</v>
      </c>
      <c r="Q8" s="76">
        <f>'B5-Capex'!M47</f>
        <v>7000000</v>
      </c>
      <c r="R8" s="128"/>
    </row>
    <row r="9" spans="1:18" ht="12.75" customHeight="1" x14ac:dyDescent="0.25">
      <c r="A9" s="108" t="str">
        <f>'B2-FinPerf SC'!A10</f>
        <v>Corporate services</v>
      </c>
      <c r="B9" s="129"/>
      <c r="C9" s="109">
        <v>99704.38</v>
      </c>
      <c r="D9" s="109">
        <v>482868.57</v>
      </c>
      <c r="E9" s="109">
        <v>198942.69</v>
      </c>
      <c r="F9" s="109">
        <v>2206.2600000000002</v>
      </c>
      <c r="G9" s="109">
        <v>1874863.62</v>
      </c>
      <c r="H9" s="390">
        <v>939211.75</v>
      </c>
      <c r="I9" s="391">
        <v>0</v>
      </c>
      <c r="J9" s="109">
        <v>1500000</v>
      </c>
      <c r="K9" s="109">
        <v>3896100</v>
      </c>
      <c r="L9" s="109">
        <v>6856200</v>
      </c>
      <c r="M9" s="109"/>
      <c r="N9" s="517">
        <f t="shared" si="3"/>
        <v>8549902.7300000004</v>
      </c>
      <c r="O9" s="241">
        <f>'B5-Capex'!K48</f>
        <v>24400000</v>
      </c>
      <c r="P9" s="75">
        <f>'B5-Capex'!L48</f>
        <v>31650000</v>
      </c>
      <c r="Q9" s="76">
        <f>'B5-Capex'!M48</f>
        <v>28300000</v>
      </c>
      <c r="R9" s="128"/>
    </row>
    <row r="10" spans="1:18" ht="12.75" customHeight="1" x14ac:dyDescent="0.25">
      <c r="A10" s="107" t="str">
        <f>'B2-FinPerf SC'!A11</f>
        <v>Community and public safety</v>
      </c>
      <c r="B10" s="129"/>
      <c r="C10" s="921">
        <f t="shared" ref="C10:M10" si="4">SUM(C11:C15)</f>
        <v>-165000</v>
      </c>
      <c r="D10" s="922">
        <f t="shared" si="4"/>
        <v>1615083.34</v>
      </c>
      <c r="E10" s="922">
        <f t="shared" si="4"/>
        <v>3789269.0500000003</v>
      </c>
      <c r="F10" s="922">
        <f t="shared" si="4"/>
        <v>4009620.17</v>
      </c>
      <c r="G10" s="922">
        <f t="shared" si="4"/>
        <v>6227759.9299999997</v>
      </c>
      <c r="H10" s="923">
        <f t="shared" si="4"/>
        <v>2620836.0099999998</v>
      </c>
      <c r="I10" s="921">
        <f t="shared" si="4"/>
        <v>4514666</v>
      </c>
      <c r="J10" s="922">
        <f t="shared" si="4"/>
        <v>10000000</v>
      </c>
      <c r="K10" s="922">
        <f t="shared" si="4"/>
        <v>8541000</v>
      </c>
      <c r="L10" s="922">
        <f t="shared" si="4"/>
        <v>4052000</v>
      </c>
      <c r="M10" s="922">
        <f t="shared" si="4"/>
        <v>6475084.3900000006</v>
      </c>
      <c r="N10" s="924">
        <f t="shared" si="3"/>
        <v>7032681.1099999994</v>
      </c>
      <c r="O10" s="788">
        <f>'B5-Capex'!K49</f>
        <v>58713000</v>
      </c>
      <c r="P10" s="789">
        <f>'B5-Capex'!L49</f>
        <v>68557000</v>
      </c>
      <c r="Q10" s="791">
        <f>'B5-Capex'!M49</f>
        <v>70360000</v>
      </c>
      <c r="R10" s="128"/>
    </row>
    <row r="11" spans="1:18" ht="12.75" customHeight="1" x14ac:dyDescent="0.25">
      <c r="A11" s="108" t="str">
        <f>'B2-FinPerf SC'!A12</f>
        <v>Community and social services</v>
      </c>
      <c r="B11" s="129"/>
      <c r="C11" s="109"/>
      <c r="D11" s="109">
        <v>0</v>
      </c>
      <c r="E11" s="109">
        <v>97599</v>
      </c>
      <c r="F11" s="109">
        <v>251325.94</v>
      </c>
      <c r="G11" s="109">
        <v>243494</v>
      </c>
      <c r="H11" s="390">
        <v>290880.59000000003</v>
      </c>
      <c r="I11" s="391">
        <v>385191</v>
      </c>
      <c r="J11" s="109">
        <v>1000000</v>
      </c>
      <c r="K11" s="109">
        <v>1000000</v>
      </c>
      <c r="L11" s="109">
        <v>1100000</v>
      </c>
      <c r="M11" s="109">
        <v>500000</v>
      </c>
      <c r="N11" s="517">
        <f t="shared" si="3"/>
        <v>2638969.4699999997</v>
      </c>
      <c r="O11" s="241">
        <f>'B5-Capex'!K50</f>
        <v>7507460</v>
      </c>
      <c r="P11" s="75">
        <f>'B5-Capex'!L50</f>
        <v>14850000</v>
      </c>
      <c r="Q11" s="76">
        <f>'B5-Capex'!M50</f>
        <v>17390000</v>
      </c>
      <c r="R11" s="128"/>
    </row>
    <row r="12" spans="1:18" ht="12.75" customHeight="1" x14ac:dyDescent="0.25">
      <c r="A12" s="108" t="str">
        <f>'B2-FinPerf SC'!A13</f>
        <v>Sport and recreation</v>
      </c>
      <c r="B12" s="129"/>
      <c r="C12" s="109">
        <v>-165000</v>
      </c>
      <c r="D12" s="109">
        <v>1552520.12</v>
      </c>
      <c r="E12" s="109">
        <v>3469602.8600000003</v>
      </c>
      <c r="F12" s="109">
        <v>3758294.23</v>
      </c>
      <c r="G12" s="109">
        <v>5984265.9299999997</v>
      </c>
      <c r="H12" s="390">
        <v>2329955.42</v>
      </c>
      <c r="I12" s="391">
        <v>4129475</v>
      </c>
      <c r="J12" s="109">
        <v>9000000</v>
      </c>
      <c r="K12" s="109">
        <v>6541000</v>
      </c>
      <c r="L12" s="109">
        <v>2952000</v>
      </c>
      <c r="M12" s="109">
        <v>5000000</v>
      </c>
      <c r="N12" s="517">
        <f t="shared" si="3"/>
        <v>3040426.4399999976</v>
      </c>
      <c r="O12" s="241">
        <f>'B5-Capex'!K51</f>
        <v>47592540</v>
      </c>
      <c r="P12" s="75">
        <f>'B5-Capex'!L51</f>
        <v>51587000</v>
      </c>
      <c r="Q12" s="76">
        <f>'B5-Capex'!M51</f>
        <v>52970000</v>
      </c>
      <c r="R12" s="128"/>
    </row>
    <row r="13" spans="1:18" ht="12.75" customHeight="1" x14ac:dyDescent="0.25">
      <c r="A13" s="108" t="str">
        <f>'B2-FinPerf SC'!A14</f>
        <v>Public safety</v>
      </c>
      <c r="B13" s="129"/>
      <c r="C13" s="109"/>
      <c r="D13" s="109">
        <v>62563.22</v>
      </c>
      <c r="E13" s="109">
        <v>222067.19</v>
      </c>
      <c r="F13" s="109">
        <v>0</v>
      </c>
      <c r="G13" s="109">
        <v>0</v>
      </c>
      <c r="H13" s="390">
        <v>0</v>
      </c>
      <c r="I13" s="391">
        <v>0</v>
      </c>
      <c r="J13" s="109"/>
      <c r="K13" s="109">
        <v>1000000</v>
      </c>
      <c r="L13" s="109"/>
      <c r="M13" s="109">
        <v>975084.39000000013</v>
      </c>
      <c r="N13" s="517">
        <f t="shared" si="3"/>
        <v>770285.19999999972</v>
      </c>
      <c r="O13" s="241">
        <f>'B5-Capex'!K52</f>
        <v>3030000</v>
      </c>
      <c r="P13" s="75">
        <f>'B5-Capex'!L52</f>
        <v>2120000</v>
      </c>
      <c r="Q13" s="76">
        <f>'B5-Capex'!M52</f>
        <v>0</v>
      </c>
      <c r="R13" s="128"/>
    </row>
    <row r="14" spans="1:18" ht="12.75" customHeight="1" x14ac:dyDescent="0.25">
      <c r="A14" s="108" t="str">
        <f>'B2-FinPerf SC'!A15</f>
        <v>Housing</v>
      </c>
      <c r="B14" s="129"/>
      <c r="C14" s="109"/>
      <c r="D14" s="109">
        <v>0</v>
      </c>
      <c r="E14" s="109">
        <v>0</v>
      </c>
      <c r="F14" s="109">
        <v>0</v>
      </c>
      <c r="G14" s="109">
        <v>0</v>
      </c>
      <c r="H14" s="390">
        <v>0</v>
      </c>
      <c r="I14" s="391">
        <v>0</v>
      </c>
      <c r="J14" s="109"/>
      <c r="K14" s="109"/>
      <c r="L14" s="109"/>
      <c r="M14" s="109"/>
      <c r="N14" s="517">
        <f t="shared" si="3"/>
        <v>0</v>
      </c>
      <c r="O14" s="241">
        <f>'B5-Capex'!K53</f>
        <v>0</v>
      </c>
      <c r="P14" s="75">
        <f>'B5-Capex'!L53</f>
        <v>0</v>
      </c>
      <c r="Q14" s="76">
        <f>'B5-Capex'!M53</f>
        <v>0</v>
      </c>
      <c r="R14" s="128"/>
    </row>
    <row r="15" spans="1:18" ht="12.75" customHeight="1" x14ac:dyDescent="0.25">
      <c r="A15" s="108" t="str">
        <f>'B2-FinPerf SC'!A16</f>
        <v>Health</v>
      </c>
      <c r="B15" s="129"/>
      <c r="C15" s="111"/>
      <c r="D15" s="111">
        <v>0</v>
      </c>
      <c r="E15" s="111">
        <v>0</v>
      </c>
      <c r="F15" s="111">
        <v>0</v>
      </c>
      <c r="G15" s="111">
        <v>0</v>
      </c>
      <c r="H15" s="565">
        <v>0</v>
      </c>
      <c r="I15" s="566">
        <v>0</v>
      </c>
      <c r="J15" s="111"/>
      <c r="K15" s="111"/>
      <c r="L15" s="111"/>
      <c r="M15" s="111"/>
      <c r="N15" s="517">
        <f t="shared" si="3"/>
        <v>583000</v>
      </c>
      <c r="O15" s="241">
        <f>'B5-Capex'!K54</f>
        <v>583000</v>
      </c>
      <c r="P15" s="75">
        <f>'B5-Capex'!L54</f>
        <v>0</v>
      </c>
      <c r="Q15" s="76">
        <f>'B5-Capex'!M54</f>
        <v>0</v>
      </c>
      <c r="R15" s="128"/>
    </row>
    <row r="16" spans="1:18" ht="12.75" customHeight="1" x14ac:dyDescent="0.25">
      <c r="A16" s="107" t="str">
        <f>'B2-FinPerf SC'!A17</f>
        <v>Economic and environmental services</v>
      </c>
      <c r="B16" s="129"/>
      <c r="C16" s="921">
        <f t="shared" ref="C16:M16" si="5">SUM(C17:C19)</f>
        <v>1164167.1299999999</v>
      </c>
      <c r="D16" s="922">
        <f t="shared" si="5"/>
        <v>3565034.94</v>
      </c>
      <c r="E16" s="922">
        <f t="shared" si="5"/>
        <v>15893533.98</v>
      </c>
      <c r="F16" s="922">
        <f t="shared" si="5"/>
        <v>16949918.869999997</v>
      </c>
      <c r="G16" s="922">
        <f t="shared" si="5"/>
        <v>9286585.5899999999</v>
      </c>
      <c r="H16" s="923">
        <f t="shared" si="5"/>
        <v>31340620.609999999</v>
      </c>
      <c r="I16" s="921">
        <f t="shared" si="5"/>
        <v>32649299</v>
      </c>
      <c r="J16" s="922">
        <f t="shared" si="5"/>
        <v>42000000</v>
      </c>
      <c r="K16" s="922">
        <f t="shared" si="5"/>
        <v>35000000</v>
      </c>
      <c r="L16" s="922">
        <f t="shared" si="5"/>
        <v>41548000</v>
      </c>
      <c r="M16" s="922">
        <f t="shared" si="5"/>
        <v>76000000</v>
      </c>
      <c r="N16" s="924">
        <f t="shared" si="3"/>
        <v>10170698.879999995</v>
      </c>
      <c r="O16" s="788">
        <f>'B5-Capex'!K55</f>
        <v>315567859</v>
      </c>
      <c r="P16" s="789">
        <f>'B5-Capex'!L55</f>
        <v>304791000</v>
      </c>
      <c r="Q16" s="791">
        <f>'B5-Capex'!M55</f>
        <v>295103950</v>
      </c>
      <c r="R16" s="128"/>
    </row>
    <row r="17" spans="1:20" ht="12.75" customHeight="1" x14ac:dyDescent="0.25">
      <c r="A17" s="108" t="str">
        <f>'B2-FinPerf SC'!A18</f>
        <v>Planning and development</v>
      </c>
      <c r="B17" s="129"/>
      <c r="C17" s="109">
        <v>1025086.61</v>
      </c>
      <c r="D17" s="109">
        <v>1118680</v>
      </c>
      <c r="E17" s="109">
        <v>0</v>
      </c>
      <c r="F17" s="109">
        <v>0</v>
      </c>
      <c r="G17" s="109">
        <v>0</v>
      </c>
      <c r="H17" s="390">
        <v>0</v>
      </c>
      <c r="I17" s="391">
        <v>0</v>
      </c>
      <c r="J17" s="109"/>
      <c r="K17" s="109"/>
      <c r="L17" s="109"/>
      <c r="M17" s="109"/>
      <c r="N17" s="517">
        <f t="shared" si="3"/>
        <v>1856404.3900000001</v>
      </c>
      <c r="O17" s="241">
        <f>'B5-Capex'!K56</f>
        <v>4000171</v>
      </c>
      <c r="P17" s="75">
        <f>'B5-Capex'!L56</f>
        <v>3500000</v>
      </c>
      <c r="Q17" s="76">
        <f>'B5-Capex'!M56</f>
        <v>2000000</v>
      </c>
      <c r="R17" s="128"/>
    </row>
    <row r="18" spans="1:20" ht="12.75" customHeight="1" x14ac:dyDescent="0.25">
      <c r="A18" s="108" t="str">
        <f>'B2-FinPerf SC'!A19</f>
        <v>Road transport</v>
      </c>
      <c r="B18" s="129"/>
      <c r="C18" s="109">
        <v>139080.51999999999</v>
      </c>
      <c r="D18" s="109">
        <v>2446354.94</v>
      </c>
      <c r="E18" s="109">
        <v>15893533.98</v>
      </c>
      <c r="F18" s="109">
        <v>16949918.869999997</v>
      </c>
      <c r="G18" s="109">
        <v>9286585.5899999999</v>
      </c>
      <c r="H18" s="390">
        <v>31340620.609999999</v>
      </c>
      <c r="I18" s="391">
        <v>32649299</v>
      </c>
      <c r="J18" s="109">
        <v>42000000</v>
      </c>
      <c r="K18" s="109">
        <v>35000000</v>
      </c>
      <c r="L18" s="109">
        <f>39000000-7952000+10500000</f>
        <v>41548000</v>
      </c>
      <c r="M18" s="109">
        <f>55000000-27357013+48357013</f>
        <v>76000000</v>
      </c>
      <c r="N18" s="517">
        <f t="shared" si="3"/>
        <v>8314294.4900000095</v>
      </c>
      <c r="O18" s="241">
        <f>'B5-Capex'!K57</f>
        <v>311567688</v>
      </c>
      <c r="P18" s="75">
        <f>'B5-Capex'!L57</f>
        <v>301291000</v>
      </c>
      <c r="Q18" s="76">
        <f>'B5-Capex'!M57</f>
        <v>293103950</v>
      </c>
      <c r="R18" s="128"/>
    </row>
    <row r="19" spans="1:20" ht="12.75" customHeight="1" x14ac:dyDescent="0.25">
      <c r="A19" s="108" t="str">
        <f>'B2-FinPerf SC'!A20</f>
        <v>Environmental protection</v>
      </c>
      <c r="B19" s="129"/>
      <c r="C19" s="109">
        <v>0</v>
      </c>
      <c r="D19" s="109">
        <v>0</v>
      </c>
      <c r="E19" s="109">
        <v>0</v>
      </c>
      <c r="F19" s="109">
        <v>0</v>
      </c>
      <c r="G19" s="109">
        <v>0</v>
      </c>
      <c r="H19" s="390">
        <v>0</v>
      </c>
      <c r="I19" s="391">
        <v>0</v>
      </c>
      <c r="J19" s="109"/>
      <c r="K19" s="109"/>
      <c r="L19" s="109"/>
      <c r="M19" s="109"/>
      <c r="N19" s="517">
        <f t="shared" si="3"/>
        <v>0</v>
      </c>
      <c r="O19" s="241">
        <f>'B5-Capex'!K58</f>
        <v>0</v>
      </c>
      <c r="P19" s="75">
        <f>'B5-Capex'!L58</f>
        <v>0</v>
      </c>
      <c r="Q19" s="76">
        <f>'B5-Capex'!M58</f>
        <v>0</v>
      </c>
      <c r="R19" s="128"/>
    </row>
    <row r="20" spans="1:20" ht="12.75" customHeight="1" x14ac:dyDescent="0.25">
      <c r="A20" s="107" t="str">
        <f>'B2-FinPerf SC'!A21</f>
        <v>Trading services</v>
      </c>
      <c r="B20" s="129"/>
      <c r="C20" s="921">
        <f>SUM(C21:C24)</f>
        <v>4267278.21</v>
      </c>
      <c r="D20" s="922">
        <f t="shared" ref="D20:M20" si="6">SUM(D21:D24)</f>
        <v>9361365.4700000007</v>
      </c>
      <c r="E20" s="922">
        <f t="shared" si="6"/>
        <v>8754377.1099999994</v>
      </c>
      <c r="F20" s="922">
        <f t="shared" si="6"/>
        <v>7792370.4099999992</v>
      </c>
      <c r="G20" s="922">
        <f t="shared" si="6"/>
        <v>14055310.93</v>
      </c>
      <c r="H20" s="923">
        <f t="shared" si="6"/>
        <v>12997095.840000002</v>
      </c>
      <c r="I20" s="921">
        <f t="shared" si="6"/>
        <v>3573381</v>
      </c>
      <c r="J20" s="922">
        <f t="shared" si="6"/>
        <v>24000000</v>
      </c>
      <c r="K20" s="922">
        <f t="shared" si="6"/>
        <v>34459000</v>
      </c>
      <c r="L20" s="922">
        <f t="shared" si="6"/>
        <v>41500000</v>
      </c>
      <c r="M20" s="922">
        <f t="shared" si="6"/>
        <v>35000000</v>
      </c>
      <c r="N20" s="924">
        <f t="shared" si="3"/>
        <v>25938141.030000001</v>
      </c>
      <c r="O20" s="788">
        <f>'B5-Capex'!K59</f>
        <v>221698320</v>
      </c>
      <c r="P20" s="789">
        <f>'B5-Capex'!L59</f>
        <v>183850000</v>
      </c>
      <c r="Q20" s="791">
        <f>'B5-Capex'!M59</f>
        <v>236932000</v>
      </c>
      <c r="R20" s="128"/>
    </row>
    <row r="21" spans="1:20" ht="12.75" customHeight="1" x14ac:dyDescent="0.25">
      <c r="A21" s="108" t="str">
        <f>'B2-FinPerf SC'!A22</f>
        <v>Electricity</v>
      </c>
      <c r="B21" s="129"/>
      <c r="C21" s="109">
        <v>134200</v>
      </c>
      <c r="D21" s="109">
        <v>570392.64</v>
      </c>
      <c r="E21" s="109">
        <v>144657.48000000001</v>
      </c>
      <c r="F21" s="109">
        <v>0</v>
      </c>
      <c r="G21" s="109">
        <v>0</v>
      </c>
      <c r="H21" s="390">
        <v>211247.8</v>
      </c>
      <c r="I21" s="391">
        <v>17768</v>
      </c>
      <c r="J21" s="109"/>
      <c r="K21" s="109"/>
      <c r="L21" s="109"/>
      <c r="M21" s="109"/>
      <c r="N21" s="517">
        <f t="shared" si="3"/>
        <v>10671734.08</v>
      </c>
      <c r="O21" s="241">
        <f>'B5-Capex'!K60</f>
        <v>11750000</v>
      </c>
      <c r="P21" s="75">
        <f>'B5-Capex'!L60</f>
        <v>59800000</v>
      </c>
      <c r="Q21" s="76">
        <f>'B5-Capex'!M60</f>
        <v>68700000</v>
      </c>
      <c r="R21" s="128"/>
    </row>
    <row r="22" spans="1:20" ht="12.75" customHeight="1" x14ac:dyDescent="0.25">
      <c r="A22" s="108" t="str">
        <f>'B2-FinPerf SC'!A23</f>
        <v>Water</v>
      </c>
      <c r="B22" s="129"/>
      <c r="C22" s="109">
        <v>3783690</v>
      </c>
      <c r="D22" s="109">
        <v>8638397.5800000001</v>
      </c>
      <c r="E22" s="109">
        <v>8604522.629999999</v>
      </c>
      <c r="F22" s="109">
        <v>7792370.4099999992</v>
      </c>
      <c r="G22" s="109">
        <f>12221833.66</f>
        <v>12221833.66</v>
      </c>
      <c r="H22" s="390">
        <v>12042726.200000001</v>
      </c>
      <c r="I22" s="391">
        <f>2906491+649122</f>
        <v>3555613</v>
      </c>
      <c r="J22" s="109">
        <f>25000000-1000000</f>
        <v>24000000</v>
      </c>
      <c r="K22" s="109">
        <f>20150000+14309000</f>
        <v>34459000</v>
      </c>
      <c r="L22" s="109">
        <f>31000000+10500000</f>
        <v>41500000</v>
      </c>
      <c r="M22" s="109">
        <v>35000000</v>
      </c>
      <c r="N22" s="517">
        <f t="shared" si="3"/>
        <v>15205543.519999981</v>
      </c>
      <c r="O22" s="241">
        <f>'B5-Capex'!K61</f>
        <v>206803697</v>
      </c>
      <c r="P22" s="75">
        <f>'B5-Capex'!L61</f>
        <v>114364000</v>
      </c>
      <c r="Q22" s="76">
        <f>'B5-Capex'!M61</f>
        <v>154182000</v>
      </c>
      <c r="R22" s="128"/>
    </row>
    <row r="23" spans="1:20" ht="12.75" customHeight="1" x14ac:dyDescent="0.25">
      <c r="A23" s="108" t="str">
        <f>'B2-FinPerf SC'!A24</f>
        <v>Waste water management</v>
      </c>
      <c r="B23" s="129"/>
      <c r="C23" s="111">
        <v>184388.21</v>
      </c>
      <c r="D23" s="111">
        <v>152575.25</v>
      </c>
      <c r="E23" s="111">
        <v>5197</v>
      </c>
      <c r="F23" s="111">
        <v>0</v>
      </c>
      <c r="G23" s="111">
        <v>153702.85</v>
      </c>
      <c r="H23" s="565">
        <v>75477.84</v>
      </c>
      <c r="I23" s="566">
        <v>0</v>
      </c>
      <c r="J23" s="111"/>
      <c r="K23" s="111"/>
      <c r="L23" s="111"/>
      <c r="M23" s="111"/>
      <c r="N23" s="517">
        <f t="shared" si="3"/>
        <v>24018.850000000093</v>
      </c>
      <c r="O23" s="241">
        <f>'B5-Capex'!K62</f>
        <v>595360</v>
      </c>
      <c r="P23" s="75">
        <f>'B5-Capex'!L62</f>
        <v>3000000</v>
      </c>
      <c r="Q23" s="76">
        <f>'B5-Capex'!M62</f>
        <v>2750000</v>
      </c>
      <c r="R23" s="128"/>
    </row>
    <row r="24" spans="1:20" ht="12.75" customHeight="1" x14ac:dyDescent="0.25">
      <c r="A24" s="108" t="str">
        <f>'B2-FinPerf SC'!A25</f>
        <v>Waste management</v>
      </c>
      <c r="B24" s="129"/>
      <c r="C24" s="109">
        <v>165000</v>
      </c>
      <c r="D24" s="109">
        <v>0</v>
      </c>
      <c r="E24" s="109">
        <v>0</v>
      </c>
      <c r="F24" s="109">
        <v>0</v>
      </c>
      <c r="G24" s="109">
        <v>1679774.42</v>
      </c>
      <c r="H24" s="390">
        <v>667644</v>
      </c>
      <c r="I24" s="391">
        <v>0</v>
      </c>
      <c r="J24" s="109"/>
      <c r="K24" s="109"/>
      <c r="L24" s="109"/>
      <c r="M24" s="109"/>
      <c r="N24" s="517">
        <f t="shared" si="3"/>
        <v>36844.580000000075</v>
      </c>
      <c r="O24" s="241">
        <f>'B5-Capex'!K63</f>
        <v>2549263</v>
      </c>
      <c r="P24" s="75">
        <f>'B5-Capex'!L63</f>
        <v>6686000</v>
      </c>
      <c r="Q24" s="76">
        <f>'B5-Capex'!M63</f>
        <v>11300000</v>
      </c>
      <c r="R24" s="128"/>
    </row>
    <row r="25" spans="1:20" ht="12.75" customHeight="1" x14ac:dyDescent="0.25">
      <c r="A25" s="107" t="str">
        <f>'B2-FinPerf SC'!A26</f>
        <v>Other</v>
      </c>
      <c r="B25" s="129"/>
      <c r="C25" s="830">
        <v>0</v>
      </c>
      <c r="D25" s="830">
        <v>0</v>
      </c>
      <c r="E25" s="830">
        <v>0</v>
      </c>
      <c r="F25" s="830">
        <v>0</v>
      </c>
      <c r="G25" s="830">
        <v>0</v>
      </c>
      <c r="H25" s="915">
        <v>0</v>
      </c>
      <c r="I25" s="916">
        <v>0</v>
      </c>
      <c r="J25" s="830"/>
      <c r="K25" s="830"/>
      <c r="L25" s="830"/>
      <c r="M25" s="830"/>
      <c r="N25" s="525">
        <f t="shared" si="3"/>
        <v>0</v>
      </c>
      <c r="O25" s="485">
        <f>'B5-Capex'!K64</f>
        <v>0</v>
      </c>
      <c r="P25" s="141">
        <f>'B5-Capex'!L64</f>
        <v>0</v>
      </c>
      <c r="Q25" s="142">
        <f>'B5-Capex'!M64</f>
        <v>0</v>
      </c>
      <c r="R25" s="128"/>
    </row>
    <row r="26" spans="1:20" ht="12.75" customHeight="1" x14ac:dyDescent="0.25">
      <c r="A26" s="592" t="s">
        <v>482</v>
      </c>
      <c r="B26" s="593"/>
      <c r="C26" s="701">
        <f>C6+C10+C16+C20+C25</f>
        <v>5366149.72</v>
      </c>
      <c r="D26" s="701">
        <f t="shared" ref="D26:N26" si="7">D6+D10+D16+D20+D25</f>
        <v>15024352.32</v>
      </c>
      <c r="E26" s="701">
        <f t="shared" si="7"/>
        <v>29542279.670000002</v>
      </c>
      <c r="F26" s="701">
        <f t="shared" si="7"/>
        <v>28880471.709999997</v>
      </c>
      <c r="G26" s="701">
        <f t="shared" si="7"/>
        <v>31444520.07</v>
      </c>
      <c r="H26" s="702">
        <f t="shared" si="7"/>
        <v>49119017.210000001</v>
      </c>
      <c r="I26" s="703">
        <f t="shared" si="7"/>
        <v>41168057</v>
      </c>
      <c r="J26" s="701">
        <f t="shared" si="7"/>
        <v>78000000</v>
      </c>
      <c r="K26" s="701">
        <f t="shared" si="7"/>
        <v>83396100</v>
      </c>
      <c r="L26" s="701">
        <f t="shared" si="7"/>
        <v>93956200</v>
      </c>
      <c r="M26" s="701">
        <f t="shared" si="7"/>
        <v>118696764.39</v>
      </c>
      <c r="N26" s="704">
        <f t="shared" si="7"/>
        <v>51691423.909999996</v>
      </c>
      <c r="O26" s="703">
        <f>O6+O10+O16+O20+O25</f>
        <v>626285336</v>
      </c>
      <c r="P26" s="705">
        <f>P6+P10+P16+P20+P25</f>
        <v>595848000</v>
      </c>
      <c r="Q26" s="706">
        <f>Q6+Q10+Q16+Q20+Q25</f>
        <v>637695950</v>
      </c>
      <c r="R26" s="128"/>
    </row>
    <row r="27" spans="1:20" ht="12.75" customHeight="1" x14ac:dyDescent="0.25">
      <c r="A27" s="594" t="str">
        <f>head27a</f>
        <v>References</v>
      </c>
      <c r="B27" s="595"/>
      <c r="C27" s="554"/>
      <c r="D27" s="554"/>
      <c r="E27" s="554"/>
      <c r="F27" s="554"/>
      <c r="G27" s="554"/>
      <c r="H27" s="554"/>
      <c r="I27" s="554"/>
      <c r="J27" s="554"/>
      <c r="K27" s="554"/>
      <c r="L27" s="554"/>
      <c r="M27" s="554"/>
      <c r="N27" s="554"/>
      <c r="O27" s="554"/>
      <c r="P27" s="554"/>
      <c r="Q27" s="554"/>
      <c r="R27" s="128"/>
      <c r="S27" s="128"/>
      <c r="T27" s="128"/>
    </row>
    <row r="28" spans="1:20" ht="12.75" customHeight="1" x14ac:dyDescent="0.25">
      <c r="A28" s="99" t="s">
        <v>480</v>
      </c>
      <c r="B28" s="48"/>
      <c r="C28" s="554"/>
      <c r="D28" s="554"/>
      <c r="E28" s="554"/>
      <c r="F28" s="554"/>
      <c r="G28" s="554"/>
      <c r="H28" s="554"/>
      <c r="I28" s="554"/>
      <c r="J28" s="554"/>
      <c r="K28" s="554"/>
      <c r="L28" s="554"/>
      <c r="M28" s="554"/>
      <c r="N28" s="554"/>
      <c r="O28" s="554"/>
      <c r="P28" s="554"/>
      <c r="Q28" s="554"/>
      <c r="R28" s="128"/>
      <c r="S28" s="128"/>
      <c r="T28" s="128"/>
    </row>
    <row r="29" spans="1:20" ht="12.75" customHeight="1" x14ac:dyDescent="0.25">
      <c r="A29" s="99" t="s">
        <v>483</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20" t="s">
        <v>5</v>
      </c>
      <c r="B31" s="320"/>
      <c r="O31" s="168">
        <f>O26-'B5-Capex'!K65</f>
        <v>0</v>
      </c>
      <c r="P31" s="168">
        <f>P26-'B5-Capex'!L65</f>
        <v>0</v>
      </c>
      <c r="Q31" s="168">
        <f>Q26-'B5-Capex'!M65</f>
        <v>0</v>
      </c>
    </row>
    <row r="56" spans="2:2"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142"/>
  <sheetViews>
    <sheetView showGridLines="0" zoomScaleNormal="100" workbookViewId="0">
      <pane xSplit="2" ySplit="5" topLeftCell="C72" activePane="bottomRight" state="frozen"/>
      <selection activeCell="C6" sqref="C6"/>
      <selection pane="topRight" activeCell="C6" sqref="C6"/>
      <selection pane="bottomLeft" activeCell="C6" sqref="C6"/>
      <selection pane="bottomRight" activeCell="K79" sqref="K79"/>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"&amp;ADJB18a&amp;" - "&amp;Date</f>
        <v>LIM354 Polokwane - Supporting Table SB18a Adjustments Budget - capital expenditure on new assets by asset class - 25 February 2016</v>
      </c>
      <c r="B1" s="5"/>
      <c r="C1" s="58"/>
    </row>
    <row r="2" spans="1:14" ht="25.5" x14ac:dyDescent="0.25">
      <c r="A2" s="1318" t="str">
        <f>desc</f>
        <v>Description</v>
      </c>
      <c r="B2" s="1318" t="str">
        <f>head27</f>
        <v>Ref</v>
      </c>
      <c r="C2" s="1315" t="str">
        <f>Head2</f>
        <v>Budget Year 2015/16</v>
      </c>
      <c r="D2" s="1316"/>
      <c r="E2" s="1316"/>
      <c r="F2" s="1316"/>
      <c r="G2" s="1316"/>
      <c r="H2" s="1316"/>
      <c r="I2" s="1316"/>
      <c r="J2" s="1316"/>
      <c r="K2" s="1317"/>
      <c r="L2" s="170" t="str">
        <f>Head10</f>
        <v>Budget Year +1 2016/17</v>
      </c>
      <c r="M2" s="171" t="str">
        <f>Head11</f>
        <v>Budget Year +2 2017/18</v>
      </c>
    </row>
    <row r="3" spans="1:14" ht="25.5" x14ac:dyDescent="0.25">
      <c r="A3" s="1319"/>
      <c r="B3" s="13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19"/>
      <c r="B4" s="1319"/>
      <c r="C4" s="65"/>
      <c r="D4" s="15">
        <v>7</v>
      </c>
      <c r="E4" s="15">
        <v>8</v>
      </c>
      <c r="F4" s="15">
        <v>9</v>
      </c>
      <c r="G4" s="15">
        <v>10</v>
      </c>
      <c r="H4" s="15">
        <v>11</v>
      </c>
      <c r="I4" s="15">
        <v>12</v>
      </c>
      <c r="J4" s="15">
        <v>13</v>
      </c>
      <c r="K4" s="15">
        <v>14</v>
      </c>
      <c r="L4" s="15"/>
      <c r="M4" s="17"/>
    </row>
    <row r="5" spans="1:14" x14ac:dyDescent="0.25">
      <c r="A5" s="66" t="s">
        <v>641</v>
      </c>
      <c r="B5" s="104"/>
      <c r="C5" s="67" t="s">
        <v>581</v>
      </c>
      <c r="D5" s="68" t="s">
        <v>582</v>
      </c>
      <c r="E5" s="68" t="s">
        <v>583</v>
      </c>
      <c r="F5" s="69" t="s">
        <v>584</v>
      </c>
      <c r="G5" s="69" t="s">
        <v>585</v>
      </c>
      <c r="H5" s="69" t="s">
        <v>586</v>
      </c>
      <c r="I5" s="70" t="s">
        <v>587</v>
      </c>
      <c r="J5" s="70" t="s">
        <v>588</v>
      </c>
      <c r="K5" s="70" t="s">
        <v>589</v>
      </c>
      <c r="L5" s="70"/>
      <c r="M5" s="71"/>
    </row>
    <row r="6" spans="1:14" ht="12.75" customHeight="1" x14ac:dyDescent="0.25">
      <c r="A6" s="873" t="s">
        <v>1344</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828</v>
      </c>
      <c r="B8" s="73"/>
      <c r="C8" s="707">
        <f t="shared" ref="C8:M8" si="0">C9+C12+C16+C20+C23</f>
        <v>362945000</v>
      </c>
      <c r="D8" s="707">
        <f t="shared" si="0"/>
        <v>0</v>
      </c>
      <c r="E8" s="707">
        <f t="shared" si="0"/>
        <v>0</v>
      </c>
      <c r="F8" s="707">
        <f t="shared" si="0"/>
        <v>0</v>
      </c>
      <c r="G8" s="707">
        <f t="shared" si="0"/>
        <v>0</v>
      </c>
      <c r="H8" s="707">
        <f t="shared" si="0"/>
        <v>42577988.000000007</v>
      </c>
      <c r="I8" s="707">
        <f t="shared" si="0"/>
        <v>3649524.1599999703</v>
      </c>
      <c r="J8" s="708">
        <f>SUM(E8:I8)</f>
        <v>46227512.159999982</v>
      </c>
      <c r="K8" s="708">
        <f>IF(D8=0,C8+J8,D8+J8)</f>
        <v>409172512.15999997</v>
      </c>
      <c r="L8" s="707">
        <f t="shared" si="0"/>
        <v>338105000</v>
      </c>
      <c r="M8" s="709">
        <f t="shared" si="0"/>
        <v>346445950</v>
      </c>
      <c r="N8" s="863"/>
    </row>
    <row r="9" spans="1:14" ht="12.75" customHeight="1" x14ac:dyDescent="0.25">
      <c r="A9" s="597" t="s">
        <v>484</v>
      </c>
      <c r="B9" s="73"/>
      <c r="C9" s="266">
        <f t="shared" ref="C9:M9" si="1">SUM(C10:C11)</f>
        <v>23956000</v>
      </c>
      <c r="D9" s="266">
        <f t="shared" si="1"/>
        <v>0</v>
      </c>
      <c r="E9" s="266">
        <f t="shared" si="1"/>
        <v>0</v>
      </c>
      <c r="F9" s="266">
        <f t="shared" si="1"/>
        <v>0</v>
      </c>
      <c r="G9" s="266">
        <f t="shared" si="1"/>
        <v>0</v>
      </c>
      <c r="H9" s="266">
        <f t="shared" si="1"/>
        <v>13694701.780000007</v>
      </c>
      <c r="I9" s="266">
        <f t="shared" si="1"/>
        <v>0</v>
      </c>
      <c r="J9" s="75">
        <f t="shared" ref="J9:J29" si="2">SUM(E9:I9)</f>
        <v>13694701.780000007</v>
      </c>
      <c r="K9" s="75">
        <f t="shared" ref="K9:K29" si="3">IF(D9=0,C9+J9,D9+J9)</f>
        <v>37650701.780000009</v>
      </c>
      <c r="L9" s="266">
        <f t="shared" si="1"/>
        <v>28080000</v>
      </c>
      <c r="M9" s="267">
        <f t="shared" si="1"/>
        <v>34488000</v>
      </c>
      <c r="N9" s="128"/>
    </row>
    <row r="10" spans="1:14" ht="12.75" customHeight="1" x14ac:dyDescent="0.25">
      <c r="A10" s="598" t="s">
        <v>485</v>
      </c>
      <c r="B10" s="73"/>
      <c r="C10" s="109">
        <v>23956000</v>
      </c>
      <c r="D10" s="109"/>
      <c r="E10" s="109"/>
      <c r="F10" s="109"/>
      <c r="G10" s="109"/>
      <c r="H10" s="109">
        <f>13563134.38+131567.400000006</f>
        <v>13694701.780000007</v>
      </c>
      <c r="I10" s="1279" t="s">
        <v>2079</v>
      </c>
      <c r="J10" s="75">
        <f t="shared" si="2"/>
        <v>13694701.780000007</v>
      </c>
      <c r="K10" s="75">
        <f t="shared" si="3"/>
        <v>37650701.780000009</v>
      </c>
      <c r="L10" s="109">
        <v>28080000</v>
      </c>
      <c r="M10" s="110">
        <v>34488000</v>
      </c>
      <c r="N10" s="863"/>
    </row>
    <row r="11" spans="1:14" ht="12.75" customHeight="1" x14ac:dyDescent="0.25">
      <c r="A11" s="598" t="s">
        <v>486</v>
      </c>
      <c r="B11" s="73"/>
      <c r="C11" s="109">
        <v>0</v>
      </c>
      <c r="D11" s="109"/>
      <c r="E11" s="109"/>
      <c r="F11" s="109"/>
      <c r="G11" s="109"/>
      <c r="H11" s="109"/>
      <c r="I11" s="109"/>
      <c r="J11" s="75">
        <f t="shared" si="2"/>
        <v>0</v>
      </c>
      <c r="K11" s="75">
        <f t="shared" si="3"/>
        <v>0</v>
      </c>
      <c r="L11" s="109">
        <v>0</v>
      </c>
      <c r="M11" s="110">
        <v>0</v>
      </c>
      <c r="N11" s="868"/>
    </row>
    <row r="12" spans="1:14" ht="12.75" customHeight="1" x14ac:dyDescent="0.25">
      <c r="A12" s="597" t="s">
        <v>487</v>
      </c>
      <c r="B12" s="73"/>
      <c r="C12" s="132">
        <f t="shared" ref="C12:M12" si="4">SUM(C13:C15)</f>
        <v>6800000</v>
      </c>
      <c r="D12" s="132">
        <f t="shared" si="4"/>
        <v>0</v>
      </c>
      <c r="E12" s="132">
        <f t="shared" si="4"/>
        <v>0</v>
      </c>
      <c r="F12" s="132">
        <f t="shared" si="4"/>
        <v>0</v>
      </c>
      <c r="G12" s="132">
        <f t="shared" si="4"/>
        <v>0</v>
      </c>
      <c r="H12" s="132">
        <f t="shared" si="4"/>
        <v>0</v>
      </c>
      <c r="I12" s="132">
        <f t="shared" si="4"/>
        <v>0</v>
      </c>
      <c r="J12" s="75">
        <f t="shared" si="2"/>
        <v>0</v>
      </c>
      <c r="K12" s="75">
        <f t="shared" si="3"/>
        <v>6800000</v>
      </c>
      <c r="L12" s="132">
        <f t="shared" si="4"/>
        <v>17800000</v>
      </c>
      <c r="M12" s="133">
        <f t="shared" si="4"/>
        <v>20900000</v>
      </c>
      <c r="N12" s="868"/>
    </row>
    <row r="13" spans="1:14" ht="12.75" customHeight="1" x14ac:dyDescent="0.25">
      <c r="A13" s="598" t="s">
        <v>488</v>
      </c>
      <c r="B13" s="73"/>
      <c r="C13" s="109">
        <v>2000000</v>
      </c>
      <c r="D13" s="109"/>
      <c r="E13" s="109"/>
      <c r="F13" s="109"/>
      <c r="G13" s="109"/>
      <c r="H13" s="109"/>
      <c r="I13" s="109"/>
      <c r="J13" s="75">
        <f t="shared" si="2"/>
        <v>0</v>
      </c>
      <c r="K13" s="75">
        <f t="shared" si="3"/>
        <v>2000000</v>
      </c>
      <c r="L13" s="109">
        <v>10800000</v>
      </c>
      <c r="M13" s="110">
        <v>11400000</v>
      </c>
      <c r="N13" s="868"/>
    </row>
    <row r="14" spans="1:14" ht="12.75" customHeight="1" x14ac:dyDescent="0.25">
      <c r="A14" s="598" t="s">
        <v>489</v>
      </c>
      <c r="B14" s="73"/>
      <c r="C14" s="109">
        <v>0</v>
      </c>
      <c r="D14" s="109"/>
      <c r="E14" s="109"/>
      <c r="F14" s="109"/>
      <c r="G14" s="109"/>
      <c r="H14" s="109"/>
      <c r="I14" s="109"/>
      <c r="J14" s="75">
        <f t="shared" si="2"/>
        <v>0</v>
      </c>
      <c r="K14" s="75">
        <f t="shared" si="3"/>
        <v>0</v>
      </c>
      <c r="L14" s="109">
        <v>0</v>
      </c>
      <c r="M14" s="110">
        <v>0</v>
      </c>
      <c r="N14" s="868"/>
    </row>
    <row r="15" spans="1:14" ht="12.75" customHeight="1" x14ac:dyDescent="0.25">
      <c r="A15" s="598" t="s">
        <v>490</v>
      </c>
      <c r="B15" s="73"/>
      <c r="C15" s="109">
        <v>4800000</v>
      </c>
      <c r="D15" s="109"/>
      <c r="E15" s="109"/>
      <c r="F15" s="109"/>
      <c r="G15" s="109"/>
      <c r="H15" s="109"/>
      <c r="I15" s="109"/>
      <c r="J15" s="75">
        <f t="shared" si="2"/>
        <v>0</v>
      </c>
      <c r="K15" s="75">
        <f t="shared" si="3"/>
        <v>4800000</v>
      </c>
      <c r="L15" s="109">
        <v>7000000</v>
      </c>
      <c r="M15" s="110">
        <v>9500000</v>
      </c>
      <c r="N15" s="868"/>
    </row>
    <row r="16" spans="1:14" ht="12.75" customHeight="1" x14ac:dyDescent="0.25">
      <c r="A16" s="599" t="s">
        <v>491</v>
      </c>
      <c r="B16" s="73"/>
      <c r="C16" s="132">
        <f t="shared" ref="C16:M16" si="5">SUM(C17:C19)</f>
        <v>162500000</v>
      </c>
      <c r="D16" s="132">
        <f t="shared" si="5"/>
        <v>0</v>
      </c>
      <c r="E16" s="132">
        <f t="shared" si="5"/>
        <v>0</v>
      </c>
      <c r="F16" s="132">
        <f t="shared" si="5"/>
        <v>0</v>
      </c>
      <c r="G16" s="132">
        <f t="shared" si="5"/>
        <v>0</v>
      </c>
      <c r="H16" s="132">
        <f t="shared" si="5"/>
        <v>715418.19000000134</v>
      </c>
      <c r="I16" s="132">
        <f t="shared" si="5"/>
        <v>5149524.1599999703</v>
      </c>
      <c r="J16" s="75">
        <f t="shared" si="2"/>
        <v>5864942.3499999717</v>
      </c>
      <c r="K16" s="75">
        <f t="shared" si="3"/>
        <v>168364942.34999996</v>
      </c>
      <c r="L16" s="132">
        <f t="shared" si="5"/>
        <v>133364000</v>
      </c>
      <c r="M16" s="133">
        <f t="shared" si="5"/>
        <v>140682000</v>
      </c>
      <c r="N16" s="868"/>
    </row>
    <row r="17" spans="1:14" ht="12.75" customHeight="1" x14ac:dyDescent="0.25">
      <c r="A17" s="598" t="s">
        <v>492</v>
      </c>
      <c r="B17" s="73"/>
      <c r="C17" s="109"/>
      <c r="D17" s="109"/>
      <c r="E17" s="109"/>
      <c r="F17" s="109"/>
      <c r="G17" s="109"/>
      <c r="H17" s="109">
        <v>715418.19000000134</v>
      </c>
      <c r="I17" s="109"/>
      <c r="J17" s="75">
        <f t="shared" si="2"/>
        <v>715418.19000000134</v>
      </c>
      <c r="K17" s="75">
        <f t="shared" si="3"/>
        <v>715418.19000000134</v>
      </c>
      <c r="L17" s="109"/>
      <c r="M17" s="110"/>
      <c r="N17" s="868"/>
    </row>
    <row r="18" spans="1:14" ht="12.75" customHeight="1" x14ac:dyDescent="0.25">
      <c r="A18" s="598" t="s">
        <v>493</v>
      </c>
      <c r="B18" s="73"/>
      <c r="C18" s="109"/>
      <c r="D18" s="109"/>
      <c r="E18" s="109"/>
      <c r="F18" s="109"/>
      <c r="G18" s="109"/>
      <c r="H18" s="109"/>
      <c r="I18" s="109"/>
      <c r="J18" s="75">
        <f t="shared" si="2"/>
        <v>0</v>
      </c>
      <c r="K18" s="75">
        <f t="shared" si="3"/>
        <v>0</v>
      </c>
      <c r="L18" s="109"/>
      <c r="M18" s="110"/>
      <c r="N18" s="868"/>
    </row>
    <row r="19" spans="1:14" ht="12.75" customHeight="1" x14ac:dyDescent="0.25">
      <c r="A19" s="598" t="s">
        <v>494</v>
      </c>
      <c r="B19" s="73"/>
      <c r="C19" s="109">
        <v>162500000</v>
      </c>
      <c r="D19" s="109"/>
      <c r="E19" s="109"/>
      <c r="F19" s="109"/>
      <c r="G19" s="109"/>
      <c r="H19" s="109"/>
      <c r="I19" s="109">
        <v>5149524.1599999703</v>
      </c>
      <c r="J19" s="75">
        <f t="shared" si="2"/>
        <v>5149524.1599999703</v>
      </c>
      <c r="K19" s="75">
        <f t="shared" si="3"/>
        <v>167649524.15999997</v>
      </c>
      <c r="L19" s="109">
        <v>133364000</v>
      </c>
      <c r="M19" s="110">
        <v>140682000</v>
      </c>
      <c r="N19" s="868"/>
    </row>
    <row r="20" spans="1:14" ht="12.75" customHeight="1" x14ac:dyDescent="0.25">
      <c r="A20" s="599" t="s">
        <v>495</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2500000</v>
      </c>
      <c r="M20" s="133">
        <f t="shared" si="6"/>
        <v>2750000</v>
      </c>
      <c r="N20" s="868"/>
    </row>
    <row r="21" spans="1:14" ht="12.75" customHeight="1" x14ac:dyDescent="0.25">
      <c r="A21" s="598" t="s">
        <v>494</v>
      </c>
      <c r="B21" s="73"/>
      <c r="C21" s="109"/>
      <c r="D21" s="109"/>
      <c r="E21" s="109"/>
      <c r="F21" s="109"/>
      <c r="G21" s="109"/>
      <c r="H21" s="109"/>
      <c r="I21" s="109"/>
      <c r="J21" s="75">
        <f t="shared" si="2"/>
        <v>0</v>
      </c>
      <c r="K21" s="75">
        <f t="shared" si="3"/>
        <v>0</v>
      </c>
      <c r="L21" s="109">
        <v>2500000</v>
      </c>
      <c r="M21" s="110">
        <v>2750000</v>
      </c>
      <c r="N21" s="868"/>
    </row>
    <row r="22" spans="1:14" ht="12.75" customHeight="1" x14ac:dyDescent="0.25">
      <c r="A22" s="598" t="s">
        <v>496</v>
      </c>
      <c r="B22" s="73"/>
      <c r="C22" s="109"/>
      <c r="D22" s="109"/>
      <c r="E22" s="109"/>
      <c r="F22" s="109"/>
      <c r="G22" s="109"/>
      <c r="H22" s="109"/>
      <c r="I22" s="109"/>
      <c r="J22" s="75">
        <f t="shared" si="2"/>
        <v>0</v>
      </c>
      <c r="K22" s="75">
        <f t="shared" si="3"/>
        <v>0</v>
      </c>
      <c r="L22" s="109">
        <v>0</v>
      </c>
      <c r="M22" s="110">
        <v>0</v>
      </c>
      <c r="N22" s="868"/>
    </row>
    <row r="23" spans="1:14" ht="12.75" customHeight="1" x14ac:dyDescent="0.25">
      <c r="A23" s="597" t="s">
        <v>497</v>
      </c>
      <c r="B23" s="73"/>
      <c r="C23" s="132">
        <f t="shared" ref="C23:M23" si="7">SUM(C24:C27)</f>
        <v>169689000</v>
      </c>
      <c r="D23" s="132">
        <f t="shared" si="7"/>
        <v>0</v>
      </c>
      <c r="E23" s="132">
        <f t="shared" si="7"/>
        <v>0</v>
      </c>
      <c r="F23" s="132">
        <f t="shared" si="7"/>
        <v>0</v>
      </c>
      <c r="G23" s="132">
        <f t="shared" si="7"/>
        <v>0</v>
      </c>
      <c r="H23" s="132">
        <f t="shared" si="7"/>
        <v>28167868.030000001</v>
      </c>
      <c r="I23" s="132">
        <f t="shared" si="7"/>
        <v>-1500000</v>
      </c>
      <c r="J23" s="75">
        <f t="shared" si="2"/>
        <v>26667868.030000001</v>
      </c>
      <c r="K23" s="75">
        <f t="shared" si="3"/>
        <v>196356868.03</v>
      </c>
      <c r="L23" s="132">
        <f t="shared" si="7"/>
        <v>156361000</v>
      </c>
      <c r="M23" s="133">
        <f t="shared" si="7"/>
        <v>147625950</v>
      </c>
      <c r="N23" s="868"/>
    </row>
    <row r="24" spans="1:14" ht="12.75" customHeight="1" x14ac:dyDescent="0.25">
      <c r="A24" s="600" t="s">
        <v>1233</v>
      </c>
      <c r="B24" s="73"/>
      <c r="C24" s="109">
        <v>0</v>
      </c>
      <c r="D24" s="109"/>
      <c r="E24" s="109"/>
      <c r="F24" s="109"/>
      <c r="G24" s="109"/>
      <c r="H24" s="109"/>
      <c r="I24" s="109"/>
      <c r="J24" s="75">
        <f t="shared" si="2"/>
        <v>0</v>
      </c>
      <c r="K24" s="75">
        <f t="shared" si="3"/>
        <v>0</v>
      </c>
      <c r="L24" s="109">
        <v>0</v>
      </c>
      <c r="M24" s="110">
        <v>0</v>
      </c>
      <c r="N24" s="868"/>
    </row>
    <row r="25" spans="1:14" ht="12.75" customHeight="1" x14ac:dyDescent="0.25">
      <c r="A25" s="600" t="s">
        <v>498</v>
      </c>
      <c r="B25" s="73">
        <v>2</v>
      </c>
      <c r="C25" s="109">
        <v>169689000</v>
      </c>
      <c r="D25" s="109"/>
      <c r="E25" s="109"/>
      <c r="F25" s="109"/>
      <c r="G25" s="109"/>
      <c r="H25" s="109">
        <f>28167868.03</f>
        <v>28167868.030000001</v>
      </c>
      <c r="I25" s="109">
        <v>-1500000</v>
      </c>
      <c r="J25" s="75">
        <f t="shared" si="2"/>
        <v>26667868.030000001</v>
      </c>
      <c r="K25" s="75">
        <f t="shared" si="3"/>
        <v>196356868.03</v>
      </c>
      <c r="L25" s="109">
        <v>156361000</v>
      </c>
      <c r="M25" s="110">
        <v>147625950</v>
      </c>
      <c r="N25" s="868"/>
    </row>
    <row r="26" spans="1:14" ht="12.75" customHeight="1" x14ac:dyDescent="0.25">
      <c r="A26" s="600" t="s">
        <v>499</v>
      </c>
      <c r="B26" s="73"/>
      <c r="C26" s="109">
        <v>0</v>
      </c>
      <c r="D26" s="109"/>
      <c r="E26" s="109"/>
      <c r="F26" s="109"/>
      <c r="G26" s="109"/>
      <c r="H26" s="109"/>
      <c r="I26" s="109"/>
      <c r="J26" s="75">
        <f t="shared" si="2"/>
        <v>0</v>
      </c>
      <c r="K26" s="75">
        <f t="shared" si="3"/>
        <v>0</v>
      </c>
      <c r="L26" s="109">
        <v>0</v>
      </c>
      <c r="M26" s="110">
        <v>0</v>
      </c>
      <c r="N26" s="868"/>
    </row>
    <row r="27" spans="1:14" ht="12.75" customHeight="1" x14ac:dyDescent="0.25">
      <c r="A27" s="600" t="s">
        <v>671</v>
      </c>
      <c r="B27" s="73">
        <v>3</v>
      </c>
      <c r="C27" s="109">
        <v>0</v>
      </c>
      <c r="D27" s="109"/>
      <c r="E27" s="109"/>
      <c r="F27" s="109"/>
      <c r="G27" s="109"/>
      <c r="H27" s="109"/>
      <c r="I27" s="109"/>
      <c r="J27" s="75">
        <f t="shared" si="2"/>
        <v>0</v>
      </c>
      <c r="K27" s="75">
        <f t="shared" si="3"/>
        <v>0</v>
      </c>
      <c r="L27" s="109">
        <v>0</v>
      </c>
      <c r="M27" s="110">
        <v>0</v>
      </c>
      <c r="N27" s="868"/>
    </row>
    <row r="28" spans="1:14" ht="5.0999999999999996" customHeight="1" x14ac:dyDescent="0.25">
      <c r="A28" s="136"/>
      <c r="B28" s="73"/>
      <c r="C28" s="74"/>
      <c r="D28" s="75"/>
      <c r="E28" s="75"/>
      <c r="F28" s="75"/>
      <c r="G28" s="75"/>
      <c r="H28" s="75"/>
      <c r="I28" s="75"/>
      <c r="J28" s="75">
        <f t="shared" si="2"/>
        <v>0</v>
      </c>
      <c r="K28" s="75">
        <f t="shared" si="3"/>
        <v>0</v>
      </c>
      <c r="L28" s="75"/>
      <c r="M28" s="76"/>
      <c r="N28" s="128"/>
    </row>
    <row r="29" spans="1:14" ht="12.75" customHeight="1" x14ac:dyDescent="0.25">
      <c r="A29" s="126" t="s">
        <v>829</v>
      </c>
      <c r="B29" s="73"/>
      <c r="C29" s="140">
        <f t="shared" ref="C29:M29" si="8">SUM(C30:C43)</f>
        <v>46983000</v>
      </c>
      <c r="D29" s="141">
        <f t="shared" si="8"/>
        <v>0</v>
      </c>
      <c r="E29" s="141">
        <f t="shared" si="8"/>
        <v>0</v>
      </c>
      <c r="F29" s="141">
        <f t="shared" si="8"/>
        <v>0</v>
      </c>
      <c r="G29" s="141">
        <f t="shared" si="8"/>
        <v>0</v>
      </c>
      <c r="H29" s="141">
        <f t="shared" si="8"/>
        <v>230667.99999999907</v>
      </c>
      <c r="I29" s="141">
        <f t="shared" si="8"/>
        <v>0</v>
      </c>
      <c r="J29" s="75">
        <f t="shared" si="2"/>
        <v>230667.99999999907</v>
      </c>
      <c r="K29" s="75">
        <f t="shared" si="3"/>
        <v>47213668</v>
      </c>
      <c r="L29" s="141">
        <f t="shared" si="8"/>
        <v>50837000</v>
      </c>
      <c r="M29" s="142">
        <f t="shared" si="8"/>
        <v>50540000</v>
      </c>
      <c r="N29" s="128"/>
    </row>
    <row r="30" spans="1:14" ht="12.75" customHeight="1" x14ac:dyDescent="0.25">
      <c r="A30" s="129" t="s">
        <v>500</v>
      </c>
      <c r="B30" s="73"/>
      <c r="C30" s="130">
        <v>2100000</v>
      </c>
      <c r="D30" s="109"/>
      <c r="E30" s="109"/>
      <c r="F30" s="109"/>
      <c r="G30" s="109"/>
      <c r="H30" s="109"/>
      <c r="I30" s="109"/>
      <c r="J30" s="75">
        <f t="shared" ref="J30:J41" si="9">SUM(E30:I30)</f>
        <v>0</v>
      </c>
      <c r="K30" s="75">
        <f t="shared" ref="K30:K41" si="10">IF(D30=0,C30+J30,D30+J30)</f>
        <v>2100000</v>
      </c>
      <c r="L30" s="109">
        <v>2100000</v>
      </c>
      <c r="M30" s="110">
        <v>2390000</v>
      </c>
      <c r="N30" s="128"/>
    </row>
    <row r="31" spans="1:14" ht="12.75" customHeight="1" x14ac:dyDescent="0.25">
      <c r="A31" s="129" t="s">
        <v>501</v>
      </c>
      <c r="B31" s="73"/>
      <c r="C31" s="130">
        <v>38000000</v>
      </c>
      <c r="D31" s="109"/>
      <c r="E31" s="109"/>
      <c r="F31" s="109"/>
      <c r="G31" s="109"/>
      <c r="H31" s="109">
        <v>230667.99999999907</v>
      </c>
      <c r="I31" s="109"/>
      <c r="J31" s="75">
        <f t="shared" si="9"/>
        <v>230667.99999999907</v>
      </c>
      <c r="K31" s="75">
        <f t="shared" si="10"/>
        <v>38230668</v>
      </c>
      <c r="L31" s="109">
        <v>44387000</v>
      </c>
      <c r="M31" s="110">
        <v>45550000</v>
      </c>
      <c r="N31" s="128"/>
    </row>
    <row r="32" spans="1:14" ht="12.75" customHeight="1" x14ac:dyDescent="0.25">
      <c r="A32" s="129" t="s">
        <v>502</v>
      </c>
      <c r="B32" s="73"/>
      <c r="C32" s="130">
        <v>0</v>
      </c>
      <c r="D32" s="109"/>
      <c r="E32" s="109"/>
      <c r="F32" s="109"/>
      <c r="G32" s="109"/>
      <c r="H32" s="109"/>
      <c r="I32" s="109"/>
      <c r="J32" s="75">
        <f t="shared" si="9"/>
        <v>0</v>
      </c>
      <c r="K32" s="75">
        <f t="shared" si="10"/>
        <v>0</v>
      </c>
      <c r="L32" s="109">
        <v>0</v>
      </c>
      <c r="M32" s="110">
        <v>0</v>
      </c>
      <c r="N32" s="128"/>
    </row>
    <row r="33" spans="1:14" ht="12.75" customHeight="1" x14ac:dyDescent="0.25">
      <c r="A33" s="129" t="s">
        <v>503</v>
      </c>
      <c r="B33" s="73"/>
      <c r="C33" s="130">
        <v>0</v>
      </c>
      <c r="D33" s="109"/>
      <c r="E33" s="109"/>
      <c r="F33" s="109"/>
      <c r="G33" s="109"/>
      <c r="H33" s="109"/>
      <c r="I33" s="109"/>
      <c r="J33" s="75">
        <f t="shared" si="9"/>
        <v>0</v>
      </c>
      <c r="K33" s="75">
        <f t="shared" si="10"/>
        <v>0</v>
      </c>
      <c r="L33" s="109">
        <v>0</v>
      </c>
      <c r="M33" s="110">
        <v>0</v>
      </c>
      <c r="N33" s="128"/>
    </row>
    <row r="34" spans="1:14" ht="12.75" customHeight="1" x14ac:dyDescent="0.25">
      <c r="A34" s="129" t="s">
        <v>504</v>
      </c>
      <c r="B34" s="73"/>
      <c r="C34" s="130">
        <v>800000</v>
      </c>
      <c r="D34" s="109"/>
      <c r="E34" s="109"/>
      <c r="F34" s="109"/>
      <c r="G34" s="109"/>
      <c r="H34" s="109"/>
      <c r="I34" s="109"/>
      <c r="J34" s="75">
        <f t="shared" si="9"/>
        <v>0</v>
      </c>
      <c r="K34" s="75">
        <f t="shared" si="10"/>
        <v>800000</v>
      </c>
      <c r="L34" s="109">
        <v>2850000</v>
      </c>
      <c r="M34" s="110">
        <v>600000</v>
      </c>
      <c r="N34" s="128"/>
    </row>
    <row r="35" spans="1:14" ht="12.75" customHeight="1" x14ac:dyDescent="0.25">
      <c r="A35" s="129" t="s">
        <v>505</v>
      </c>
      <c r="B35" s="73"/>
      <c r="C35" s="130">
        <v>0</v>
      </c>
      <c r="D35" s="109"/>
      <c r="E35" s="109"/>
      <c r="F35" s="109"/>
      <c r="G35" s="109"/>
      <c r="H35" s="109"/>
      <c r="I35" s="109"/>
      <c r="J35" s="75">
        <f t="shared" si="9"/>
        <v>0</v>
      </c>
      <c r="K35" s="75">
        <f t="shared" si="10"/>
        <v>0</v>
      </c>
      <c r="L35" s="109">
        <v>0</v>
      </c>
      <c r="M35" s="110">
        <v>0</v>
      </c>
      <c r="N35" s="128"/>
    </row>
    <row r="36" spans="1:14" ht="12.75" customHeight="1" x14ac:dyDescent="0.25">
      <c r="A36" s="129" t="s">
        <v>506</v>
      </c>
      <c r="B36" s="73"/>
      <c r="C36" s="130">
        <v>3450000</v>
      </c>
      <c r="D36" s="109"/>
      <c r="E36" s="109"/>
      <c r="F36" s="109"/>
      <c r="G36" s="109"/>
      <c r="H36" s="109"/>
      <c r="I36" s="109"/>
      <c r="J36" s="75">
        <f t="shared" si="9"/>
        <v>0</v>
      </c>
      <c r="K36" s="75">
        <f t="shared" si="10"/>
        <v>3450000</v>
      </c>
      <c r="L36" s="109">
        <v>1500000</v>
      </c>
      <c r="M36" s="110">
        <v>2000000</v>
      </c>
      <c r="N36" s="128"/>
    </row>
    <row r="37" spans="1:14" ht="12.75" customHeight="1" x14ac:dyDescent="0.25">
      <c r="A37" s="129" t="s">
        <v>507</v>
      </c>
      <c r="B37" s="73"/>
      <c r="C37" s="130">
        <v>2050000</v>
      </c>
      <c r="D37" s="109"/>
      <c r="E37" s="109"/>
      <c r="F37" s="109"/>
      <c r="G37" s="109"/>
      <c r="H37" s="109"/>
      <c r="I37" s="109"/>
      <c r="J37" s="75">
        <f t="shared" si="9"/>
        <v>0</v>
      </c>
      <c r="K37" s="75">
        <f t="shared" si="10"/>
        <v>2050000</v>
      </c>
      <c r="L37" s="109">
        <v>0</v>
      </c>
      <c r="M37" s="110">
        <v>0</v>
      </c>
      <c r="N37" s="128"/>
    </row>
    <row r="38" spans="1:14" ht="12.75" customHeight="1" x14ac:dyDescent="0.25">
      <c r="A38" s="129" t="s">
        <v>508</v>
      </c>
      <c r="B38" s="73"/>
      <c r="C38" s="130">
        <v>0</v>
      </c>
      <c r="D38" s="109"/>
      <c r="E38" s="109"/>
      <c r="F38" s="109"/>
      <c r="G38" s="109"/>
      <c r="H38" s="109"/>
      <c r="I38" s="109"/>
      <c r="J38" s="75">
        <f t="shared" si="9"/>
        <v>0</v>
      </c>
      <c r="K38" s="75">
        <f t="shared" si="10"/>
        <v>0</v>
      </c>
      <c r="L38" s="109">
        <v>0</v>
      </c>
      <c r="M38" s="110">
        <v>0</v>
      </c>
      <c r="N38" s="128"/>
    </row>
    <row r="39" spans="1:14" ht="12.75" customHeight="1" x14ac:dyDescent="0.25">
      <c r="A39" s="129" t="s">
        <v>509</v>
      </c>
      <c r="B39" s="73"/>
      <c r="C39" s="130">
        <v>0</v>
      </c>
      <c r="D39" s="109"/>
      <c r="E39" s="109"/>
      <c r="F39" s="109"/>
      <c r="G39" s="109"/>
      <c r="H39" s="109"/>
      <c r="I39" s="109"/>
      <c r="J39" s="75">
        <f t="shared" si="9"/>
        <v>0</v>
      </c>
      <c r="K39" s="75">
        <f t="shared" si="10"/>
        <v>0</v>
      </c>
      <c r="L39" s="109">
        <v>0</v>
      </c>
      <c r="M39" s="110">
        <v>0</v>
      </c>
      <c r="N39" s="128"/>
    </row>
    <row r="40" spans="1:14" ht="12.75" customHeight="1" x14ac:dyDescent="0.25">
      <c r="A40" s="129" t="s">
        <v>510</v>
      </c>
      <c r="B40" s="73"/>
      <c r="C40" s="130">
        <v>0</v>
      </c>
      <c r="D40" s="109"/>
      <c r="E40" s="109"/>
      <c r="F40" s="109"/>
      <c r="G40" s="109"/>
      <c r="H40" s="109"/>
      <c r="I40" s="109"/>
      <c r="J40" s="75">
        <f t="shared" si="9"/>
        <v>0</v>
      </c>
      <c r="K40" s="75">
        <f t="shared" si="10"/>
        <v>0</v>
      </c>
      <c r="L40" s="109">
        <v>0</v>
      </c>
      <c r="M40" s="110">
        <v>0</v>
      </c>
      <c r="N40" s="128"/>
    </row>
    <row r="41" spans="1:14" ht="12.75" customHeight="1" x14ac:dyDescent="0.25">
      <c r="A41" s="129" t="s">
        <v>511</v>
      </c>
      <c r="B41" s="73"/>
      <c r="C41" s="130">
        <v>0</v>
      </c>
      <c r="D41" s="109"/>
      <c r="E41" s="109"/>
      <c r="F41" s="109"/>
      <c r="G41" s="109"/>
      <c r="H41" s="109"/>
      <c r="I41" s="109"/>
      <c r="J41" s="75">
        <f t="shared" si="9"/>
        <v>0</v>
      </c>
      <c r="K41" s="75">
        <f t="shared" si="10"/>
        <v>0</v>
      </c>
      <c r="L41" s="109">
        <v>0</v>
      </c>
      <c r="M41" s="110">
        <v>0</v>
      </c>
      <c r="N41" s="128"/>
    </row>
    <row r="42" spans="1:14" ht="12.75" customHeight="1" x14ac:dyDescent="0.25">
      <c r="A42" s="597" t="s">
        <v>512</v>
      </c>
      <c r="B42" s="73"/>
      <c r="C42" s="130">
        <v>0</v>
      </c>
      <c r="D42" s="109"/>
      <c r="E42" s="109"/>
      <c r="F42" s="109"/>
      <c r="G42" s="109"/>
      <c r="H42" s="109"/>
      <c r="I42" s="109"/>
      <c r="J42" s="75">
        <f>SUM(E42:I42)</f>
        <v>0</v>
      </c>
      <c r="K42" s="75">
        <f>IF(D42=0,C42+J42,D42+J42)</f>
        <v>0</v>
      </c>
      <c r="L42" s="109">
        <v>0</v>
      </c>
      <c r="M42" s="110">
        <v>0</v>
      </c>
      <c r="N42" s="128"/>
    </row>
    <row r="43" spans="1:14" ht="12.75" customHeight="1" x14ac:dyDescent="0.25">
      <c r="A43" s="129" t="s">
        <v>671</v>
      </c>
      <c r="B43" s="73"/>
      <c r="C43" s="130">
        <v>583000</v>
      </c>
      <c r="D43" s="109"/>
      <c r="E43" s="109"/>
      <c r="F43" s="109"/>
      <c r="G43" s="109"/>
      <c r="H43" s="109"/>
      <c r="I43" s="109"/>
      <c r="J43" s="75">
        <f>SUM(E43:I43)</f>
        <v>0</v>
      </c>
      <c r="K43" s="75">
        <f>IF(D43=0,C43+J43,D43+J43)</f>
        <v>583000</v>
      </c>
      <c r="L43" s="109">
        <v>0</v>
      </c>
      <c r="M43" s="110">
        <v>0</v>
      </c>
      <c r="N43" s="128"/>
    </row>
    <row r="44" spans="1:14" ht="5.0999999999999996" customHeight="1" x14ac:dyDescent="0.25">
      <c r="A44" s="136"/>
      <c r="B44" s="73"/>
      <c r="C44" s="74"/>
      <c r="D44" s="75"/>
      <c r="E44" s="75"/>
      <c r="F44" s="75"/>
      <c r="G44" s="75"/>
      <c r="H44" s="75"/>
      <c r="I44" s="75"/>
      <c r="J44" s="75"/>
      <c r="K44" s="75"/>
      <c r="L44" s="75"/>
      <c r="M44" s="76"/>
      <c r="N44" s="128"/>
    </row>
    <row r="45" spans="1:14" ht="12.75" customHeight="1" x14ac:dyDescent="0.25">
      <c r="A45" s="126" t="s">
        <v>830</v>
      </c>
      <c r="B45" s="73"/>
      <c r="C45" s="140">
        <f>SUM(C46:C47)</f>
        <v>0</v>
      </c>
      <c r="D45" s="141">
        <f t="shared" ref="D45:I45" si="11">SUM(D46:D47)</f>
        <v>0</v>
      </c>
      <c r="E45" s="141">
        <f t="shared" si="11"/>
        <v>0</v>
      </c>
      <c r="F45" s="141">
        <f t="shared" si="11"/>
        <v>0</v>
      </c>
      <c r="G45" s="141">
        <f t="shared" si="11"/>
        <v>0</v>
      </c>
      <c r="H45" s="141">
        <f t="shared" si="11"/>
        <v>0</v>
      </c>
      <c r="I45" s="141">
        <f t="shared" si="11"/>
        <v>0</v>
      </c>
      <c r="J45" s="141">
        <f>SUM(J46:J47)</f>
        <v>0</v>
      </c>
      <c r="K45" s="141">
        <f>SUM(K46:K47)</f>
        <v>0</v>
      </c>
      <c r="L45" s="141">
        <f>SUM(L46:L47)</f>
        <v>0</v>
      </c>
      <c r="M45" s="142">
        <f>SUM(M46:M47)</f>
        <v>0</v>
      </c>
      <c r="N45" s="128"/>
    </row>
    <row r="46" spans="1:14" ht="12.75" customHeight="1" x14ac:dyDescent="0.25">
      <c r="A46" s="129" t="s">
        <v>513</v>
      </c>
      <c r="B46" s="73"/>
      <c r="C46" s="130"/>
      <c r="D46" s="109"/>
      <c r="E46" s="109"/>
      <c r="F46" s="109"/>
      <c r="G46" s="109"/>
      <c r="H46" s="109"/>
      <c r="I46" s="109"/>
      <c r="J46" s="75">
        <f>SUM(E46:I46)</f>
        <v>0</v>
      </c>
      <c r="K46" s="75">
        <f>IF(D46=0,C46+J46,D46+J46)</f>
        <v>0</v>
      </c>
      <c r="L46" s="109"/>
      <c r="M46" s="110"/>
      <c r="N46" s="128"/>
    </row>
    <row r="47" spans="1:14" ht="12.75" customHeight="1" x14ac:dyDescent="0.25">
      <c r="A47" s="599" t="s">
        <v>671</v>
      </c>
      <c r="B47" s="73"/>
      <c r="C47" s="130"/>
      <c r="D47" s="109"/>
      <c r="E47" s="109"/>
      <c r="F47" s="109"/>
      <c r="G47" s="109"/>
      <c r="H47" s="109"/>
      <c r="I47" s="109"/>
      <c r="J47" s="75">
        <f>SUM(E47:I47)</f>
        <v>0</v>
      </c>
      <c r="K47" s="75">
        <f>IF(D47=0,C47+J47,D47+J47)</f>
        <v>0</v>
      </c>
      <c r="L47" s="109"/>
      <c r="M47" s="110"/>
      <c r="N47" s="128"/>
    </row>
    <row r="48" spans="1:14" ht="5.0999999999999996" customHeight="1" x14ac:dyDescent="0.25">
      <c r="A48" s="136"/>
      <c r="B48" s="73"/>
      <c r="C48" s="127"/>
      <c r="D48" s="172"/>
      <c r="E48" s="172"/>
      <c r="F48" s="172"/>
      <c r="G48" s="172"/>
      <c r="H48" s="172"/>
      <c r="I48" s="172"/>
      <c r="J48" s="75"/>
      <c r="K48" s="75"/>
      <c r="L48" s="75"/>
      <c r="M48" s="76"/>
      <c r="N48" s="128"/>
    </row>
    <row r="49" spans="1:14" ht="12.75" customHeight="1" x14ac:dyDescent="0.25">
      <c r="A49" s="126" t="s">
        <v>831</v>
      </c>
      <c r="B49" s="73"/>
      <c r="C49" s="140">
        <f t="shared" ref="C49:M49" si="12">SUM(C50:C51)</f>
        <v>0</v>
      </c>
      <c r="D49" s="141">
        <f t="shared" si="12"/>
        <v>0</v>
      </c>
      <c r="E49" s="141">
        <f t="shared" si="12"/>
        <v>0</v>
      </c>
      <c r="F49" s="141">
        <f t="shared" si="12"/>
        <v>0</v>
      </c>
      <c r="G49" s="141">
        <f t="shared" si="12"/>
        <v>0</v>
      </c>
      <c r="H49" s="141">
        <f t="shared" si="12"/>
        <v>0</v>
      </c>
      <c r="I49" s="141">
        <f t="shared" si="12"/>
        <v>0</v>
      </c>
      <c r="J49" s="141">
        <f t="shared" si="12"/>
        <v>0</v>
      </c>
      <c r="K49" s="141">
        <f t="shared" si="12"/>
        <v>0</v>
      </c>
      <c r="L49" s="141">
        <f t="shared" si="12"/>
        <v>0</v>
      </c>
      <c r="M49" s="142">
        <f t="shared" si="12"/>
        <v>0</v>
      </c>
      <c r="N49" s="128"/>
    </row>
    <row r="50" spans="1:14" ht="12.75" customHeight="1" x14ac:dyDescent="0.25">
      <c r="A50" s="129" t="s">
        <v>514</v>
      </c>
      <c r="B50" s="73"/>
      <c r="C50" s="130"/>
      <c r="D50" s="109"/>
      <c r="E50" s="109"/>
      <c r="F50" s="109"/>
      <c r="G50" s="109"/>
      <c r="H50" s="109"/>
      <c r="I50" s="109"/>
      <c r="J50" s="75">
        <f>SUM(E50:I50)</f>
        <v>0</v>
      </c>
      <c r="K50" s="75">
        <f>IF(D50=0,C50+J50,D50+J50)</f>
        <v>0</v>
      </c>
      <c r="L50" s="109"/>
      <c r="M50" s="110"/>
      <c r="N50" s="128"/>
    </row>
    <row r="51" spans="1:14" ht="12.75" customHeight="1" x14ac:dyDescent="0.25">
      <c r="A51" s="129" t="s">
        <v>671</v>
      </c>
      <c r="B51" s="73"/>
      <c r="C51" s="130"/>
      <c r="D51" s="109"/>
      <c r="E51" s="109"/>
      <c r="F51" s="109"/>
      <c r="G51" s="109"/>
      <c r="H51" s="109"/>
      <c r="I51" s="109"/>
      <c r="J51" s="75">
        <f>SUM(E51:I51)</f>
        <v>0</v>
      </c>
      <c r="K51" s="75">
        <f>IF(D51=0,C51+J51,D51+J51)</f>
        <v>0</v>
      </c>
      <c r="L51" s="109"/>
      <c r="M51" s="110"/>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26" t="s">
        <v>832</v>
      </c>
      <c r="B53" s="73"/>
      <c r="C53" s="140">
        <f>SUM(C54:C65)</f>
        <v>13200000</v>
      </c>
      <c r="D53" s="141">
        <f t="shared" ref="D53:M53" si="13">SUM(D54:D65)</f>
        <v>0</v>
      </c>
      <c r="E53" s="141">
        <f t="shared" si="13"/>
        <v>0</v>
      </c>
      <c r="F53" s="141">
        <f t="shared" si="13"/>
        <v>0</v>
      </c>
      <c r="G53" s="141">
        <f t="shared" si="13"/>
        <v>0</v>
      </c>
      <c r="H53" s="141">
        <f t="shared" si="13"/>
        <v>0</v>
      </c>
      <c r="I53" s="141">
        <f t="shared" si="13"/>
        <v>-293843.15999999997</v>
      </c>
      <c r="J53" s="141">
        <f t="shared" si="13"/>
        <v>-293843.15999999997</v>
      </c>
      <c r="K53" s="141">
        <f>SUM(K54:K65)</f>
        <v>12906156.84</v>
      </c>
      <c r="L53" s="141">
        <f t="shared" si="13"/>
        <v>12720000</v>
      </c>
      <c r="M53" s="142">
        <f t="shared" si="13"/>
        <v>11100000</v>
      </c>
      <c r="N53" s="128"/>
    </row>
    <row r="54" spans="1:14" ht="12.75" customHeight="1" x14ac:dyDescent="0.25">
      <c r="A54" s="30" t="s">
        <v>516</v>
      </c>
      <c r="B54" s="73"/>
      <c r="C54" s="130">
        <v>1200000</v>
      </c>
      <c r="D54" s="109"/>
      <c r="E54" s="109"/>
      <c r="F54" s="109"/>
      <c r="G54" s="109"/>
      <c r="H54" s="109"/>
      <c r="I54" s="109">
        <v>-293843.15999999997</v>
      </c>
      <c r="J54" s="75">
        <f>SUM(E54:I54)</f>
        <v>-293843.15999999997</v>
      </c>
      <c r="K54" s="75">
        <f>IF(D54=0,C54+J54,D54+J54)</f>
        <v>906156.84000000008</v>
      </c>
      <c r="L54" s="109"/>
      <c r="M54" s="110"/>
      <c r="N54" s="128"/>
    </row>
    <row r="55" spans="1:14" ht="12.75" customHeight="1" x14ac:dyDescent="0.25">
      <c r="A55" s="599" t="s">
        <v>517</v>
      </c>
      <c r="B55" s="73">
        <v>18</v>
      </c>
      <c r="C55" s="131">
        <f>C81</f>
        <v>0</v>
      </c>
      <c r="D55" s="132">
        <f t="shared" ref="D55:I55" si="14">D81</f>
        <v>0</v>
      </c>
      <c r="E55" s="132">
        <f t="shared" si="14"/>
        <v>0</v>
      </c>
      <c r="F55" s="132">
        <f t="shared" si="14"/>
        <v>0</v>
      </c>
      <c r="G55" s="132">
        <f t="shared" si="14"/>
        <v>0</v>
      </c>
      <c r="H55" s="132">
        <f t="shared" si="14"/>
        <v>0</v>
      </c>
      <c r="I55" s="132">
        <f t="shared" si="14"/>
        <v>0</v>
      </c>
      <c r="J55" s="132">
        <f>SUM(E55:I55)</f>
        <v>0</v>
      </c>
      <c r="K55" s="132">
        <f>IF(D55=0,C55+J55,D55+J55)</f>
        <v>0</v>
      </c>
      <c r="L55" s="132">
        <f>L81</f>
        <v>0</v>
      </c>
      <c r="M55" s="133">
        <f>M81</f>
        <v>0</v>
      </c>
      <c r="N55" s="128"/>
    </row>
    <row r="56" spans="1:14" ht="12.75" customHeight="1" x14ac:dyDescent="0.25">
      <c r="A56" s="30" t="s">
        <v>518</v>
      </c>
      <c r="B56" s="137"/>
      <c r="C56" s="130">
        <v>3000000</v>
      </c>
      <c r="D56" s="109"/>
      <c r="E56" s="109"/>
      <c r="F56" s="109"/>
      <c r="G56" s="109"/>
      <c r="H56" s="109"/>
      <c r="I56" s="109"/>
      <c r="J56" s="75">
        <f t="shared" ref="J56:J65" si="15">SUM(E56:I56)</f>
        <v>0</v>
      </c>
      <c r="K56" s="75">
        <f t="shared" ref="K56:K65" si="16">IF(D56=0,C56+J56,D56+J56)</f>
        <v>3000000</v>
      </c>
      <c r="L56" s="109">
        <v>1100000</v>
      </c>
      <c r="M56" s="110">
        <v>2600000</v>
      </c>
      <c r="N56" s="128"/>
    </row>
    <row r="57" spans="1:14" ht="12.75" customHeight="1" x14ac:dyDescent="0.25">
      <c r="A57" s="30" t="s">
        <v>519</v>
      </c>
      <c r="B57" s="73"/>
      <c r="C57" s="130">
        <v>500000</v>
      </c>
      <c r="D57" s="109"/>
      <c r="E57" s="109"/>
      <c r="F57" s="109"/>
      <c r="G57" s="109"/>
      <c r="H57" s="109"/>
      <c r="I57" s="109"/>
      <c r="J57" s="75">
        <f t="shared" si="15"/>
        <v>0</v>
      </c>
      <c r="K57" s="75">
        <f t="shared" si="16"/>
        <v>500000</v>
      </c>
      <c r="L57" s="109">
        <v>500000</v>
      </c>
      <c r="M57" s="110">
        <v>500000</v>
      </c>
      <c r="N57" s="128"/>
    </row>
    <row r="58" spans="1:14" ht="12.75" customHeight="1" x14ac:dyDescent="0.25">
      <c r="A58" s="30" t="s">
        <v>520</v>
      </c>
      <c r="B58" s="73"/>
      <c r="C58" s="130">
        <v>0</v>
      </c>
      <c r="D58" s="109"/>
      <c r="E58" s="109"/>
      <c r="F58" s="109"/>
      <c r="G58" s="109"/>
      <c r="H58" s="109"/>
      <c r="I58" s="109"/>
      <c r="J58" s="75">
        <f t="shared" si="15"/>
        <v>0</v>
      </c>
      <c r="K58" s="75">
        <f t="shared" si="16"/>
        <v>0</v>
      </c>
      <c r="L58" s="109">
        <v>0</v>
      </c>
      <c r="M58" s="110">
        <v>0</v>
      </c>
      <c r="N58" s="128"/>
    </row>
    <row r="59" spans="1:14" ht="12.75" customHeight="1" x14ac:dyDescent="0.25">
      <c r="A59" s="30" t="s">
        <v>521</v>
      </c>
      <c r="B59" s="73"/>
      <c r="C59" s="130">
        <v>0</v>
      </c>
      <c r="D59" s="109"/>
      <c r="E59" s="109"/>
      <c r="F59" s="109"/>
      <c r="G59" s="109"/>
      <c r="H59" s="109"/>
      <c r="I59" s="109"/>
      <c r="J59" s="75">
        <f t="shared" si="15"/>
        <v>0</v>
      </c>
      <c r="K59" s="75">
        <f t="shared" si="16"/>
        <v>0</v>
      </c>
      <c r="L59" s="109">
        <v>0</v>
      </c>
      <c r="M59" s="110">
        <v>0</v>
      </c>
      <c r="N59" s="128"/>
    </row>
    <row r="60" spans="1:14" ht="12.75" customHeight="1" x14ac:dyDescent="0.25">
      <c r="A60" s="30" t="s">
        <v>522</v>
      </c>
      <c r="B60" s="73"/>
      <c r="C60" s="130">
        <v>0</v>
      </c>
      <c r="D60" s="109"/>
      <c r="E60" s="109"/>
      <c r="F60" s="109"/>
      <c r="G60" s="109"/>
      <c r="H60" s="109"/>
      <c r="I60" s="109"/>
      <c r="J60" s="75">
        <f t="shared" si="15"/>
        <v>0</v>
      </c>
      <c r="K60" s="75">
        <f t="shared" si="16"/>
        <v>0</v>
      </c>
      <c r="L60" s="109">
        <v>0</v>
      </c>
      <c r="M60" s="110">
        <v>0</v>
      </c>
      <c r="N60" s="128"/>
    </row>
    <row r="61" spans="1:14" ht="12.75" customHeight="1" x14ac:dyDescent="0.25">
      <c r="A61" s="30" t="s">
        <v>523</v>
      </c>
      <c r="B61" s="73"/>
      <c r="C61" s="130">
        <v>0</v>
      </c>
      <c r="D61" s="109"/>
      <c r="E61" s="109"/>
      <c r="F61" s="109"/>
      <c r="G61" s="109"/>
      <c r="H61" s="109"/>
      <c r="I61" s="109"/>
      <c r="J61" s="75">
        <f t="shared" si="15"/>
        <v>0</v>
      </c>
      <c r="K61" s="75">
        <f t="shared" si="16"/>
        <v>0</v>
      </c>
      <c r="L61" s="109">
        <v>0</v>
      </c>
      <c r="M61" s="110">
        <v>0</v>
      </c>
      <c r="N61" s="128"/>
    </row>
    <row r="62" spans="1:14" ht="12.75" customHeight="1" x14ac:dyDescent="0.25">
      <c r="A62" s="30" t="s">
        <v>524</v>
      </c>
      <c r="B62" s="73"/>
      <c r="C62" s="130">
        <v>5500000</v>
      </c>
      <c r="D62" s="109"/>
      <c r="E62" s="109"/>
      <c r="F62" s="109"/>
      <c r="G62" s="109"/>
      <c r="H62" s="109"/>
      <c r="I62" s="109"/>
      <c r="J62" s="75">
        <f t="shared" si="15"/>
        <v>0</v>
      </c>
      <c r="K62" s="75">
        <f t="shared" si="16"/>
        <v>5500000</v>
      </c>
      <c r="L62" s="109">
        <v>7620000</v>
      </c>
      <c r="M62" s="110">
        <v>6000000</v>
      </c>
      <c r="N62" s="128"/>
    </row>
    <row r="63" spans="1:14" ht="12.75" customHeight="1" x14ac:dyDescent="0.25">
      <c r="A63" s="30" t="s">
        <v>525</v>
      </c>
      <c r="B63" s="73"/>
      <c r="C63" s="130">
        <v>0</v>
      </c>
      <c r="D63" s="109"/>
      <c r="E63" s="109"/>
      <c r="F63" s="109"/>
      <c r="G63" s="109"/>
      <c r="H63" s="109"/>
      <c r="I63" s="109"/>
      <c r="J63" s="75">
        <f t="shared" si="15"/>
        <v>0</v>
      </c>
      <c r="K63" s="75">
        <f t="shared" si="16"/>
        <v>0</v>
      </c>
      <c r="L63" s="109">
        <v>0</v>
      </c>
      <c r="M63" s="110">
        <v>0</v>
      </c>
      <c r="N63" s="128"/>
    </row>
    <row r="64" spans="1:14" ht="12.75" customHeight="1" x14ac:dyDescent="0.25">
      <c r="A64" s="30" t="s">
        <v>526</v>
      </c>
      <c r="B64" s="73"/>
      <c r="C64" s="130">
        <v>0</v>
      </c>
      <c r="D64" s="109"/>
      <c r="E64" s="109"/>
      <c r="F64" s="109"/>
      <c r="G64" s="109"/>
      <c r="H64" s="109"/>
      <c r="I64" s="109"/>
      <c r="J64" s="75">
        <f t="shared" si="15"/>
        <v>0</v>
      </c>
      <c r="K64" s="75">
        <f t="shared" si="16"/>
        <v>0</v>
      </c>
      <c r="L64" s="109">
        <v>0</v>
      </c>
      <c r="M64" s="110">
        <v>0</v>
      </c>
      <c r="N64" s="128"/>
    </row>
    <row r="65" spans="1:14" ht="12.75" customHeight="1" x14ac:dyDescent="0.25">
      <c r="A65" s="129" t="s">
        <v>671</v>
      </c>
      <c r="B65" s="73"/>
      <c r="C65" s="130">
        <v>3000000</v>
      </c>
      <c r="D65" s="109"/>
      <c r="E65" s="109"/>
      <c r="F65" s="109"/>
      <c r="G65" s="109"/>
      <c r="H65" s="109"/>
      <c r="I65" s="109"/>
      <c r="J65" s="75">
        <f t="shared" si="15"/>
        <v>0</v>
      </c>
      <c r="K65" s="75">
        <f t="shared" si="16"/>
        <v>3000000</v>
      </c>
      <c r="L65" s="109">
        <v>3500000</v>
      </c>
      <c r="M65" s="110">
        <v>2000000</v>
      </c>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1342</v>
      </c>
      <c r="B67" s="73"/>
      <c r="C67" s="140">
        <f>SUM(C68:C69)</f>
        <v>0</v>
      </c>
      <c r="D67" s="141">
        <f t="shared" ref="D67:M67" si="17">SUM(D68:D69)</f>
        <v>0</v>
      </c>
      <c r="E67" s="141">
        <f t="shared" si="17"/>
        <v>0</v>
      </c>
      <c r="F67" s="141">
        <f t="shared" si="17"/>
        <v>0</v>
      </c>
      <c r="G67" s="141">
        <f t="shared" si="17"/>
        <v>0</v>
      </c>
      <c r="H67" s="141">
        <f t="shared" si="17"/>
        <v>0</v>
      </c>
      <c r="I67" s="141">
        <f t="shared" si="17"/>
        <v>0</v>
      </c>
      <c r="J67" s="141">
        <f t="shared" si="17"/>
        <v>0</v>
      </c>
      <c r="K67" s="141">
        <f>SUM(K68:K69)</f>
        <v>0</v>
      </c>
      <c r="L67" s="141">
        <f t="shared" si="17"/>
        <v>0</v>
      </c>
      <c r="M67" s="142">
        <f t="shared" si="17"/>
        <v>0</v>
      </c>
      <c r="N67" s="128"/>
    </row>
    <row r="68" spans="1:14" ht="12.75" customHeight="1" x14ac:dyDescent="0.25">
      <c r="A68" s="828"/>
      <c r="B68" s="73"/>
      <c r="C68" s="130"/>
      <c r="D68" s="109"/>
      <c r="E68" s="109"/>
      <c r="F68" s="109"/>
      <c r="G68" s="109"/>
      <c r="H68" s="109"/>
      <c r="I68" s="109"/>
      <c r="J68" s="75">
        <f>SUM(E68:I68)</f>
        <v>0</v>
      </c>
      <c r="K68" s="75">
        <f>IF(D68=0,C68+J68,D68+J68)</f>
        <v>0</v>
      </c>
      <c r="L68" s="109"/>
      <c r="M68" s="110"/>
      <c r="N68" s="128"/>
    </row>
    <row r="69" spans="1:14" ht="12.75" customHeight="1" x14ac:dyDescent="0.25">
      <c r="A69" s="295" t="s">
        <v>529</v>
      </c>
      <c r="B69" s="73"/>
      <c r="C69" s="130"/>
      <c r="D69" s="109"/>
      <c r="E69" s="109"/>
      <c r="F69" s="109"/>
      <c r="G69" s="109"/>
      <c r="H69" s="109"/>
      <c r="I69" s="109"/>
      <c r="J69" s="75">
        <f>SUM(E69:I69)</f>
        <v>0</v>
      </c>
      <c r="K69" s="75">
        <f>IF(D69=0,C69+J69,D69+J69)</f>
        <v>0</v>
      </c>
      <c r="L69" s="109"/>
      <c r="M69" s="110"/>
      <c r="N69" s="128"/>
    </row>
    <row r="70" spans="1:14" ht="5.0999999999999996" customHeight="1" x14ac:dyDescent="0.25">
      <c r="A70" s="136"/>
      <c r="B70" s="73"/>
      <c r="C70" s="74"/>
      <c r="D70" s="75"/>
      <c r="E70" s="75"/>
      <c r="F70" s="75"/>
      <c r="G70" s="75"/>
      <c r="H70" s="75"/>
      <c r="I70" s="75"/>
      <c r="J70" s="75"/>
      <c r="K70" s="75"/>
      <c r="L70" s="75"/>
      <c r="M70" s="76"/>
      <c r="N70" s="128"/>
    </row>
    <row r="71" spans="1:14" ht="12.75" customHeight="1" x14ac:dyDescent="0.25">
      <c r="A71" s="126" t="s">
        <v>834</v>
      </c>
      <c r="B71" s="73"/>
      <c r="C71" s="140">
        <f t="shared" ref="C71:M71" si="18">SUM(C72:C73)</f>
        <v>0</v>
      </c>
      <c r="D71" s="141">
        <f t="shared" si="18"/>
        <v>0</v>
      </c>
      <c r="E71" s="141">
        <f t="shared" si="18"/>
        <v>0</v>
      </c>
      <c r="F71" s="141">
        <f t="shared" si="18"/>
        <v>0</v>
      </c>
      <c r="G71" s="141">
        <f t="shared" si="18"/>
        <v>0</v>
      </c>
      <c r="H71" s="141">
        <f t="shared" si="18"/>
        <v>0</v>
      </c>
      <c r="I71" s="141">
        <f t="shared" si="18"/>
        <v>0</v>
      </c>
      <c r="J71" s="141">
        <f t="shared" si="18"/>
        <v>0</v>
      </c>
      <c r="K71" s="141">
        <f>SUM(K72:K73)</f>
        <v>0</v>
      </c>
      <c r="L71" s="141">
        <f t="shared" si="18"/>
        <v>0</v>
      </c>
      <c r="M71" s="142">
        <f t="shared" si="18"/>
        <v>0</v>
      </c>
      <c r="N71" s="128"/>
    </row>
    <row r="72" spans="1:14" ht="12.75" customHeight="1" x14ac:dyDescent="0.25">
      <c r="A72" s="828"/>
      <c r="B72" s="73"/>
      <c r="C72" s="130"/>
      <c r="D72" s="109"/>
      <c r="E72" s="109"/>
      <c r="F72" s="109"/>
      <c r="G72" s="109"/>
      <c r="H72" s="109"/>
      <c r="I72" s="109"/>
      <c r="J72" s="75">
        <f>SUM(E72:I72)</f>
        <v>0</v>
      </c>
      <c r="K72" s="75">
        <f>IF(D72=0,C72+J72,D72+J72)</f>
        <v>0</v>
      </c>
      <c r="L72" s="109"/>
      <c r="M72" s="110"/>
      <c r="N72" s="128"/>
    </row>
    <row r="73" spans="1:14" ht="12.75" customHeight="1" x14ac:dyDescent="0.25">
      <c r="A73" s="295" t="s">
        <v>529</v>
      </c>
      <c r="B73" s="73"/>
      <c r="C73" s="130"/>
      <c r="D73" s="109"/>
      <c r="E73" s="109"/>
      <c r="F73" s="109"/>
      <c r="G73" s="109"/>
      <c r="H73" s="109"/>
      <c r="I73" s="109"/>
      <c r="J73" s="75">
        <f>SUM(E73:I73)</f>
        <v>0</v>
      </c>
      <c r="K73" s="75">
        <f>IF(D73=0,C73+J73,D73+J73)</f>
        <v>0</v>
      </c>
      <c r="L73" s="109"/>
      <c r="M73" s="110"/>
      <c r="N73" s="128"/>
    </row>
    <row r="74" spans="1:14" ht="5.0999999999999996" customHeight="1" x14ac:dyDescent="0.25">
      <c r="A74" s="136"/>
      <c r="B74" s="73"/>
      <c r="C74" s="74"/>
      <c r="D74" s="75"/>
      <c r="E74" s="75"/>
      <c r="F74" s="75"/>
      <c r="G74" s="75"/>
      <c r="H74" s="75"/>
      <c r="I74" s="75"/>
      <c r="J74" s="75"/>
      <c r="K74" s="75"/>
      <c r="L74" s="75"/>
      <c r="M74" s="76"/>
      <c r="N74" s="128"/>
    </row>
    <row r="75" spans="1:14" ht="12.75" customHeight="1" x14ac:dyDescent="0.25">
      <c r="A75" s="126" t="s">
        <v>833</v>
      </c>
      <c r="B75" s="73"/>
      <c r="C75" s="140">
        <f t="shared" ref="C75:M75" si="19">SUM(C76:C77)</f>
        <v>3000000</v>
      </c>
      <c r="D75" s="141">
        <f t="shared" si="19"/>
        <v>0</v>
      </c>
      <c r="E75" s="141">
        <f t="shared" si="19"/>
        <v>0</v>
      </c>
      <c r="F75" s="141">
        <f t="shared" si="19"/>
        <v>0</v>
      </c>
      <c r="G75" s="141">
        <f t="shared" si="19"/>
        <v>0</v>
      </c>
      <c r="H75" s="141">
        <f t="shared" si="19"/>
        <v>0</v>
      </c>
      <c r="I75" s="141">
        <f t="shared" si="19"/>
        <v>0</v>
      </c>
      <c r="J75" s="141">
        <f t="shared" si="19"/>
        <v>0</v>
      </c>
      <c r="K75" s="141">
        <f>SUM(K76:K77)</f>
        <v>3000000</v>
      </c>
      <c r="L75" s="141">
        <f t="shared" si="19"/>
        <v>3500000</v>
      </c>
      <c r="M75" s="142">
        <f t="shared" si="19"/>
        <v>4000000</v>
      </c>
      <c r="N75" s="128"/>
    </row>
    <row r="76" spans="1:14" ht="12.75" customHeight="1" x14ac:dyDescent="0.25">
      <c r="A76" s="30" t="s">
        <v>527</v>
      </c>
      <c r="B76" s="73"/>
      <c r="C76" s="829">
        <v>3000000</v>
      </c>
      <c r="D76" s="830"/>
      <c r="E76" s="830"/>
      <c r="F76" s="830"/>
      <c r="G76" s="830"/>
      <c r="H76" s="830"/>
      <c r="I76" s="830"/>
      <c r="J76" s="141">
        <f>SUM(E76:I76)</f>
        <v>0</v>
      </c>
      <c r="K76" s="141">
        <f>IF(D76=0,C76+J76,D76+J76)</f>
        <v>3000000</v>
      </c>
      <c r="L76" s="830">
        <v>3500000</v>
      </c>
      <c r="M76" s="831">
        <v>4000000</v>
      </c>
      <c r="N76" s="128"/>
    </row>
    <row r="77" spans="1:14" ht="12.75" customHeight="1" x14ac:dyDescent="0.25">
      <c r="A77" s="486" t="s">
        <v>528</v>
      </c>
      <c r="B77" s="73"/>
      <c r="C77" s="130"/>
      <c r="D77" s="109"/>
      <c r="E77" s="109"/>
      <c r="F77" s="109"/>
      <c r="G77" s="109"/>
      <c r="H77" s="109"/>
      <c r="I77" s="109"/>
      <c r="J77" s="75">
        <f>SUM(E77:I77)</f>
        <v>0</v>
      </c>
      <c r="K77" s="75">
        <f>IF(D77=0,C77+J77,D77+J77)</f>
        <v>0</v>
      </c>
      <c r="L77" s="109"/>
      <c r="M77" s="110"/>
      <c r="N77" s="128"/>
    </row>
    <row r="78" spans="1:14" ht="5.0999999999999996" customHeight="1" x14ac:dyDescent="0.25">
      <c r="A78" s="136"/>
      <c r="B78" s="73"/>
      <c r="C78" s="74"/>
      <c r="D78" s="75"/>
      <c r="E78" s="75"/>
      <c r="F78" s="75"/>
      <c r="G78" s="75"/>
      <c r="H78" s="75"/>
      <c r="I78" s="75"/>
      <c r="J78" s="75"/>
      <c r="K78" s="75"/>
      <c r="L78" s="75"/>
      <c r="M78" s="76"/>
      <c r="N78" s="128"/>
    </row>
    <row r="79" spans="1:14" ht="12.75" customHeight="1" x14ac:dyDescent="0.25">
      <c r="A79" s="874" t="s">
        <v>1345</v>
      </c>
      <c r="B79" s="156">
        <v>1</v>
      </c>
      <c r="C79" s="157">
        <f t="shared" ref="C79:I79" si="20">C8+C29+C45+C49+C53+C75+C67+C71</f>
        <v>426128000</v>
      </c>
      <c r="D79" s="117">
        <f t="shared" si="20"/>
        <v>0</v>
      </c>
      <c r="E79" s="117">
        <f t="shared" si="20"/>
        <v>0</v>
      </c>
      <c r="F79" s="117">
        <f t="shared" si="20"/>
        <v>0</v>
      </c>
      <c r="G79" s="117">
        <f t="shared" si="20"/>
        <v>0</v>
      </c>
      <c r="H79" s="117">
        <f t="shared" si="20"/>
        <v>42808656.000000007</v>
      </c>
      <c r="I79" s="117">
        <f t="shared" si="20"/>
        <v>3355680.9999999702</v>
      </c>
      <c r="J79" s="117">
        <f>J8+J29+J45+J49+J53+J71+J75</f>
        <v>46164336.999999985</v>
      </c>
      <c r="K79" s="117">
        <f>K8+K29+K45+K49+K53+K71+K75</f>
        <v>472292336.99999994</v>
      </c>
      <c r="L79" s="117">
        <f>L8+L29+L45+L49+L53+L75+L67+L71</f>
        <v>405162000</v>
      </c>
      <c r="M79" s="118">
        <f>M8+M29+M45+M49+M53+M75+M67+M71</f>
        <v>412085950</v>
      </c>
      <c r="N79" s="128"/>
    </row>
    <row r="80" spans="1:14" ht="12.75" customHeight="1" x14ac:dyDescent="0.25">
      <c r="A80" s="509"/>
      <c r="B80" s="121"/>
      <c r="C80" s="510"/>
      <c r="D80" s="510"/>
      <c r="E80" s="510"/>
      <c r="F80" s="510"/>
      <c r="G80" s="510"/>
      <c r="H80" s="510"/>
      <c r="I80" s="510"/>
      <c r="J80" s="510"/>
      <c r="K80" s="510"/>
      <c r="L80" s="510"/>
      <c r="M80" s="510"/>
      <c r="N80" s="128"/>
    </row>
    <row r="81" spans="1:14" ht="12.75" customHeight="1" x14ac:dyDescent="0.25">
      <c r="A81" s="869" t="s">
        <v>517</v>
      </c>
      <c r="B81" s="312">
        <v>18</v>
      </c>
      <c r="C81" s="870">
        <f t="shared" ref="C81:I81" si="21">SUM(C82:C85)</f>
        <v>0</v>
      </c>
      <c r="D81" s="871">
        <f t="shared" si="21"/>
        <v>0</v>
      </c>
      <c r="E81" s="871">
        <f t="shared" si="21"/>
        <v>0</v>
      </c>
      <c r="F81" s="871">
        <f t="shared" si="21"/>
        <v>0</v>
      </c>
      <c r="G81" s="871">
        <f t="shared" si="21"/>
        <v>0</v>
      </c>
      <c r="H81" s="871">
        <f t="shared" si="21"/>
        <v>0</v>
      </c>
      <c r="I81" s="871">
        <f t="shared" si="21"/>
        <v>0</v>
      </c>
      <c r="J81" s="871">
        <f>SUM(E81:I81)</f>
        <v>0</v>
      </c>
      <c r="K81" s="871">
        <f>IF(D81=0,C81+J81,D81+J81)</f>
        <v>0</v>
      </c>
      <c r="L81" s="871">
        <f>SUM(L82:L85)</f>
        <v>0</v>
      </c>
      <c r="M81" s="872">
        <f>SUM(M82:M85)</f>
        <v>0</v>
      </c>
      <c r="N81" s="128"/>
    </row>
    <row r="82" spans="1:14" ht="12.75" customHeight="1" x14ac:dyDescent="0.25">
      <c r="A82" s="129" t="s">
        <v>1233</v>
      </c>
      <c r="B82" s="73"/>
      <c r="C82" s="391"/>
      <c r="D82" s="109"/>
      <c r="E82" s="109"/>
      <c r="F82" s="109"/>
      <c r="G82" s="109"/>
      <c r="H82" s="109"/>
      <c r="I82" s="109"/>
      <c r="J82" s="141">
        <f>SUM(E82:I82)</f>
        <v>0</v>
      </c>
      <c r="K82" s="141">
        <f>IF(D82=0,C82+J82,D82+J82)</f>
        <v>0</v>
      </c>
      <c r="L82" s="109"/>
      <c r="M82" s="110"/>
      <c r="N82" s="128"/>
    </row>
    <row r="83" spans="1:14" ht="12.75" customHeight="1" x14ac:dyDescent="0.25">
      <c r="A83" s="129" t="s">
        <v>1121</v>
      </c>
      <c r="B83" s="73"/>
      <c r="C83" s="391"/>
      <c r="D83" s="109"/>
      <c r="E83" s="109"/>
      <c r="F83" s="109"/>
      <c r="G83" s="109"/>
      <c r="H83" s="109"/>
      <c r="I83" s="109"/>
      <c r="J83" s="141">
        <f>SUM(E83:I83)</f>
        <v>0</v>
      </c>
      <c r="K83" s="141">
        <f>IF(D83=0,C83+J83,D83+J83)</f>
        <v>0</v>
      </c>
      <c r="L83" s="109"/>
      <c r="M83" s="110"/>
      <c r="N83" s="128"/>
    </row>
    <row r="84" spans="1:14" ht="12.75" customHeight="1" x14ac:dyDescent="0.25">
      <c r="A84" s="129" t="s">
        <v>577</v>
      </c>
      <c r="B84" s="73"/>
      <c r="C84" s="391"/>
      <c r="D84" s="109"/>
      <c r="E84" s="109"/>
      <c r="F84" s="109"/>
      <c r="G84" s="109"/>
      <c r="H84" s="109"/>
      <c r="I84" s="109"/>
      <c r="J84" s="141">
        <f>SUM(E84:I84)</f>
        <v>0</v>
      </c>
      <c r="K84" s="141">
        <f>IF(D84=0,C84+J84,D84+J84)</f>
        <v>0</v>
      </c>
      <c r="L84" s="109"/>
      <c r="M84" s="110"/>
      <c r="N84" s="128"/>
    </row>
    <row r="85" spans="1:14" ht="12.75" customHeight="1" x14ac:dyDescent="0.25">
      <c r="A85" s="176" t="s">
        <v>578</v>
      </c>
      <c r="B85" s="88"/>
      <c r="C85" s="317"/>
      <c r="D85" s="318"/>
      <c r="E85" s="318"/>
      <c r="F85" s="318"/>
      <c r="G85" s="318"/>
      <c r="H85" s="318"/>
      <c r="I85" s="318"/>
      <c r="J85" s="90">
        <f>SUM(E85:I85)</f>
        <v>0</v>
      </c>
      <c r="K85" s="90">
        <f>IF(D85=0,C85+J85,D85+J85)</f>
        <v>0</v>
      </c>
      <c r="L85" s="318"/>
      <c r="M85" s="319"/>
      <c r="N85" s="128"/>
    </row>
    <row r="86" spans="1:14" ht="12.75" customHeight="1" x14ac:dyDescent="0.25">
      <c r="A86" s="601" t="str">
        <f>head27a</f>
        <v>References</v>
      </c>
      <c r="B86" s="121"/>
      <c r="C86" s="53"/>
      <c r="D86" s="53"/>
      <c r="E86" s="53"/>
      <c r="F86" s="53"/>
      <c r="G86" s="53"/>
      <c r="H86" s="53"/>
      <c r="I86" s="53"/>
      <c r="J86" s="53"/>
      <c r="K86" s="53"/>
      <c r="L86" s="53"/>
      <c r="M86" s="53"/>
      <c r="N86" s="128"/>
    </row>
    <row r="87" spans="1:14" ht="12.75" customHeight="1" x14ac:dyDescent="0.25">
      <c r="A87" s="875" t="s">
        <v>1346</v>
      </c>
      <c r="B87" s="121"/>
      <c r="C87" s="53"/>
      <c r="D87" s="53"/>
      <c r="E87" s="53"/>
      <c r="F87" s="53"/>
      <c r="G87" s="53"/>
      <c r="H87" s="53"/>
      <c r="I87" s="53"/>
      <c r="J87" s="53"/>
      <c r="K87" s="53"/>
      <c r="L87" s="53"/>
      <c r="M87" s="53"/>
      <c r="N87" s="128"/>
    </row>
    <row r="88" spans="1:14" ht="12.75" customHeight="1" x14ac:dyDescent="0.25">
      <c r="A88" s="99" t="s">
        <v>530</v>
      </c>
      <c r="B88" s="93"/>
      <c r="C88" s="96"/>
      <c r="D88" s="96"/>
      <c r="E88" s="96"/>
      <c r="F88" s="96"/>
      <c r="G88" s="96"/>
      <c r="H88" s="96"/>
      <c r="I88" s="96"/>
      <c r="J88" s="96"/>
      <c r="K88" s="96"/>
      <c r="L88" s="96"/>
      <c r="M88" s="96"/>
      <c r="N88" s="128"/>
    </row>
    <row r="89" spans="1:14" ht="12.75" customHeight="1" x14ac:dyDescent="0.25">
      <c r="A89" s="99" t="s">
        <v>531</v>
      </c>
      <c r="B89" s="93"/>
      <c r="C89" s="96"/>
      <c r="D89" s="96"/>
      <c r="E89" s="96"/>
      <c r="F89" s="96"/>
      <c r="G89" s="96"/>
      <c r="H89" s="96"/>
      <c r="I89" s="96"/>
      <c r="J89" s="96"/>
      <c r="K89" s="96"/>
      <c r="L89" s="96"/>
      <c r="M89" s="96"/>
      <c r="N89" s="128"/>
    </row>
    <row r="90" spans="1:14" ht="12.75" customHeight="1" x14ac:dyDescent="0.25">
      <c r="A90" s="99" t="s">
        <v>532</v>
      </c>
      <c r="B90" s="93"/>
      <c r="C90" s="96"/>
      <c r="D90" s="96"/>
      <c r="E90" s="96"/>
      <c r="F90" s="96"/>
      <c r="G90" s="96"/>
      <c r="H90" s="96"/>
      <c r="I90" s="96"/>
      <c r="J90" s="96"/>
      <c r="K90" s="96"/>
      <c r="L90" s="96"/>
      <c r="M90" s="96"/>
      <c r="N90" s="128"/>
    </row>
    <row r="91" spans="1:14" ht="12.75" customHeight="1" x14ac:dyDescent="0.25">
      <c r="A91" s="159" t="s">
        <v>533</v>
      </c>
      <c r="B91" s="93"/>
      <c r="C91" s="96"/>
      <c r="D91" s="96"/>
      <c r="E91" s="96"/>
      <c r="F91" s="96"/>
      <c r="G91" s="96"/>
      <c r="H91" s="96"/>
      <c r="I91" s="96"/>
      <c r="J91" s="96"/>
      <c r="K91" s="96"/>
      <c r="L91" s="96"/>
      <c r="M91" s="96"/>
      <c r="N91" s="128"/>
    </row>
    <row r="92" spans="1:14" ht="12.75" customHeight="1" x14ac:dyDescent="0.25">
      <c r="A92" s="99" t="s">
        <v>534</v>
      </c>
      <c r="B92" s="93"/>
      <c r="C92" s="96"/>
      <c r="D92" s="96"/>
      <c r="E92" s="96"/>
      <c r="F92" s="96"/>
      <c r="G92" s="96"/>
      <c r="H92" s="96"/>
      <c r="I92" s="96"/>
      <c r="J92" s="96"/>
      <c r="K92" s="96"/>
      <c r="L92" s="96"/>
      <c r="M92" s="96"/>
      <c r="N92" s="128"/>
    </row>
    <row r="93" spans="1:14" ht="12.75" customHeight="1" x14ac:dyDescent="0.25">
      <c r="A93" s="1314" t="s">
        <v>1097</v>
      </c>
      <c r="B93" s="1314"/>
      <c r="C93" s="1314"/>
      <c r="D93" s="1314"/>
      <c r="E93" s="1314"/>
      <c r="F93" s="1314"/>
      <c r="G93" s="1314"/>
      <c r="H93" s="1314"/>
      <c r="I93" s="1314"/>
      <c r="J93" s="1314"/>
      <c r="K93" s="1314"/>
      <c r="L93" s="1314"/>
      <c r="M93" s="1314"/>
      <c r="N93" s="128"/>
    </row>
    <row r="94" spans="1:14" ht="12.75" customHeight="1" x14ac:dyDescent="0.25">
      <c r="A94" s="1314" t="s">
        <v>1103</v>
      </c>
      <c r="B94" s="1314"/>
      <c r="C94" s="1314"/>
      <c r="D94" s="1314"/>
      <c r="E94" s="1314"/>
      <c r="F94" s="1314"/>
      <c r="G94" s="1314"/>
      <c r="H94" s="1314"/>
      <c r="I94" s="1314"/>
      <c r="J94" s="1314"/>
      <c r="K94" s="98"/>
      <c r="L94" s="98"/>
      <c r="M94" s="98"/>
      <c r="N94" s="128"/>
    </row>
    <row r="95" spans="1:14" ht="12.75" customHeight="1" x14ac:dyDescent="0.25">
      <c r="A95" s="1314" t="s">
        <v>1104</v>
      </c>
      <c r="B95" s="1314"/>
      <c r="C95" s="1314"/>
      <c r="D95" s="1314"/>
      <c r="E95" s="1314"/>
      <c r="F95" s="1314"/>
      <c r="G95" s="1314"/>
      <c r="H95" s="1314"/>
      <c r="I95" s="1314"/>
      <c r="J95" s="1314"/>
      <c r="K95" s="98"/>
      <c r="L95" s="98"/>
      <c r="M95" s="98"/>
      <c r="N95" s="128"/>
    </row>
    <row r="96" spans="1:14" ht="12.75" customHeight="1" x14ac:dyDescent="0.25">
      <c r="A96" s="1314" t="s">
        <v>1152</v>
      </c>
      <c r="B96" s="1314"/>
      <c r="C96" s="1314"/>
      <c r="D96" s="1314"/>
      <c r="E96" s="1314"/>
      <c r="F96" s="1314"/>
      <c r="G96" s="1314"/>
      <c r="H96" s="1314"/>
      <c r="I96" s="1314"/>
      <c r="J96" s="1314"/>
      <c r="K96" s="1314"/>
      <c r="L96" s="1314"/>
      <c r="M96" s="1314"/>
      <c r="N96" s="128"/>
    </row>
    <row r="97" spans="1:14" ht="12.75" customHeight="1" x14ac:dyDescent="0.25">
      <c r="A97" s="99" t="s">
        <v>1153</v>
      </c>
      <c r="B97" s="93"/>
      <c r="C97" s="96"/>
      <c r="D97" s="96"/>
      <c r="E97" s="96"/>
      <c r="F97" s="96"/>
      <c r="G97" s="96"/>
      <c r="H97" s="96"/>
      <c r="I97" s="96"/>
      <c r="J97" s="96"/>
      <c r="K97" s="96"/>
      <c r="L97" s="96"/>
      <c r="M97" s="96"/>
      <c r="N97" s="128"/>
    </row>
    <row r="98" spans="1:14" ht="12.75" customHeight="1" x14ac:dyDescent="0.25">
      <c r="A98" s="1314" t="s">
        <v>1154</v>
      </c>
      <c r="B98" s="1314"/>
      <c r="C98" s="1314"/>
      <c r="D98" s="1314"/>
      <c r="E98" s="1314"/>
      <c r="F98" s="1314"/>
      <c r="G98" s="1314"/>
      <c r="H98" s="1314"/>
      <c r="I98" s="1314"/>
      <c r="J98" s="1314"/>
      <c r="K98" s="1314"/>
      <c r="L98" s="1314"/>
      <c r="M98" s="1314"/>
      <c r="N98" s="128"/>
    </row>
    <row r="99" spans="1:14" ht="12.75" customHeight="1" x14ac:dyDescent="0.25">
      <c r="A99" s="99" t="s">
        <v>1155</v>
      </c>
      <c r="B99" s="93"/>
      <c r="C99" s="96"/>
      <c r="D99" s="96"/>
      <c r="E99" s="96"/>
      <c r="F99" s="96"/>
      <c r="G99" s="96"/>
      <c r="H99" s="96"/>
      <c r="I99" s="96"/>
      <c r="J99" s="96"/>
      <c r="K99" s="96"/>
      <c r="L99" s="96"/>
      <c r="M99" s="96"/>
      <c r="N99" s="128"/>
    </row>
    <row r="100" spans="1:14" ht="12.75" customHeight="1" x14ac:dyDescent="0.25">
      <c r="A100" s="1314" t="s">
        <v>1156</v>
      </c>
      <c r="B100" s="1314"/>
      <c r="C100" s="1314"/>
      <c r="D100" s="1314"/>
      <c r="E100" s="1314"/>
      <c r="F100" s="1314"/>
      <c r="G100" s="1314"/>
      <c r="H100" s="1314"/>
      <c r="I100" s="1314"/>
      <c r="J100" s="1314"/>
      <c r="K100" s="1314"/>
      <c r="L100" s="1314"/>
      <c r="M100" s="1314"/>
      <c r="N100" s="128"/>
    </row>
    <row r="101" spans="1:14" ht="12.75" customHeight="1" x14ac:dyDescent="0.25">
      <c r="A101" s="846" t="s">
        <v>1444</v>
      </c>
      <c r="B101" s="161"/>
      <c r="C101" s="161"/>
      <c r="D101" s="161"/>
      <c r="E101" s="161"/>
      <c r="F101" s="161"/>
      <c r="G101" s="161"/>
      <c r="H101" s="161"/>
      <c r="I101" s="161"/>
      <c r="J101" s="161"/>
      <c r="K101" s="161"/>
      <c r="L101" s="161"/>
      <c r="M101" s="161"/>
      <c r="N101" s="128"/>
    </row>
    <row r="102" spans="1:14" ht="12.75" customHeight="1" x14ac:dyDescent="0.25">
      <c r="A102" s="846" t="s">
        <v>1441</v>
      </c>
      <c r="B102" s="161"/>
      <c r="C102" s="161"/>
      <c r="D102" s="161"/>
      <c r="E102" s="161"/>
      <c r="F102" s="161"/>
      <c r="G102" s="161"/>
      <c r="H102" s="161"/>
      <c r="I102" s="161"/>
      <c r="J102" s="161"/>
      <c r="K102" s="161"/>
      <c r="L102" s="161"/>
      <c r="M102" s="161"/>
      <c r="N102" s="128"/>
    </row>
    <row r="103" spans="1:14" ht="12.75" customHeight="1" x14ac:dyDescent="0.25">
      <c r="A103" s="846" t="s">
        <v>1442</v>
      </c>
      <c r="B103" s="161"/>
      <c r="C103" s="161"/>
      <c r="D103" s="161"/>
      <c r="E103" s="161"/>
      <c r="F103" s="161"/>
      <c r="G103" s="161"/>
      <c r="H103" s="161"/>
      <c r="I103" s="161"/>
      <c r="J103" s="161"/>
      <c r="K103" s="161"/>
      <c r="L103" s="161"/>
      <c r="M103" s="161"/>
      <c r="N103" s="128"/>
    </row>
    <row r="104" spans="1:14" ht="12.75" customHeight="1" x14ac:dyDescent="0.25">
      <c r="A104" s="846" t="s">
        <v>1446</v>
      </c>
      <c r="B104" s="161"/>
      <c r="C104" s="161"/>
      <c r="D104" s="161"/>
      <c r="E104" s="161"/>
      <c r="F104" s="161"/>
      <c r="G104" s="161"/>
      <c r="H104" s="161"/>
      <c r="I104" s="161"/>
      <c r="J104" s="161"/>
      <c r="K104" s="161"/>
      <c r="L104" s="161"/>
      <c r="M104" s="161"/>
      <c r="N104" s="128"/>
    </row>
    <row r="105" spans="1:14" ht="11.25" customHeight="1" x14ac:dyDescent="0.25">
      <c r="A105" s="941"/>
      <c r="B105" s="121"/>
      <c r="C105" s="53"/>
      <c r="D105" s="53"/>
      <c r="E105" s="53"/>
      <c r="F105" s="53"/>
      <c r="G105" s="53"/>
      <c r="H105" s="53"/>
      <c r="I105" s="53"/>
      <c r="J105" s="53"/>
      <c r="K105" s="53"/>
      <c r="L105" s="53"/>
      <c r="M105" s="53"/>
      <c r="N105" s="128"/>
    </row>
    <row r="106" spans="1:14" ht="11.25" customHeight="1" x14ac:dyDescent="0.25">
      <c r="A106" s="48"/>
      <c r="B106" s="121"/>
      <c r="C106" s="53"/>
      <c r="D106" s="53"/>
      <c r="E106" s="53"/>
      <c r="F106" s="53"/>
      <c r="G106" s="53"/>
      <c r="H106" s="53"/>
      <c r="I106" s="53"/>
      <c r="J106" s="53"/>
      <c r="K106" s="53"/>
      <c r="L106" s="53"/>
      <c r="M106" s="53"/>
      <c r="N106" s="128"/>
    </row>
    <row r="107" spans="1:14" ht="11.25" customHeight="1" x14ac:dyDescent="0.25">
      <c r="A107" s="122" t="s">
        <v>724</v>
      </c>
      <c r="B107" s="160"/>
      <c r="C107" s="802">
        <f>(C79+SB18b!C79)-'B5-Capex'!C65</f>
        <v>0</v>
      </c>
      <c r="D107" s="802"/>
      <c r="E107" s="802"/>
      <c r="F107" s="802"/>
      <c r="G107" s="802"/>
      <c r="H107" s="802"/>
      <c r="I107" s="802"/>
      <c r="J107" s="802"/>
      <c r="K107" s="802"/>
      <c r="L107" s="802">
        <f>(L79+SB18b!L79)-'B5-Capex'!L65</f>
        <v>0</v>
      </c>
      <c r="M107" s="802">
        <f>(M79+SB18b!M79)-'B5-Capex'!M65</f>
        <v>0</v>
      </c>
      <c r="N107" s="128"/>
    </row>
    <row r="108" spans="1:14" ht="11.25" customHeight="1" x14ac:dyDescent="0.25">
      <c r="N108" s="128"/>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2:A4"/>
    <mergeCell ref="A98:M98"/>
    <mergeCell ref="A100:M100"/>
    <mergeCell ref="A93:M93"/>
    <mergeCell ref="A94:J94"/>
    <mergeCell ref="A95:J95"/>
    <mergeCell ref="A96:M9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142"/>
  <sheetViews>
    <sheetView showGridLines="0" topLeftCell="A64" workbookViewId="0">
      <selection activeCell="K79" sqref="K79"/>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"&amp;ADJB18b&amp;" - "&amp;Date</f>
        <v>LIM354 Polokwane - Supporting Table SB18b Adjustments Budget - capital expenditure on renewal of existing assets by asset class - 25 February 2016</v>
      </c>
      <c r="B1" s="5"/>
      <c r="C1" s="58"/>
    </row>
    <row r="2" spans="1:14" ht="25.5" x14ac:dyDescent="0.25">
      <c r="A2" s="1318" t="str">
        <f>desc</f>
        <v>Description</v>
      </c>
      <c r="B2" s="1318" t="str">
        <f>head27</f>
        <v>Ref</v>
      </c>
      <c r="C2" s="1315" t="str">
        <f>Head2</f>
        <v>Budget Year 2015/16</v>
      </c>
      <c r="D2" s="1316"/>
      <c r="E2" s="1316"/>
      <c r="F2" s="1316"/>
      <c r="G2" s="1316"/>
      <c r="H2" s="1316"/>
      <c r="I2" s="1316"/>
      <c r="J2" s="1316"/>
      <c r="K2" s="1317"/>
      <c r="L2" s="170" t="str">
        <f>Head10</f>
        <v>Budget Year +1 2016/17</v>
      </c>
      <c r="M2" s="171" t="str">
        <f>Head11</f>
        <v>Budget Year +2 2017/18</v>
      </c>
    </row>
    <row r="3" spans="1:14" ht="25.5" x14ac:dyDescent="0.25">
      <c r="A3" s="1319"/>
      <c r="B3" s="13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19"/>
      <c r="B4" s="1319"/>
      <c r="C4" s="65"/>
      <c r="D4" s="15">
        <v>7</v>
      </c>
      <c r="E4" s="15">
        <v>8</v>
      </c>
      <c r="F4" s="15">
        <v>9</v>
      </c>
      <c r="G4" s="15">
        <v>10</v>
      </c>
      <c r="H4" s="15">
        <v>11</v>
      </c>
      <c r="I4" s="15">
        <v>12</v>
      </c>
      <c r="J4" s="15">
        <v>13</v>
      </c>
      <c r="K4" s="15">
        <v>14</v>
      </c>
      <c r="L4" s="15"/>
      <c r="M4" s="17"/>
    </row>
    <row r="5" spans="1:14" x14ac:dyDescent="0.25">
      <c r="A5" s="66" t="s">
        <v>641</v>
      </c>
      <c r="B5" s="104"/>
      <c r="C5" s="67" t="s">
        <v>581</v>
      </c>
      <c r="D5" s="68" t="s">
        <v>582</v>
      </c>
      <c r="E5" s="68" t="s">
        <v>583</v>
      </c>
      <c r="F5" s="69" t="s">
        <v>584</v>
      </c>
      <c r="G5" s="69" t="s">
        <v>585</v>
      </c>
      <c r="H5" s="69" t="s">
        <v>586</v>
      </c>
      <c r="I5" s="70" t="s">
        <v>587</v>
      </c>
      <c r="J5" s="70" t="s">
        <v>588</v>
      </c>
      <c r="K5" s="70" t="s">
        <v>589</v>
      </c>
      <c r="L5" s="70"/>
      <c r="M5" s="71"/>
    </row>
    <row r="6" spans="1:14" ht="12.75" customHeight="1" x14ac:dyDescent="0.25">
      <c r="A6" s="873" t="s">
        <v>1347</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828</v>
      </c>
      <c r="B8" s="73"/>
      <c r="C8" s="707">
        <f t="shared" ref="C8:M8" si="0">C9+C12+C16+C20+C23</f>
        <v>114993000</v>
      </c>
      <c r="D8" s="707">
        <f t="shared" si="0"/>
        <v>0</v>
      </c>
      <c r="E8" s="707">
        <f t="shared" si="0"/>
        <v>0</v>
      </c>
      <c r="F8" s="707">
        <f t="shared" si="0"/>
        <v>0</v>
      </c>
      <c r="G8" s="707">
        <f t="shared" si="0"/>
        <v>0</v>
      </c>
      <c r="H8" s="707">
        <f t="shared" si="0"/>
        <v>0</v>
      </c>
      <c r="I8" s="707">
        <f t="shared" si="0"/>
        <v>0</v>
      </c>
      <c r="J8" s="708">
        <f>SUM(E8:I8)</f>
        <v>0</v>
      </c>
      <c r="K8" s="708">
        <f>IF(D8=0,C8+J8,D8+J8)</f>
        <v>114993000</v>
      </c>
      <c r="L8" s="707">
        <f t="shared" si="0"/>
        <v>145936000</v>
      </c>
      <c r="M8" s="709">
        <f t="shared" si="0"/>
        <v>180990000</v>
      </c>
      <c r="N8" s="863"/>
    </row>
    <row r="9" spans="1:14" ht="12.75" customHeight="1" x14ac:dyDescent="0.25">
      <c r="A9" s="597" t="s">
        <v>484</v>
      </c>
      <c r="B9" s="73"/>
      <c r="C9" s="266">
        <f t="shared" ref="C9:M9" si="1">SUM(C10:C11)</f>
        <v>97493000</v>
      </c>
      <c r="D9" s="266">
        <f t="shared" si="1"/>
        <v>0</v>
      </c>
      <c r="E9" s="266">
        <f t="shared" si="1"/>
        <v>0</v>
      </c>
      <c r="F9" s="266">
        <f t="shared" si="1"/>
        <v>0</v>
      </c>
      <c r="G9" s="266">
        <f t="shared" si="1"/>
        <v>0</v>
      </c>
      <c r="H9" s="266">
        <f t="shared" si="1"/>
        <v>0</v>
      </c>
      <c r="I9" s="266">
        <f t="shared" si="1"/>
        <v>0</v>
      </c>
      <c r="J9" s="75">
        <f t="shared" ref="J9:J28" si="2">SUM(E9:I9)</f>
        <v>0</v>
      </c>
      <c r="K9" s="75">
        <f t="shared" ref="K9:K28" si="3">IF(D9=0,C9+J9,D9+J9)</f>
        <v>97493000</v>
      </c>
      <c r="L9" s="266">
        <f t="shared" si="1"/>
        <v>94350000</v>
      </c>
      <c r="M9" s="267">
        <f t="shared" si="1"/>
        <v>112490000</v>
      </c>
      <c r="N9" s="128"/>
    </row>
    <row r="10" spans="1:14" ht="12.75" customHeight="1" x14ac:dyDescent="0.25">
      <c r="A10" s="598" t="s">
        <v>485</v>
      </c>
      <c r="B10" s="73"/>
      <c r="C10" s="109">
        <v>97493000</v>
      </c>
      <c r="D10" s="109"/>
      <c r="E10" s="109"/>
      <c r="F10" s="109"/>
      <c r="G10" s="109"/>
      <c r="H10" s="109"/>
      <c r="I10" s="109"/>
      <c r="J10" s="75">
        <f t="shared" si="2"/>
        <v>0</v>
      </c>
      <c r="K10" s="75">
        <f t="shared" si="3"/>
        <v>97493000</v>
      </c>
      <c r="L10" s="109">
        <v>94350000</v>
      </c>
      <c r="M10" s="110">
        <v>112490000</v>
      </c>
      <c r="N10" s="863"/>
    </row>
    <row r="11" spans="1:14" ht="12.75" customHeight="1" x14ac:dyDescent="0.25">
      <c r="A11" s="598" t="s">
        <v>486</v>
      </c>
      <c r="B11" s="73"/>
      <c r="C11" s="109">
        <v>0</v>
      </c>
      <c r="D11" s="109"/>
      <c r="E11" s="109"/>
      <c r="F11" s="109"/>
      <c r="G11" s="109"/>
      <c r="H11" s="109"/>
      <c r="I11" s="109"/>
      <c r="J11" s="75">
        <f t="shared" si="2"/>
        <v>0</v>
      </c>
      <c r="K11" s="75">
        <f t="shared" si="3"/>
        <v>0</v>
      </c>
      <c r="L11" s="109">
        <v>0</v>
      </c>
      <c r="M11" s="110">
        <v>0</v>
      </c>
      <c r="N11" s="868"/>
    </row>
    <row r="12" spans="1:14" ht="12.75" customHeight="1" x14ac:dyDescent="0.25">
      <c r="A12" s="597" t="s">
        <v>487</v>
      </c>
      <c r="B12" s="73"/>
      <c r="C12" s="132">
        <f t="shared" ref="C12:M12" si="4">SUM(C13:C15)</f>
        <v>16500000</v>
      </c>
      <c r="D12" s="132">
        <f t="shared" si="4"/>
        <v>0</v>
      </c>
      <c r="E12" s="132">
        <f t="shared" si="4"/>
        <v>0</v>
      </c>
      <c r="F12" s="132">
        <f t="shared" si="4"/>
        <v>0</v>
      </c>
      <c r="G12" s="132">
        <f t="shared" si="4"/>
        <v>0</v>
      </c>
      <c r="H12" s="132">
        <f t="shared" si="4"/>
        <v>0</v>
      </c>
      <c r="I12" s="132">
        <f t="shared" si="4"/>
        <v>0</v>
      </c>
      <c r="J12" s="75">
        <f t="shared" si="2"/>
        <v>0</v>
      </c>
      <c r="K12" s="75">
        <f t="shared" si="3"/>
        <v>16500000</v>
      </c>
      <c r="L12" s="132">
        <f t="shared" si="4"/>
        <v>42000000</v>
      </c>
      <c r="M12" s="133">
        <f t="shared" si="4"/>
        <v>47800000</v>
      </c>
      <c r="N12" s="868"/>
    </row>
    <row r="13" spans="1:14" ht="12.75" customHeight="1" x14ac:dyDescent="0.25">
      <c r="A13" s="598" t="s">
        <v>488</v>
      </c>
      <c r="B13" s="73"/>
      <c r="C13" s="109">
        <v>0</v>
      </c>
      <c r="D13" s="109"/>
      <c r="E13" s="109"/>
      <c r="F13" s="109"/>
      <c r="G13" s="109"/>
      <c r="H13" s="109"/>
      <c r="I13" s="109"/>
      <c r="J13" s="75">
        <f t="shared" si="2"/>
        <v>0</v>
      </c>
      <c r="K13" s="75">
        <f t="shared" si="3"/>
        <v>0</v>
      </c>
      <c r="L13" s="109"/>
      <c r="M13" s="110"/>
      <c r="N13" s="868"/>
    </row>
    <row r="14" spans="1:14" ht="12.75" customHeight="1" x14ac:dyDescent="0.25">
      <c r="A14" s="598" t="s">
        <v>489</v>
      </c>
      <c r="B14" s="73"/>
      <c r="C14" s="109">
        <v>16500000</v>
      </c>
      <c r="D14" s="109"/>
      <c r="E14" s="109"/>
      <c r="F14" s="109"/>
      <c r="G14" s="109"/>
      <c r="H14" s="109"/>
      <c r="I14" s="109"/>
      <c r="J14" s="75">
        <f t="shared" si="2"/>
        <v>0</v>
      </c>
      <c r="K14" s="75">
        <f t="shared" si="3"/>
        <v>16500000</v>
      </c>
      <c r="L14" s="109">
        <v>42000000</v>
      </c>
      <c r="M14" s="110">
        <v>47800000</v>
      </c>
      <c r="N14" s="868"/>
    </row>
    <row r="15" spans="1:14" ht="12.75" customHeight="1" x14ac:dyDescent="0.25">
      <c r="A15" s="598" t="s">
        <v>490</v>
      </c>
      <c r="B15" s="73"/>
      <c r="C15" s="109">
        <v>0</v>
      </c>
      <c r="D15" s="109"/>
      <c r="E15" s="109"/>
      <c r="F15" s="109"/>
      <c r="G15" s="109"/>
      <c r="H15" s="109"/>
      <c r="I15" s="109"/>
      <c r="J15" s="75">
        <f t="shared" si="2"/>
        <v>0</v>
      </c>
      <c r="K15" s="75">
        <f t="shared" si="3"/>
        <v>0</v>
      </c>
      <c r="L15" s="109"/>
      <c r="M15" s="110"/>
      <c r="N15" s="868"/>
    </row>
    <row r="16" spans="1:14" ht="12.75" customHeight="1" x14ac:dyDescent="0.25">
      <c r="A16" s="599" t="s">
        <v>491</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3500000</v>
      </c>
      <c r="M16" s="133">
        <f t="shared" si="5"/>
        <v>12000000</v>
      </c>
      <c r="N16" s="868"/>
    </row>
    <row r="17" spans="1:14" ht="12.75" customHeight="1" x14ac:dyDescent="0.25">
      <c r="A17" s="598" t="s">
        <v>492</v>
      </c>
      <c r="B17" s="73"/>
      <c r="C17" s="109"/>
      <c r="D17" s="109"/>
      <c r="E17" s="109"/>
      <c r="F17" s="109"/>
      <c r="G17" s="109"/>
      <c r="H17" s="109"/>
      <c r="I17" s="109"/>
      <c r="J17" s="75">
        <f t="shared" si="2"/>
        <v>0</v>
      </c>
      <c r="K17" s="75">
        <f t="shared" si="3"/>
        <v>0</v>
      </c>
      <c r="L17" s="109"/>
      <c r="M17" s="110"/>
      <c r="N17" s="868"/>
    </row>
    <row r="18" spans="1:14" ht="12.75" customHeight="1" x14ac:dyDescent="0.25">
      <c r="A18" s="598" t="s">
        <v>493</v>
      </c>
      <c r="B18" s="73"/>
      <c r="C18" s="109"/>
      <c r="D18" s="109"/>
      <c r="E18" s="109"/>
      <c r="F18" s="109"/>
      <c r="G18" s="109"/>
      <c r="H18" s="109"/>
      <c r="I18" s="109"/>
      <c r="J18" s="75">
        <f t="shared" si="2"/>
        <v>0</v>
      </c>
      <c r="K18" s="75">
        <f t="shared" si="3"/>
        <v>0</v>
      </c>
      <c r="L18" s="109"/>
      <c r="M18" s="110"/>
      <c r="N18" s="868"/>
    </row>
    <row r="19" spans="1:14" ht="12.75" customHeight="1" x14ac:dyDescent="0.25">
      <c r="A19" s="598" t="s">
        <v>494</v>
      </c>
      <c r="B19" s="73"/>
      <c r="C19" s="109"/>
      <c r="D19" s="109"/>
      <c r="E19" s="109"/>
      <c r="F19" s="109"/>
      <c r="G19" s="109"/>
      <c r="H19" s="109"/>
      <c r="I19" s="109"/>
      <c r="J19" s="75">
        <f t="shared" si="2"/>
        <v>0</v>
      </c>
      <c r="K19" s="75">
        <f t="shared" si="3"/>
        <v>0</v>
      </c>
      <c r="L19" s="109">
        <v>3500000</v>
      </c>
      <c r="M19" s="110">
        <v>12000000</v>
      </c>
      <c r="N19" s="868"/>
    </row>
    <row r="20" spans="1:14" ht="12.75" customHeight="1" x14ac:dyDescent="0.25">
      <c r="A20" s="599" t="s">
        <v>495</v>
      </c>
      <c r="B20" s="73"/>
      <c r="C20" s="132">
        <f t="shared" ref="C20:M20" si="6">SUM(C21:C22)</f>
        <v>1000000</v>
      </c>
      <c r="D20" s="132">
        <f t="shared" si="6"/>
        <v>0</v>
      </c>
      <c r="E20" s="132">
        <f t="shared" si="6"/>
        <v>0</v>
      </c>
      <c r="F20" s="132">
        <f t="shared" si="6"/>
        <v>0</v>
      </c>
      <c r="G20" s="132">
        <f t="shared" si="6"/>
        <v>0</v>
      </c>
      <c r="H20" s="132">
        <f t="shared" si="6"/>
        <v>0</v>
      </c>
      <c r="I20" s="132">
        <f t="shared" si="6"/>
        <v>0</v>
      </c>
      <c r="J20" s="75">
        <f t="shared" si="2"/>
        <v>0</v>
      </c>
      <c r="K20" s="75">
        <f t="shared" si="3"/>
        <v>1000000</v>
      </c>
      <c r="L20" s="132">
        <f t="shared" si="6"/>
        <v>500000</v>
      </c>
      <c r="M20" s="133">
        <f t="shared" si="6"/>
        <v>0</v>
      </c>
      <c r="N20" s="868"/>
    </row>
    <row r="21" spans="1:14" ht="12.75" customHeight="1" x14ac:dyDescent="0.25">
      <c r="A21" s="598" t="s">
        <v>494</v>
      </c>
      <c r="B21" s="73"/>
      <c r="C21" s="109">
        <v>1000000</v>
      </c>
      <c r="D21" s="109"/>
      <c r="E21" s="109"/>
      <c r="F21" s="109"/>
      <c r="G21" s="109"/>
      <c r="H21" s="109"/>
      <c r="I21" s="109"/>
      <c r="J21" s="75">
        <f t="shared" si="2"/>
        <v>0</v>
      </c>
      <c r="K21" s="75">
        <f t="shared" si="3"/>
        <v>1000000</v>
      </c>
      <c r="L21" s="109">
        <v>0</v>
      </c>
      <c r="M21" s="110">
        <v>0</v>
      </c>
      <c r="N21" s="868"/>
    </row>
    <row r="22" spans="1:14" ht="12.75" customHeight="1" x14ac:dyDescent="0.25">
      <c r="A22" s="598" t="s">
        <v>496</v>
      </c>
      <c r="B22" s="73"/>
      <c r="C22" s="109">
        <v>0</v>
      </c>
      <c r="D22" s="109"/>
      <c r="E22" s="109"/>
      <c r="F22" s="109"/>
      <c r="G22" s="109"/>
      <c r="H22" s="109"/>
      <c r="I22" s="109"/>
      <c r="J22" s="75">
        <f t="shared" si="2"/>
        <v>0</v>
      </c>
      <c r="K22" s="75">
        <f t="shared" si="3"/>
        <v>0</v>
      </c>
      <c r="L22" s="109">
        <v>500000</v>
      </c>
      <c r="M22" s="110">
        <v>0</v>
      </c>
      <c r="N22" s="868"/>
    </row>
    <row r="23" spans="1:14" ht="12.75" customHeight="1" x14ac:dyDescent="0.25">
      <c r="A23" s="597" t="s">
        <v>497</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5586000</v>
      </c>
      <c r="M23" s="133">
        <f t="shared" si="7"/>
        <v>8700000</v>
      </c>
      <c r="N23" s="868"/>
    </row>
    <row r="24" spans="1:14" ht="12.75" customHeight="1" x14ac:dyDescent="0.25">
      <c r="A24" s="600" t="s">
        <v>1233</v>
      </c>
      <c r="B24" s="73"/>
      <c r="C24" s="109"/>
      <c r="D24" s="109"/>
      <c r="E24" s="109"/>
      <c r="F24" s="109"/>
      <c r="G24" s="109"/>
      <c r="H24" s="109"/>
      <c r="I24" s="109"/>
      <c r="J24" s="75">
        <f t="shared" si="2"/>
        <v>0</v>
      </c>
      <c r="K24" s="75">
        <f t="shared" si="3"/>
        <v>0</v>
      </c>
      <c r="L24" s="109">
        <v>5586000</v>
      </c>
      <c r="M24" s="110">
        <v>8700000</v>
      </c>
      <c r="N24" s="868"/>
    </row>
    <row r="25" spans="1:14" ht="12.75" customHeight="1" x14ac:dyDescent="0.25">
      <c r="A25" s="600" t="s">
        <v>498</v>
      </c>
      <c r="B25" s="73">
        <v>2</v>
      </c>
      <c r="C25" s="109"/>
      <c r="D25" s="109"/>
      <c r="E25" s="109"/>
      <c r="F25" s="109"/>
      <c r="G25" s="109"/>
      <c r="H25" s="109"/>
      <c r="I25" s="109"/>
      <c r="J25" s="75">
        <f t="shared" si="2"/>
        <v>0</v>
      </c>
      <c r="K25" s="75">
        <f t="shared" si="3"/>
        <v>0</v>
      </c>
      <c r="L25" s="109">
        <v>0</v>
      </c>
      <c r="M25" s="110">
        <v>0</v>
      </c>
      <c r="N25" s="868"/>
    </row>
    <row r="26" spans="1:14" ht="12.75" customHeight="1" x14ac:dyDescent="0.25">
      <c r="A26" s="600" t="s">
        <v>499</v>
      </c>
      <c r="B26" s="73"/>
      <c r="C26" s="109"/>
      <c r="D26" s="109"/>
      <c r="E26" s="109"/>
      <c r="F26" s="109"/>
      <c r="G26" s="109"/>
      <c r="H26" s="109"/>
      <c r="I26" s="109"/>
      <c r="J26" s="75">
        <f t="shared" si="2"/>
        <v>0</v>
      </c>
      <c r="K26" s="75">
        <f t="shared" si="3"/>
        <v>0</v>
      </c>
      <c r="L26" s="109">
        <v>0</v>
      </c>
      <c r="M26" s="110">
        <v>0</v>
      </c>
      <c r="N26" s="868"/>
    </row>
    <row r="27" spans="1:14" ht="12.75" customHeight="1" x14ac:dyDescent="0.25">
      <c r="A27" s="600" t="s">
        <v>671</v>
      </c>
      <c r="B27" s="73">
        <v>3</v>
      </c>
      <c r="C27" s="109"/>
      <c r="D27" s="109"/>
      <c r="E27" s="109"/>
      <c r="F27" s="109"/>
      <c r="G27" s="109"/>
      <c r="H27" s="109"/>
      <c r="I27" s="109"/>
      <c r="J27" s="75">
        <f t="shared" si="2"/>
        <v>0</v>
      </c>
      <c r="K27" s="75">
        <f t="shared" si="3"/>
        <v>0</v>
      </c>
      <c r="L27" s="109">
        <v>0</v>
      </c>
      <c r="M27" s="110">
        <v>0</v>
      </c>
      <c r="N27" s="868"/>
    </row>
    <row r="28" spans="1:14" ht="5.0999999999999996" customHeight="1" x14ac:dyDescent="0.25">
      <c r="A28" s="136"/>
      <c r="B28" s="73"/>
      <c r="C28" s="74"/>
      <c r="D28" s="75"/>
      <c r="E28" s="75"/>
      <c r="F28" s="75"/>
      <c r="G28" s="75"/>
      <c r="H28" s="75"/>
      <c r="I28" s="75"/>
      <c r="J28" s="75">
        <f t="shared" si="2"/>
        <v>0</v>
      </c>
      <c r="K28" s="75">
        <f t="shared" si="3"/>
        <v>0</v>
      </c>
      <c r="L28" s="75"/>
      <c r="M28" s="76"/>
      <c r="N28" s="128"/>
    </row>
    <row r="29" spans="1:14" ht="12.75" customHeight="1" x14ac:dyDescent="0.25">
      <c r="A29" s="126" t="s">
        <v>829</v>
      </c>
      <c r="B29" s="73"/>
      <c r="C29" s="140">
        <f t="shared" ref="C29:M29" si="8">SUM(C30:C43)</f>
        <v>11200000</v>
      </c>
      <c r="D29" s="141">
        <f t="shared" si="8"/>
        <v>0</v>
      </c>
      <c r="E29" s="141">
        <f t="shared" si="8"/>
        <v>0</v>
      </c>
      <c r="F29" s="141">
        <f t="shared" si="8"/>
        <v>0</v>
      </c>
      <c r="G29" s="141">
        <f t="shared" si="8"/>
        <v>0</v>
      </c>
      <c r="H29" s="141">
        <f t="shared" si="8"/>
        <v>0</v>
      </c>
      <c r="I29" s="141">
        <f t="shared" si="8"/>
        <v>0</v>
      </c>
      <c r="J29" s="75">
        <f>SUM(E29:I29)</f>
        <v>0</v>
      </c>
      <c r="K29" s="75">
        <f>IF(D29=0,C29+J29,D29+J29)</f>
        <v>11200000</v>
      </c>
      <c r="L29" s="141">
        <f t="shared" si="8"/>
        <v>14250000</v>
      </c>
      <c r="M29" s="142">
        <f t="shared" si="8"/>
        <v>13120000</v>
      </c>
      <c r="N29" s="128"/>
    </row>
    <row r="30" spans="1:14" ht="12.75" customHeight="1" x14ac:dyDescent="0.25">
      <c r="A30" s="129" t="s">
        <v>500</v>
      </c>
      <c r="B30" s="73"/>
      <c r="C30" s="130">
        <v>700000</v>
      </c>
      <c r="D30" s="109"/>
      <c r="E30" s="109"/>
      <c r="F30" s="109"/>
      <c r="G30" s="109"/>
      <c r="H30" s="109"/>
      <c r="I30" s="109"/>
      <c r="J30" s="75">
        <f t="shared" ref="J30:J41" si="9">SUM(E30:I30)</f>
        <v>0</v>
      </c>
      <c r="K30" s="75">
        <f t="shared" ref="K30:K41" si="10">IF(D30=0,C30+J30,D30+J30)</f>
        <v>700000</v>
      </c>
      <c r="L30" s="109">
        <v>2200000</v>
      </c>
      <c r="M30" s="110">
        <v>2900000</v>
      </c>
      <c r="N30" s="128"/>
    </row>
    <row r="31" spans="1:14" ht="12.75" customHeight="1" x14ac:dyDescent="0.25">
      <c r="A31" s="129" t="s">
        <v>501</v>
      </c>
      <c r="B31" s="73"/>
      <c r="C31" s="130">
        <v>7000000</v>
      </c>
      <c r="D31" s="109"/>
      <c r="E31" s="109"/>
      <c r="F31" s="109"/>
      <c r="G31" s="109"/>
      <c r="H31" s="109"/>
      <c r="I31" s="109"/>
      <c r="J31" s="75">
        <f t="shared" si="9"/>
        <v>0</v>
      </c>
      <c r="K31" s="75">
        <f t="shared" si="10"/>
        <v>7000000</v>
      </c>
      <c r="L31" s="109">
        <v>7200000</v>
      </c>
      <c r="M31" s="110">
        <v>7420000</v>
      </c>
      <c r="N31" s="128"/>
    </row>
    <row r="32" spans="1:14" ht="12.75" customHeight="1" x14ac:dyDescent="0.25">
      <c r="A32" s="129" t="s">
        <v>502</v>
      </c>
      <c r="B32" s="73"/>
      <c r="C32" s="130">
        <v>0</v>
      </c>
      <c r="D32" s="109"/>
      <c r="E32" s="109"/>
      <c r="F32" s="109"/>
      <c r="G32" s="109"/>
      <c r="H32" s="109"/>
      <c r="I32" s="109"/>
      <c r="J32" s="75">
        <f t="shared" si="9"/>
        <v>0</v>
      </c>
      <c r="K32" s="75">
        <f t="shared" si="10"/>
        <v>0</v>
      </c>
      <c r="L32" s="109">
        <v>0</v>
      </c>
      <c r="M32" s="110">
        <v>0</v>
      </c>
      <c r="N32" s="128"/>
    </row>
    <row r="33" spans="1:14" ht="12.75" customHeight="1" x14ac:dyDescent="0.25">
      <c r="A33" s="129" t="s">
        <v>503</v>
      </c>
      <c r="B33" s="73"/>
      <c r="C33" s="130">
        <v>0</v>
      </c>
      <c r="D33" s="109"/>
      <c r="E33" s="109"/>
      <c r="F33" s="109"/>
      <c r="G33" s="109"/>
      <c r="H33" s="109"/>
      <c r="I33" s="109"/>
      <c r="J33" s="75">
        <f t="shared" si="9"/>
        <v>0</v>
      </c>
      <c r="K33" s="75">
        <f t="shared" si="10"/>
        <v>0</v>
      </c>
      <c r="L33" s="109">
        <v>0</v>
      </c>
      <c r="M33" s="110">
        <v>0</v>
      </c>
      <c r="N33" s="128"/>
    </row>
    <row r="34" spans="1:14" ht="12.75" customHeight="1" x14ac:dyDescent="0.25">
      <c r="A34" s="129" t="s">
        <v>504</v>
      </c>
      <c r="B34" s="73"/>
      <c r="C34" s="130">
        <v>1500000</v>
      </c>
      <c r="D34" s="109"/>
      <c r="E34" s="109"/>
      <c r="F34" s="109"/>
      <c r="G34" s="109"/>
      <c r="H34" s="109"/>
      <c r="I34" s="109"/>
      <c r="J34" s="75">
        <f t="shared" si="9"/>
        <v>0</v>
      </c>
      <c r="K34" s="75">
        <f t="shared" si="10"/>
        <v>1500000</v>
      </c>
      <c r="L34" s="109">
        <v>3500000</v>
      </c>
      <c r="M34" s="110">
        <v>2200000</v>
      </c>
      <c r="N34" s="128"/>
    </row>
    <row r="35" spans="1:14" ht="12.75" customHeight="1" x14ac:dyDescent="0.25">
      <c r="A35" s="129" t="s">
        <v>505</v>
      </c>
      <c r="B35" s="73"/>
      <c r="C35" s="130">
        <v>1500000</v>
      </c>
      <c r="D35" s="109"/>
      <c r="E35" s="109"/>
      <c r="F35" s="109"/>
      <c r="G35" s="109"/>
      <c r="H35" s="109"/>
      <c r="I35" s="109"/>
      <c r="J35" s="75">
        <f t="shared" si="9"/>
        <v>0</v>
      </c>
      <c r="K35" s="75">
        <f t="shared" si="10"/>
        <v>1500000</v>
      </c>
      <c r="L35" s="109">
        <v>0</v>
      </c>
      <c r="M35" s="110">
        <v>0</v>
      </c>
      <c r="N35" s="128"/>
    </row>
    <row r="36" spans="1:14" ht="12.75" customHeight="1" x14ac:dyDescent="0.25">
      <c r="A36" s="129" t="s">
        <v>506</v>
      </c>
      <c r="B36" s="73"/>
      <c r="C36" s="130">
        <v>0</v>
      </c>
      <c r="D36" s="109"/>
      <c r="E36" s="109"/>
      <c r="F36" s="109"/>
      <c r="G36" s="109"/>
      <c r="H36" s="109"/>
      <c r="I36" s="109"/>
      <c r="J36" s="75">
        <f t="shared" si="9"/>
        <v>0</v>
      </c>
      <c r="K36" s="75">
        <f t="shared" si="10"/>
        <v>0</v>
      </c>
      <c r="L36" s="109">
        <v>0</v>
      </c>
      <c r="M36" s="110">
        <v>0</v>
      </c>
      <c r="N36" s="128"/>
    </row>
    <row r="37" spans="1:14" ht="12.75" customHeight="1" x14ac:dyDescent="0.25">
      <c r="A37" s="129" t="s">
        <v>507</v>
      </c>
      <c r="B37" s="73"/>
      <c r="C37" s="130">
        <v>500000</v>
      </c>
      <c r="D37" s="109"/>
      <c r="E37" s="109"/>
      <c r="F37" s="109"/>
      <c r="G37" s="109"/>
      <c r="H37" s="109"/>
      <c r="I37" s="109"/>
      <c r="J37" s="75">
        <f t="shared" si="9"/>
        <v>0</v>
      </c>
      <c r="K37" s="75">
        <f t="shared" si="10"/>
        <v>500000</v>
      </c>
      <c r="L37" s="109">
        <v>550000</v>
      </c>
      <c r="M37" s="110">
        <v>600000</v>
      </c>
      <c r="N37" s="128"/>
    </row>
    <row r="38" spans="1:14" ht="12.75" customHeight="1" x14ac:dyDescent="0.25">
      <c r="A38" s="129" t="s">
        <v>508</v>
      </c>
      <c r="B38" s="73"/>
      <c r="C38" s="130">
        <v>0</v>
      </c>
      <c r="D38" s="109"/>
      <c r="E38" s="109"/>
      <c r="F38" s="109"/>
      <c r="G38" s="109"/>
      <c r="H38" s="109"/>
      <c r="I38" s="109"/>
      <c r="J38" s="75">
        <f t="shared" si="9"/>
        <v>0</v>
      </c>
      <c r="K38" s="75">
        <f t="shared" si="10"/>
        <v>0</v>
      </c>
      <c r="L38" s="109">
        <v>0</v>
      </c>
      <c r="M38" s="110">
        <v>0</v>
      </c>
      <c r="N38" s="128"/>
    </row>
    <row r="39" spans="1:14" ht="12.75" customHeight="1" x14ac:dyDescent="0.25">
      <c r="A39" s="129" t="s">
        <v>509</v>
      </c>
      <c r="B39" s="73"/>
      <c r="C39" s="130">
        <v>0</v>
      </c>
      <c r="D39" s="109"/>
      <c r="E39" s="109"/>
      <c r="F39" s="109"/>
      <c r="G39" s="109"/>
      <c r="H39" s="109"/>
      <c r="I39" s="109"/>
      <c r="J39" s="75">
        <f t="shared" si="9"/>
        <v>0</v>
      </c>
      <c r="K39" s="75">
        <f t="shared" si="10"/>
        <v>0</v>
      </c>
      <c r="L39" s="109">
        <v>0</v>
      </c>
      <c r="M39" s="110">
        <v>0</v>
      </c>
      <c r="N39" s="128"/>
    </row>
    <row r="40" spans="1:14" ht="12.75" customHeight="1" x14ac:dyDescent="0.25">
      <c r="A40" s="129" t="s">
        <v>510</v>
      </c>
      <c r="B40" s="73"/>
      <c r="C40" s="130">
        <v>0</v>
      </c>
      <c r="D40" s="109"/>
      <c r="E40" s="109"/>
      <c r="F40" s="109"/>
      <c r="G40" s="109"/>
      <c r="H40" s="109"/>
      <c r="I40" s="109"/>
      <c r="J40" s="75">
        <f t="shared" si="9"/>
        <v>0</v>
      </c>
      <c r="K40" s="75">
        <f t="shared" si="10"/>
        <v>0</v>
      </c>
      <c r="L40" s="109">
        <v>800000</v>
      </c>
      <c r="M40" s="110">
        <v>0</v>
      </c>
      <c r="N40" s="128"/>
    </row>
    <row r="41" spans="1:14" ht="12.75" customHeight="1" x14ac:dyDescent="0.25">
      <c r="A41" s="129" t="s">
        <v>511</v>
      </c>
      <c r="B41" s="73"/>
      <c r="C41" s="130">
        <v>0</v>
      </c>
      <c r="D41" s="109"/>
      <c r="E41" s="109"/>
      <c r="F41" s="109"/>
      <c r="G41" s="109"/>
      <c r="H41" s="109"/>
      <c r="I41" s="109"/>
      <c r="J41" s="75">
        <f t="shared" si="9"/>
        <v>0</v>
      </c>
      <c r="K41" s="75">
        <f t="shared" si="10"/>
        <v>0</v>
      </c>
      <c r="L41" s="109">
        <v>0</v>
      </c>
      <c r="M41" s="110">
        <v>0</v>
      </c>
      <c r="N41" s="128"/>
    </row>
    <row r="42" spans="1:14" ht="12.75" customHeight="1" x14ac:dyDescent="0.25">
      <c r="A42" s="597" t="s">
        <v>512</v>
      </c>
      <c r="B42" s="73"/>
      <c r="C42" s="130">
        <v>0</v>
      </c>
      <c r="D42" s="109"/>
      <c r="E42" s="109"/>
      <c r="F42" s="109"/>
      <c r="G42" s="109"/>
      <c r="H42" s="109"/>
      <c r="I42" s="109"/>
      <c r="J42" s="75">
        <f>SUM(E42:I42)</f>
        <v>0</v>
      </c>
      <c r="K42" s="75">
        <f>IF(D42=0,C42+J42,D42+J42)</f>
        <v>0</v>
      </c>
      <c r="L42" s="109">
        <v>0</v>
      </c>
      <c r="M42" s="110">
        <v>0</v>
      </c>
      <c r="N42" s="128"/>
    </row>
    <row r="43" spans="1:14" ht="12.75" customHeight="1" x14ac:dyDescent="0.25">
      <c r="A43" s="129" t="s">
        <v>671</v>
      </c>
      <c r="B43" s="73"/>
      <c r="C43" s="130">
        <v>0</v>
      </c>
      <c r="D43" s="109"/>
      <c r="E43" s="109"/>
      <c r="F43" s="109"/>
      <c r="G43" s="109"/>
      <c r="H43" s="109"/>
      <c r="I43" s="109"/>
      <c r="J43" s="75">
        <f>SUM(E43:I43)</f>
        <v>0</v>
      </c>
      <c r="K43" s="75">
        <f>IF(D43=0,C43+J43,D43+J43)</f>
        <v>0</v>
      </c>
      <c r="L43" s="109">
        <v>0</v>
      </c>
      <c r="M43" s="110">
        <v>0</v>
      </c>
      <c r="N43" s="128"/>
    </row>
    <row r="44" spans="1:14" ht="5.0999999999999996" customHeight="1" x14ac:dyDescent="0.25">
      <c r="A44" s="136"/>
      <c r="B44" s="73"/>
      <c r="C44" s="74"/>
      <c r="D44" s="75"/>
      <c r="E44" s="75"/>
      <c r="F44" s="75"/>
      <c r="G44" s="75"/>
      <c r="H44" s="75"/>
      <c r="I44" s="75"/>
      <c r="J44" s="75"/>
      <c r="K44" s="75"/>
      <c r="L44" s="75"/>
      <c r="M44" s="76"/>
      <c r="N44" s="128"/>
    </row>
    <row r="45" spans="1:14" ht="12.75" customHeight="1" x14ac:dyDescent="0.25">
      <c r="A45" s="126" t="s">
        <v>830</v>
      </c>
      <c r="B45" s="73"/>
      <c r="C45" s="140">
        <f>SUM(C46:C47)</f>
        <v>0</v>
      </c>
      <c r="D45" s="141">
        <f t="shared" ref="D45:M45" si="11">SUM(D46:D47)</f>
        <v>0</v>
      </c>
      <c r="E45" s="141">
        <f t="shared" si="11"/>
        <v>0</v>
      </c>
      <c r="F45" s="141">
        <f t="shared" si="11"/>
        <v>0</v>
      </c>
      <c r="G45" s="141">
        <f t="shared" si="11"/>
        <v>0</v>
      </c>
      <c r="H45" s="141">
        <f t="shared" si="11"/>
        <v>0</v>
      </c>
      <c r="I45" s="141">
        <f t="shared" si="11"/>
        <v>0</v>
      </c>
      <c r="J45" s="141">
        <f>SUM(J46:J47)</f>
        <v>0</v>
      </c>
      <c r="K45" s="141">
        <f>SUM(K46:K47)</f>
        <v>0</v>
      </c>
      <c r="L45" s="141">
        <f t="shared" si="11"/>
        <v>0</v>
      </c>
      <c r="M45" s="142">
        <f t="shared" si="11"/>
        <v>0</v>
      </c>
      <c r="N45" s="128"/>
    </row>
    <row r="46" spans="1:14" ht="12.75" customHeight="1" x14ac:dyDescent="0.25">
      <c r="A46" s="129" t="s">
        <v>513</v>
      </c>
      <c r="B46" s="73"/>
      <c r="C46" s="130"/>
      <c r="D46" s="109"/>
      <c r="E46" s="109"/>
      <c r="F46" s="109"/>
      <c r="G46" s="109"/>
      <c r="H46" s="109"/>
      <c r="I46" s="109"/>
      <c r="J46" s="75">
        <f>SUM(E46:I46)</f>
        <v>0</v>
      </c>
      <c r="K46" s="75">
        <f>IF(D46=0,C46+J46,D46+J46)</f>
        <v>0</v>
      </c>
      <c r="L46" s="109"/>
      <c r="M46" s="110"/>
      <c r="N46" s="128"/>
    </row>
    <row r="47" spans="1:14" ht="12.75" customHeight="1" x14ac:dyDescent="0.25">
      <c r="A47" s="599" t="s">
        <v>671</v>
      </c>
      <c r="B47" s="73"/>
      <c r="C47" s="130"/>
      <c r="D47" s="109"/>
      <c r="E47" s="109"/>
      <c r="F47" s="109"/>
      <c r="G47" s="109"/>
      <c r="H47" s="109"/>
      <c r="I47" s="109"/>
      <c r="J47" s="75">
        <f>SUM(E47:I47)</f>
        <v>0</v>
      </c>
      <c r="K47" s="75">
        <f>IF(D47=0,C47+J47,D47+J47)</f>
        <v>0</v>
      </c>
      <c r="L47" s="109"/>
      <c r="M47" s="110"/>
      <c r="N47" s="128"/>
    </row>
    <row r="48" spans="1:14" ht="5.0999999999999996" customHeight="1" x14ac:dyDescent="0.25">
      <c r="A48" s="136"/>
      <c r="B48" s="73"/>
      <c r="C48" s="127"/>
      <c r="D48" s="172"/>
      <c r="E48" s="172"/>
      <c r="F48" s="172"/>
      <c r="G48" s="172"/>
      <c r="H48" s="172"/>
      <c r="I48" s="172"/>
      <c r="J48" s="75"/>
      <c r="K48" s="75"/>
      <c r="L48" s="75"/>
      <c r="M48" s="76"/>
      <c r="N48" s="128"/>
    </row>
    <row r="49" spans="1:14" ht="12.75" customHeight="1" x14ac:dyDescent="0.25">
      <c r="A49" s="126" t="s">
        <v>831</v>
      </c>
      <c r="B49" s="73"/>
      <c r="C49" s="140">
        <f t="shared" ref="C49:M49" si="12">SUM(C50:C51)</f>
        <v>0</v>
      </c>
      <c r="D49" s="141">
        <f t="shared" si="12"/>
        <v>0</v>
      </c>
      <c r="E49" s="141">
        <f t="shared" si="12"/>
        <v>0</v>
      </c>
      <c r="F49" s="141">
        <f t="shared" si="12"/>
        <v>0</v>
      </c>
      <c r="G49" s="141">
        <f t="shared" si="12"/>
        <v>0</v>
      </c>
      <c r="H49" s="141">
        <f t="shared" si="12"/>
        <v>0</v>
      </c>
      <c r="I49" s="141">
        <f t="shared" si="12"/>
        <v>0</v>
      </c>
      <c r="J49" s="141">
        <f>SUM(J50:J51)</f>
        <v>0</v>
      </c>
      <c r="K49" s="141">
        <f>SUM(K50:K51)</f>
        <v>0</v>
      </c>
      <c r="L49" s="141">
        <f t="shared" si="12"/>
        <v>0</v>
      </c>
      <c r="M49" s="142">
        <f t="shared" si="12"/>
        <v>0</v>
      </c>
      <c r="N49" s="128"/>
    </row>
    <row r="50" spans="1:14" ht="12.75" customHeight="1" x14ac:dyDescent="0.25">
      <c r="A50" s="129" t="s">
        <v>514</v>
      </c>
      <c r="B50" s="73"/>
      <c r="C50" s="130"/>
      <c r="D50" s="109"/>
      <c r="E50" s="109"/>
      <c r="F50" s="109"/>
      <c r="G50" s="109"/>
      <c r="H50" s="109"/>
      <c r="I50" s="109"/>
      <c r="J50" s="75">
        <f>SUM(E50:I50)</f>
        <v>0</v>
      </c>
      <c r="K50" s="75">
        <f>IF(D50=0,C50+J50,D50+J50)</f>
        <v>0</v>
      </c>
      <c r="L50" s="109"/>
      <c r="M50" s="110"/>
      <c r="N50" s="128"/>
    </row>
    <row r="51" spans="1:14" ht="12.75" customHeight="1" x14ac:dyDescent="0.25">
      <c r="A51" s="129" t="s">
        <v>671</v>
      </c>
      <c r="B51" s="73"/>
      <c r="C51" s="130"/>
      <c r="D51" s="109"/>
      <c r="E51" s="109"/>
      <c r="F51" s="109"/>
      <c r="G51" s="109"/>
      <c r="H51" s="109"/>
      <c r="I51" s="109"/>
      <c r="J51" s="75">
        <f>SUM(E51:I51)</f>
        <v>0</v>
      </c>
      <c r="K51" s="75">
        <f>IF(D51=0,C51+J51,D51+J51)</f>
        <v>0</v>
      </c>
      <c r="L51" s="109"/>
      <c r="M51" s="110"/>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26" t="s">
        <v>832</v>
      </c>
      <c r="B53" s="73"/>
      <c r="C53" s="140">
        <f t="shared" ref="C53:M53" si="13">SUM(C54:C65)</f>
        <v>27800000</v>
      </c>
      <c r="D53" s="141">
        <f t="shared" si="13"/>
        <v>0</v>
      </c>
      <c r="E53" s="141">
        <f t="shared" si="13"/>
        <v>0</v>
      </c>
      <c r="F53" s="141">
        <f t="shared" si="13"/>
        <v>0</v>
      </c>
      <c r="G53" s="141">
        <f t="shared" si="13"/>
        <v>0</v>
      </c>
      <c r="H53" s="141">
        <f t="shared" si="13"/>
        <v>0</v>
      </c>
      <c r="I53" s="141">
        <f t="shared" si="13"/>
        <v>0</v>
      </c>
      <c r="J53" s="141">
        <f>SUM(J54:J65)</f>
        <v>0</v>
      </c>
      <c r="K53" s="141">
        <f t="shared" si="13"/>
        <v>27800000</v>
      </c>
      <c r="L53" s="141">
        <f t="shared" si="13"/>
        <v>30500000</v>
      </c>
      <c r="M53" s="142">
        <f t="shared" si="13"/>
        <v>31500000</v>
      </c>
      <c r="N53" s="128"/>
    </row>
    <row r="54" spans="1:14" ht="12.75" customHeight="1" x14ac:dyDescent="0.25">
      <c r="A54" s="30" t="s">
        <v>516</v>
      </c>
      <c r="B54" s="73"/>
      <c r="C54" s="130"/>
      <c r="D54" s="109"/>
      <c r="E54" s="109"/>
      <c r="F54" s="109"/>
      <c r="G54" s="109"/>
      <c r="H54" s="109"/>
      <c r="I54" s="109"/>
      <c r="J54" s="75">
        <f>SUM(E54:I54)</f>
        <v>0</v>
      </c>
      <c r="K54" s="75">
        <f>IF(D54=0,C54+J54,D54+J54)</f>
        <v>0</v>
      </c>
      <c r="L54" s="109"/>
      <c r="M54" s="110"/>
      <c r="N54" s="128"/>
    </row>
    <row r="55" spans="1:14" ht="12.75" customHeight="1" x14ac:dyDescent="0.25">
      <c r="A55" s="599" t="s">
        <v>517</v>
      </c>
      <c r="B55" s="73">
        <v>18</v>
      </c>
      <c r="C55" s="131">
        <f>C81</f>
        <v>0</v>
      </c>
      <c r="D55" s="132">
        <f t="shared" ref="D55:I55" si="14">D81</f>
        <v>0</v>
      </c>
      <c r="E55" s="132">
        <f t="shared" si="14"/>
        <v>0</v>
      </c>
      <c r="F55" s="132">
        <f t="shared" si="14"/>
        <v>0</v>
      </c>
      <c r="G55" s="132">
        <f t="shared" si="14"/>
        <v>0</v>
      </c>
      <c r="H55" s="132">
        <f t="shared" si="14"/>
        <v>0</v>
      </c>
      <c r="I55" s="132">
        <f t="shared" si="14"/>
        <v>0</v>
      </c>
      <c r="J55" s="75">
        <f>SUM(E55:I55)</f>
        <v>0</v>
      </c>
      <c r="K55" s="75">
        <f>IF(D55=0,C55+J55,D55+J55)</f>
        <v>0</v>
      </c>
      <c r="L55" s="132">
        <f>L81</f>
        <v>0</v>
      </c>
      <c r="M55" s="133">
        <f>M81</f>
        <v>0</v>
      </c>
      <c r="N55" s="128"/>
    </row>
    <row r="56" spans="1:14" ht="12.75" customHeight="1" x14ac:dyDescent="0.25">
      <c r="A56" s="30" t="s">
        <v>518</v>
      </c>
      <c r="B56" s="137"/>
      <c r="C56" s="130">
        <v>0</v>
      </c>
      <c r="D56" s="109"/>
      <c r="E56" s="109"/>
      <c r="F56" s="109"/>
      <c r="G56" s="109"/>
      <c r="H56" s="109"/>
      <c r="I56" s="109"/>
      <c r="J56" s="75">
        <f t="shared" ref="J56:J65" si="15">SUM(E56:I56)</f>
        <v>0</v>
      </c>
      <c r="K56" s="75">
        <f t="shared" ref="K56:K65" si="16">IF(D56=0,C56+J56,D56+J56)</f>
        <v>0</v>
      </c>
      <c r="L56" s="109"/>
      <c r="M56" s="110"/>
      <c r="N56" s="128"/>
    </row>
    <row r="57" spans="1:14" ht="12.75" customHeight="1" x14ac:dyDescent="0.25">
      <c r="A57" s="30" t="s">
        <v>519</v>
      </c>
      <c r="B57" s="73"/>
      <c r="C57" s="130">
        <v>0</v>
      </c>
      <c r="D57" s="109"/>
      <c r="E57" s="109"/>
      <c r="F57" s="109"/>
      <c r="G57" s="109"/>
      <c r="H57" s="109"/>
      <c r="I57" s="109"/>
      <c r="J57" s="75">
        <f t="shared" si="15"/>
        <v>0</v>
      </c>
      <c r="K57" s="75">
        <f t="shared" si="16"/>
        <v>0</v>
      </c>
      <c r="L57" s="109">
        <v>0</v>
      </c>
      <c r="M57" s="110">
        <v>0</v>
      </c>
      <c r="N57" s="128"/>
    </row>
    <row r="58" spans="1:14" ht="12.75" customHeight="1" x14ac:dyDescent="0.25">
      <c r="A58" s="30" t="s">
        <v>520</v>
      </c>
      <c r="B58" s="73"/>
      <c r="C58" s="130">
        <v>1500000</v>
      </c>
      <c r="D58" s="109"/>
      <c r="E58" s="109"/>
      <c r="F58" s="109"/>
      <c r="G58" s="109"/>
      <c r="H58" s="109"/>
      <c r="I58" s="109"/>
      <c r="J58" s="75">
        <f t="shared" si="15"/>
        <v>0</v>
      </c>
      <c r="K58" s="75">
        <f t="shared" si="16"/>
        <v>1500000</v>
      </c>
      <c r="L58" s="109">
        <v>2000000</v>
      </c>
      <c r="M58" s="110">
        <v>2000000</v>
      </c>
      <c r="N58" s="128"/>
    </row>
    <row r="59" spans="1:14" ht="12.75" customHeight="1" x14ac:dyDescent="0.25">
      <c r="A59" s="30" t="s">
        <v>521</v>
      </c>
      <c r="B59" s="73"/>
      <c r="C59" s="130">
        <v>0</v>
      </c>
      <c r="D59" s="109"/>
      <c r="E59" s="109"/>
      <c r="F59" s="109"/>
      <c r="G59" s="109"/>
      <c r="H59" s="109"/>
      <c r="I59" s="109"/>
      <c r="J59" s="75">
        <f t="shared" si="15"/>
        <v>0</v>
      </c>
      <c r="K59" s="75">
        <f t="shared" si="16"/>
        <v>0</v>
      </c>
      <c r="L59" s="109">
        <v>0</v>
      </c>
      <c r="M59" s="110">
        <v>0</v>
      </c>
      <c r="N59" s="128"/>
    </row>
    <row r="60" spans="1:14" ht="12.75" customHeight="1" x14ac:dyDescent="0.25">
      <c r="A60" s="30" t="s">
        <v>522</v>
      </c>
      <c r="B60" s="73"/>
      <c r="C60" s="130">
        <v>0</v>
      </c>
      <c r="D60" s="109"/>
      <c r="E60" s="109"/>
      <c r="F60" s="109"/>
      <c r="G60" s="109"/>
      <c r="H60" s="109"/>
      <c r="I60" s="109"/>
      <c r="J60" s="75">
        <f t="shared" si="15"/>
        <v>0</v>
      </c>
      <c r="K60" s="75">
        <f t="shared" si="16"/>
        <v>0</v>
      </c>
      <c r="L60" s="109">
        <v>0</v>
      </c>
      <c r="M60" s="110">
        <v>0</v>
      </c>
      <c r="N60" s="128"/>
    </row>
    <row r="61" spans="1:14" ht="12.75" customHeight="1" x14ac:dyDescent="0.25">
      <c r="A61" s="30" t="s">
        <v>523</v>
      </c>
      <c r="B61" s="73"/>
      <c r="C61" s="130">
        <v>19000000</v>
      </c>
      <c r="D61" s="109"/>
      <c r="E61" s="109"/>
      <c r="F61" s="109"/>
      <c r="G61" s="109"/>
      <c r="H61" s="109"/>
      <c r="I61" s="109"/>
      <c r="J61" s="75">
        <f t="shared" si="15"/>
        <v>0</v>
      </c>
      <c r="K61" s="75">
        <f t="shared" si="16"/>
        <v>19000000</v>
      </c>
      <c r="L61" s="109">
        <v>15000000</v>
      </c>
      <c r="M61" s="110">
        <v>15000000</v>
      </c>
      <c r="N61" s="128"/>
    </row>
    <row r="62" spans="1:14" ht="12.75" customHeight="1" x14ac:dyDescent="0.25">
      <c r="A62" s="30" t="s">
        <v>524</v>
      </c>
      <c r="B62" s="73"/>
      <c r="C62" s="130">
        <v>3000000</v>
      </c>
      <c r="D62" s="109"/>
      <c r="E62" s="109"/>
      <c r="F62" s="109"/>
      <c r="G62" s="109"/>
      <c r="H62" s="109"/>
      <c r="I62" s="109"/>
      <c r="J62" s="75">
        <f t="shared" si="15"/>
        <v>0</v>
      </c>
      <c r="K62" s="75">
        <f t="shared" si="16"/>
        <v>3000000</v>
      </c>
      <c r="L62" s="109">
        <v>6500000</v>
      </c>
      <c r="M62" s="110">
        <v>7500000</v>
      </c>
      <c r="N62" s="128"/>
    </row>
    <row r="63" spans="1:14" ht="12.75" customHeight="1" x14ac:dyDescent="0.25">
      <c r="A63" s="30" t="s">
        <v>525</v>
      </c>
      <c r="B63" s="73"/>
      <c r="C63" s="130">
        <v>0</v>
      </c>
      <c r="D63" s="109"/>
      <c r="E63" s="109"/>
      <c r="F63" s="109"/>
      <c r="G63" s="109"/>
      <c r="H63" s="109"/>
      <c r="I63" s="109"/>
      <c r="J63" s="75">
        <f t="shared" si="15"/>
        <v>0</v>
      </c>
      <c r="K63" s="75">
        <f t="shared" si="16"/>
        <v>0</v>
      </c>
      <c r="L63" s="109">
        <v>0</v>
      </c>
      <c r="M63" s="110">
        <v>0</v>
      </c>
      <c r="N63" s="128"/>
    </row>
    <row r="64" spans="1:14" ht="12.75" customHeight="1" x14ac:dyDescent="0.25">
      <c r="A64" s="30" t="s">
        <v>526</v>
      </c>
      <c r="B64" s="73"/>
      <c r="C64" s="130">
        <v>0</v>
      </c>
      <c r="D64" s="109"/>
      <c r="E64" s="109"/>
      <c r="F64" s="109"/>
      <c r="G64" s="109"/>
      <c r="H64" s="109"/>
      <c r="I64" s="109"/>
      <c r="J64" s="75">
        <f t="shared" si="15"/>
        <v>0</v>
      </c>
      <c r="K64" s="75">
        <f t="shared" si="16"/>
        <v>0</v>
      </c>
      <c r="L64" s="109">
        <v>0</v>
      </c>
      <c r="M64" s="110">
        <v>0</v>
      </c>
      <c r="N64" s="128"/>
    </row>
    <row r="65" spans="1:14" ht="12.75" customHeight="1" x14ac:dyDescent="0.25">
      <c r="A65" s="129" t="s">
        <v>671</v>
      </c>
      <c r="B65" s="73"/>
      <c r="C65" s="130">
        <v>4300000</v>
      </c>
      <c r="D65" s="109"/>
      <c r="E65" s="109"/>
      <c r="F65" s="109"/>
      <c r="G65" s="109"/>
      <c r="H65" s="109"/>
      <c r="I65" s="109"/>
      <c r="J65" s="75">
        <f t="shared" si="15"/>
        <v>0</v>
      </c>
      <c r="K65" s="75">
        <f t="shared" si="16"/>
        <v>4300000</v>
      </c>
      <c r="L65" s="109">
        <v>7000000</v>
      </c>
      <c r="M65" s="110">
        <v>7000000</v>
      </c>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1342</v>
      </c>
      <c r="B67" s="73"/>
      <c r="C67" s="140">
        <f t="shared" ref="C67:M67" si="17">SUM(C68:C69)</f>
        <v>0</v>
      </c>
      <c r="D67" s="141">
        <f t="shared" si="17"/>
        <v>0</v>
      </c>
      <c r="E67" s="141">
        <f t="shared" si="17"/>
        <v>0</v>
      </c>
      <c r="F67" s="141">
        <f t="shared" si="17"/>
        <v>0</v>
      </c>
      <c r="G67" s="141">
        <f t="shared" si="17"/>
        <v>0</v>
      </c>
      <c r="H67" s="141">
        <f t="shared" si="17"/>
        <v>0</v>
      </c>
      <c r="I67" s="141">
        <f t="shared" si="17"/>
        <v>0</v>
      </c>
      <c r="J67" s="141">
        <f>SUM(J68:J69)</f>
        <v>0</v>
      </c>
      <c r="K67" s="141">
        <f t="shared" si="17"/>
        <v>0</v>
      </c>
      <c r="L67" s="141">
        <f t="shared" si="17"/>
        <v>0</v>
      </c>
      <c r="M67" s="142">
        <f t="shared" si="17"/>
        <v>0</v>
      </c>
      <c r="N67" s="128"/>
    </row>
    <row r="68" spans="1:14" ht="12.75" customHeight="1" x14ac:dyDescent="0.25">
      <c r="A68" s="828"/>
      <c r="B68" s="73"/>
      <c r="C68" s="130"/>
      <c r="D68" s="109"/>
      <c r="E68" s="109"/>
      <c r="F68" s="109"/>
      <c r="G68" s="109"/>
      <c r="H68" s="109"/>
      <c r="I68" s="109"/>
      <c r="J68" s="75">
        <f>SUM(E68:I68)</f>
        <v>0</v>
      </c>
      <c r="K68" s="75">
        <f>IF(D68=0,C68+J68,D68+J68)</f>
        <v>0</v>
      </c>
      <c r="L68" s="109"/>
      <c r="M68" s="110"/>
      <c r="N68" s="128"/>
    </row>
    <row r="69" spans="1:14" ht="12.75" customHeight="1" x14ac:dyDescent="0.25">
      <c r="A69" s="295" t="s">
        <v>529</v>
      </c>
      <c r="B69" s="73"/>
      <c r="C69" s="130"/>
      <c r="D69" s="109"/>
      <c r="E69" s="109"/>
      <c r="F69" s="109"/>
      <c r="G69" s="109"/>
      <c r="H69" s="109"/>
      <c r="I69" s="109"/>
      <c r="J69" s="75">
        <f>SUM(E69:I69)</f>
        <v>0</v>
      </c>
      <c r="K69" s="75">
        <f>IF(D69=0,C69+J69,D69+J69)</f>
        <v>0</v>
      </c>
      <c r="L69" s="109"/>
      <c r="M69" s="110"/>
      <c r="N69" s="128"/>
    </row>
    <row r="70" spans="1:14" ht="5.0999999999999996" customHeight="1" x14ac:dyDescent="0.25">
      <c r="A70" s="136"/>
      <c r="B70" s="73"/>
      <c r="C70" s="74"/>
      <c r="D70" s="75"/>
      <c r="E70" s="75"/>
      <c r="F70" s="75"/>
      <c r="G70" s="75"/>
      <c r="H70" s="75"/>
      <c r="I70" s="75"/>
      <c r="J70" s="75"/>
      <c r="K70" s="75"/>
      <c r="L70" s="75"/>
      <c r="M70" s="76"/>
      <c r="N70" s="128"/>
    </row>
    <row r="71" spans="1:14" ht="12.75" customHeight="1" x14ac:dyDescent="0.25">
      <c r="A71" s="126" t="s">
        <v>834</v>
      </c>
      <c r="B71" s="73"/>
      <c r="C71" s="140">
        <f t="shared" ref="C71:M71" si="18">SUM(C72:C73)</f>
        <v>0</v>
      </c>
      <c r="D71" s="141">
        <f t="shared" si="18"/>
        <v>0</v>
      </c>
      <c r="E71" s="141">
        <f t="shared" si="18"/>
        <v>0</v>
      </c>
      <c r="F71" s="141">
        <f t="shared" si="18"/>
        <v>0</v>
      </c>
      <c r="G71" s="141">
        <f t="shared" si="18"/>
        <v>0</v>
      </c>
      <c r="H71" s="141">
        <f t="shared" si="18"/>
        <v>0</v>
      </c>
      <c r="I71" s="141">
        <f t="shared" si="18"/>
        <v>0</v>
      </c>
      <c r="J71" s="141">
        <f>SUM(J72:J73)</f>
        <v>0</v>
      </c>
      <c r="K71" s="141">
        <f t="shared" si="18"/>
        <v>0</v>
      </c>
      <c r="L71" s="141">
        <f t="shared" si="18"/>
        <v>0</v>
      </c>
      <c r="M71" s="142">
        <f t="shared" si="18"/>
        <v>0</v>
      </c>
      <c r="N71" s="128"/>
    </row>
    <row r="72" spans="1:14" ht="12.75" customHeight="1" x14ac:dyDescent="0.25">
      <c r="A72" s="828"/>
      <c r="B72" s="73"/>
      <c r="C72" s="130"/>
      <c r="D72" s="109"/>
      <c r="E72" s="109"/>
      <c r="F72" s="109"/>
      <c r="G72" s="109"/>
      <c r="H72" s="109"/>
      <c r="I72" s="109"/>
      <c r="J72" s="75">
        <f>SUM(E72:I72)</f>
        <v>0</v>
      </c>
      <c r="K72" s="75">
        <f>IF(D72=0,C72+J72,D72+J72)</f>
        <v>0</v>
      </c>
      <c r="L72" s="109"/>
      <c r="M72" s="110"/>
      <c r="N72" s="128"/>
    </row>
    <row r="73" spans="1:14" ht="12.75" customHeight="1" x14ac:dyDescent="0.25">
      <c r="A73" s="295" t="s">
        <v>529</v>
      </c>
      <c r="B73" s="73"/>
      <c r="C73" s="130"/>
      <c r="D73" s="109"/>
      <c r="E73" s="109"/>
      <c r="F73" s="109"/>
      <c r="G73" s="109"/>
      <c r="H73" s="109"/>
      <c r="I73" s="109"/>
      <c r="J73" s="75">
        <f>SUM(E73:I73)</f>
        <v>0</v>
      </c>
      <c r="K73" s="75">
        <f>IF(D73=0,C73+J73,D73+J73)</f>
        <v>0</v>
      </c>
      <c r="L73" s="109"/>
      <c r="M73" s="110"/>
      <c r="N73" s="128"/>
    </row>
    <row r="74" spans="1:14" ht="5.0999999999999996" customHeight="1" x14ac:dyDescent="0.25">
      <c r="A74" s="136"/>
      <c r="B74" s="73"/>
      <c r="C74" s="74"/>
      <c r="D74" s="75"/>
      <c r="E74" s="75"/>
      <c r="F74" s="75"/>
      <c r="G74" s="75"/>
      <c r="H74" s="75"/>
      <c r="I74" s="75"/>
      <c r="J74" s="75"/>
      <c r="K74" s="75"/>
      <c r="L74" s="75"/>
      <c r="M74" s="76"/>
      <c r="N74" s="128"/>
    </row>
    <row r="75" spans="1:14" ht="12.75" customHeight="1" x14ac:dyDescent="0.25">
      <c r="A75" s="126" t="s">
        <v>833</v>
      </c>
      <c r="B75" s="73"/>
      <c r="C75" s="140">
        <f t="shared" ref="C75:M75" si="19">SUM(C76:C77)</f>
        <v>0</v>
      </c>
      <c r="D75" s="141">
        <f t="shared" si="19"/>
        <v>0</v>
      </c>
      <c r="E75" s="141">
        <f t="shared" si="19"/>
        <v>0</v>
      </c>
      <c r="F75" s="141">
        <f t="shared" si="19"/>
        <v>0</v>
      </c>
      <c r="G75" s="141">
        <f t="shared" si="19"/>
        <v>0</v>
      </c>
      <c r="H75" s="141">
        <f t="shared" si="19"/>
        <v>0</v>
      </c>
      <c r="I75" s="141">
        <f t="shared" si="19"/>
        <v>0</v>
      </c>
      <c r="J75" s="141">
        <f>SUM(J76:J77)</f>
        <v>0</v>
      </c>
      <c r="K75" s="141">
        <f t="shared" si="19"/>
        <v>0</v>
      </c>
      <c r="L75" s="141">
        <f t="shared" si="19"/>
        <v>0</v>
      </c>
      <c r="M75" s="142">
        <f t="shared" si="19"/>
        <v>0</v>
      </c>
      <c r="N75" s="128"/>
    </row>
    <row r="76" spans="1:14" ht="12.75" customHeight="1" x14ac:dyDescent="0.25">
      <c r="A76" s="30" t="s">
        <v>527</v>
      </c>
      <c r="B76" s="73"/>
      <c r="C76" s="829"/>
      <c r="D76" s="830"/>
      <c r="E76" s="830"/>
      <c r="F76" s="830"/>
      <c r="G76" s="830"/>
      <c r="H76" s="830"/>
      <c r="I76" s="830"/>
      <c r="J76" s="141">
        <f>SUM(E76:I76)</f>
        <v>0</v>
      </c>
      <c r="K76" s="141">
        <f>IF(D76=0,C76+J76,D76+J76)</f>
        <v>0</v>
      </c>
      <c r="L76" s="830">
        <v>0</v>
      </c>
      <c r="M76" s="831">
        <v>0</v>
      </c>
      <c r="N76" s="128"/>
    </row>
    <row r="77" spans="1:14" ht="12.75" customHeight="1" x14ac:dyDescent="0.25">
      <c r="A77" s="486" t="s">
        <v>528</v>
      </c>
      <c r="B77" s="73"/>
      <c r="C77" s="130"/>
      <c r="D77" s="109"/>
      <c r="E77" s="109"/>
      <c r="F77" s="109"/>
      <c r="G77" s="109"/>
      <c r="H77" s="109"/>
      <c r="I77" s="109"/>
      <c r="J77" s="75">
        <f>SUM(E77:I77)</f>
        <v>0</v>
      </c>
      <c r="K77" s="75">
        <f>IF(D77=0,C77+J77,D77+J77)</f>
        <v>0</v>
      </c>
      <c r="L77" s="109"/>
      <c r="M77" s="110"/>
      <c r="N77" s="128"/>
    </row>
    <row r="78" spans="1:14" ht="5.0999999999999996" customHeight="1" x14ac:dyDescent="0.25">
      <c r="A78" s="136"/>
      <c r="B78" s="73"/>
      <c r="C78" s="74"/>
      <c r="D78" s="75"/>
      <c r="E78" s="75"/>
      <c r="F78" s="75"/>
      <c r="G78" s="75"/>
      <c r="H78" s="75"/>
      <c r="I78" s="75"/>
      <c r="J78" s="75"/>
      <c r="K78" s="75"/>
      <c r="L78" s="75"/>
      <c r="M78" s="76"/>
      <c r="N78" s="128"/>
    </row>
    <row r="79" spans="1:14" ht="26.25" customHeight="1" x14ac:dyDescent="0.25">
      <c r="A79" s="876" t="s">
        <v>1348</v>
      </c>
      <c r="B79" s="156">
        <v>1</v>
      </c>
      <c r="C79" s="877">
        <f t="shared" ref="C79:I79" si="20">C8+C29+C45+C49+C53+C75+C67+C71</f>
        <v>153993000</v>
      </c>
      <c r="D79" s="878">
        <f t="shared" si="20"/>
        <v>0</v>
      </c>
      <c r="E79" s="878">
        <f t="shared" si="20"/>
        <v>0</v>
      </c>
      <c r="F79" s="878">
        <f t="shared" si="20"/>
        <v>0</v>
      </c>
      <c r="G79" s="878">
        <f t="shared" si="20"/>
        <v>0</v>
      </c>
      <c r="H79" s="878">
        <f t="shared" si="20"/>
        <v>0</v>
      </c>
      <c r="I79" s="878">
        <f t="shared" si="20"/>
        <v>0</v>
      </c>
      <c r="J79" s="878">
        <f>J8+J29+J45+J49+J53+J71+J75</f>
        <v>0</v>
      </c>
      <c r="K79" s="878">
        <f>K8+K29+K45+K49+K53+K71+K75</f>
        <v>153993000</v>
      </c>
      <c r="L79" s="878">
        <f>L8+L29+L45+L49+L53+L75+L67+L71</f>
        <v>190686000</v>
      </c>
      <c r="M79" s="879">
        <f>M8+M29+M45+M49+M53+M75+M67+M71</f>
        <v>225610000</v>
      </c>
      <c r="N79" s="128"/>
    </row>
    <row r="80" spans="1:14" ht="12.75" customHeight="1" x14ac:dyDescent="0.25">
      <c r="A80" s="509"/>
      <c r="B80" s="121"/>
      <c r="C80" s="510"/>
      <c r="D80" s="510"/>
      <c r="E80" s="510"/>
      <c r="F80" s="510"/>
      <c r="G80" s="510"/>
      <c r="H80" s="510"/>
      <c r="I80" s="510"/>
      <c r="J80" s="510"/>
      <c r="K80" s="510"/>
      <c r="L80" s="510"/>
      <c r="M80" s="510"/>
      <c r="N80" s="128"/>
    </row>
    <row r="81" spans="1:14" ht="12.75" customHeight="1" x14ac:dyDescent="0.25">
      <c r="A81" s="869" t="s">
        <v>517</v>
      </c>
      <c r="B81" s="312">
        <v>18</v>
      </c>
      <c r="C81" s="870">
        <f t="shared" ref="C81:I81" si="21">SUM(C82:C85)</f>
        <v>0</v>
      </c>
      <c r="D81" s="871">
        <f t="shared" si="21"/>
        <v>0</v>
      </c>
      <c r="E81" s="871">
        <f t="shared" si="21"/>
        <v>0</v>
      </c>
      <c r="F81" s="871">
        <f t="shared" si="21"/>
        <v>0</v>
      </c>
      <c r="G81" s="871">
        <f t="shared" si="21"/>
        <v>0</v>
      </c>
      <c r="H81" s="871">
        <f t="shared" si="21"/>
        <v>0</v>
      </c>
      <c r="I81" s="871">
        <f t="shared" si="21"/>
        <v>0</v>
      </c>
      <c r="J81" s="871">
        <f>SUM(E81:I81)</f>
        <v>0</v>
      </c>
      <c r="K81" s="871">
        <f>IF(D81=0,C81+J81,D81+J81)</f>
        <v>0</v>
      </c>
      <c r="L81" s="871">
        <f>SUM(L82:L85)</f>
        <v>0</v>
      </c>
      <c r="M81" s="872">
        <f>SUM(M82:M85)</f>
        <v>0</v>
      </c>
      <c r="N81" s="128"/>
    </row>
    <row r="82" spans="1:14" ht="12.75" customHeight="1" x14ac:dyDescent="0.25">
      <c r="A82" s="129" t="s">
        <v>1233</v>
      </c>
      <c r="B82" s="73"/>
      <c r="C82" s="391"/>
      <c r="D82" s="109"/>
      <c r="E82" s="109"/>
      <c r="F82" s="109"/>
      <c r="G82" s="109"/>
      <c r="H82" s="109"/>
      <c r="I82" s="109"/>
      <c r="J82" s="141">
        <f>SUM(E82:I82)</f>
        <v>0</v>
      </c>
      <c r="K82" s="141">
        <f>IF(D82=0,C82+J82,D82+J82)</f>
        <v>0</v>
      </c>
      <c r="L82" s="109"/>
      <c r="M82" s="110"/>
      <c r="N82" s="128"/>
    </row>
    <row r="83" spans="1:14" ht="12.75" customHeight="1" x14ac:dyDescent="0.25">
      <c r="A83" s="129" t="s">
        <v>1121</v>
      </c>
      <c r="B83" s="73"/>
      <c r="C83" s="391"/>
      <c r="D83" s="109"/>
      <c r="E83" s="109"/>
      <c r="F83" s="109"/>
      <c r="G83" s="109"/>
      <c r="H83" s="109"/>
      <c r="I83" s="109"/>
      <c r="J83" s="141">
        <f>SUM(E83:I83)</f>
        <v>0</v>
      </c>
      <c r="K83" s="141">
        <f>IF(D83=0,C83+J83,D83+J83)</f>
        <v>0</v>
      </c>
      <c r="L83" s="109"/>
      <c r="M83" s="110"/>
      <c r="N83" s="128"/>
    </row>
    <row r="84" spans="1:14" ht="12.75" customHeight="1" x14ac:dyDescent="0.25">
      <c r="A84" s="129" t="s">
        <v>577</v>
      </c>
      <c r="B84" s="73"/>
      <c r="C84" s="391"/>
      <c r="D84" s="109"/>
      <c r="E84" s="109"/>
      <c r="F84" s="109"/>
      <c r="G84" s="109"/>
      <c r="H84" s="109"/>
      <c r="I84" s="109"/>
      <c r="J84" s="141">
        <f>SUM(E84:I84)</f>
        <v>0</v>
      </c>
      <c r="K84" s="141">
        <f>IF(D84=0,C84+J84,D84+J84)</f>
        <v>0</v>
      </c>
      <c r="L84" s="109"/>
      <c r="M84" s="110"/>
      <c r="N84" s="128"/>
    </row>
    <row r="85" spans="1:14" ht="12.75" customHeight="1" x14ac:dyDescent="0.25">
      <c r="A85" s="176" t="s">
        <v>578</v>
      </c>
      <c r="B85" s="88"/>
      <c r="C85" s="317"/>
      <c r="D85" s="318"/>
      <c r="E85" s="318"/>
      <c r="F85" s="318"/>
      <c r="G85" s="318"/>
      <c r="H85" s="318"/>
      <c r="I85" s="318"/>
      <c r="J85" s="90">
        <f>SUM(E85:I85)</f>
        <v>0</v>
      </c>
      <c r="K85" s="90">
        <f>IF(D85=0,C85+J85,D85+J85)</f>
        <v>0</v>
      </c>
      <c r="L85" s="318"/>
      <c r="M85" s="319"/>
      <c r="N85" s="128"/>
    </row>
    <row r="86" spans="1:14" ht="12.75" customHeight="1" x14ac:dyDescent="0.25">
      <c r="A86" s="601" t="str">
        <f>head27a</f>
        <v>References</v>
      </c>
      <c r="B86" s="121"/>
      <c r="C86" s="53"/>
      <c r="D86" s="53"/>
      <c r="E86" s="53"/>
      <c r="F86" s="53"/>
      <c r="G86" s="53"/>
      <c r="H86" s="53"/>
      <c r="I86" s="53"/>
      <c r="J86" s="53"/>
      <c r="K86" s="53"/>
      <c r="L86" s="53"/>
      <c r="M86" s="53"/>
      <c r="N86" s="128"/>
    </row>
    <row r="87" spans="1:14" ht="12.75" customHeight="1" x14ac:dyDescent="0.25">
      <c r="A87" s="875" t="s">
        <v>1349</v>
      </c>
      <c r="B87" s="121"/>
      <c r="C87" s="53"/>
      <c r="D87" s="53"/>
      <c r="E87" s="53"/>
      <c r="F87" s="53"/>
      <c r="G87" s="53"/>
      <c r="H87" s="53"/>
      <c r="I87" s="53"/>
      <c r="J87" s="53"/>
      <c r="K87" s="53"/>
      <c r="L87" s="53"/>
      <c r="M87" s="53"/>
      <c r="N87" s="128"/>
    </row>
    <row r="88" spans="1:14" ht="12.75" customHeight="1" x14ac:dyDescent="0.25">
      <c r="A88" s="99" t="s">
        <v>530</v>
      </c>
      <c r="B88" s="93"/>
      <c r="C88" s="96"/>
      <c r="D88" s="96"/>
      <c r="E88" s="96"/>
      <c r="F88" s="96"/>
      <c r="G88" s="96"/>
      <c r="H88" s="96"/>
      <c r="I88" s="96"/>
      <c r="J88" s="96"/>
      <c r="K88" s="96"/>
      <c r="L88" s="96"/>
      <c r="M88" s="96"/>
      <c r="N88" s="128"/>
    </row>
    <row r="89" spans="1:14" ht="12.75" customHeight="1" x14ac:dyDescent="0.25">
      <c r="A89" s="99" t="s">
        <v>531</v>
      </c>
      <c r="B89" s="93"/>
      <c r="C89" s="96"/>
      <c r="D89" s="96"/>
      <c r="E89" s="96"/>
      <c r="F89" s="96"/>
      <c r="G89" s="96"/>
      <c r="H89" s="96"/>
      <c r="I89" s="96"/>
      <c r="J89" s="96"/>
      <c r="K89" s="96"/>
      <c r="L89" s="96"/>
      <c r="M89" s="96"/>
      <c r="N89" s="128"/>
    </row>
    <row r="90" spans="1:14" ht="12.75" customHeight="1" x14ac:dyDescent="0.25">
      <c r="A90" s="99" t="s">
        <v>532</v>
      </c>
      <c r="B90" s="93"/>
      <c r="C90" s="96"/>
      <c r="D90" s="96"/>
      <c r="E90" s="96"/>
      <c r="F90" s="96"/>
      <c r="G90" s="96"/>
      <c r="H90" s="96"/>
      <c r="I90" s="96"/>
      <c r="J90" s="96"/>
      <c r="K90" s="96"/>
      <c r="L90" s="96"/>
      <c r="M90" s="96"/>
      <c r="N90" s="128"/>
    </row>
    <row r="91" spans="1:14" ht="12.75" customHeight="1" x14ac:dyDescent="0.25">
      <c r="A91" s="159" t="s">
        <v>533</v>
      </c>
      <c r="B91" s="160"/>
      <c r="C91" s="94"/>
      <c r="D91" s="94"/>
      <c r="E91" s="94"/>
      <c r="F91" s="94"/>
      <c r="G91" s="94"/>
      <c r="H91" s="94"/>
      <c r="I91" s="94"/>
      <c r="J91" s="94"/>
      <c r="K91" s="94"/>
      <c r="L91" s="94"/>
      <c r="M91" s="94"/>
      <c r="N91" s="128"/>
    </row>
    <row r="92" spans="1:14" ht="12.75" customHeight="1" x14ac:dyDescent="0.25">
      <c r="A92" s="159" t="s">
        <v>534</v>
      </c>
      <c r="B92" s="160"/>
      <c r="C92" s="94"/>
      <c r="D92" s="94"/>
      <c r="E92" s="94"/>
      <c r="F92" s="94"/>
      <c r="G92" s="94"/>
      <c r="H92" s="94"/>
      <c r="I92" s="94"/>
      <c r="J92" s="94"/>
      <c r="K92" s="94"/>
      <c r="L92" s="94"/>
      <c r="M92" s="94"/>
      <c r="N92" s="128"/>
    </row>
    <row r="93" spans="1:14" ht="12.75" customHeight="1" x14ac:dyDescent="0.25">
      <c r="A93" s="1320" t="s">
        <v>1097</v>
      </c>
      <c r="B93" s="1320"/>
      <c r="C93" s="1320"/>
      <c r="D93" s="1320"/>
      <c r="E93" s="1320"/>
      <c r="F93" s="1320"/>
      <c r="G93" s="1320"/>
      <c r="H93" s="1320"/>
      <c r="I93" s="1320"/>
      <c r="J93" s="1320"/>
      <c r="K93" s="1320"/>
      <c r="L93" s="1320"/>
      <c r="M93" s="1320"/>
      <c r="N93" s="128"/>
    </row>
    <row r="94" spans="1:14" ht="12.75" customHeight="1" x14ac:dyDescent="0.25">
      <c r="A94" s="1320" t="s">
        <v>1103</v>
      </c>
      <c r="B94" s="1320"/>
      <c r="C94" s="1320"/>
      <c r="D94" s="1320"/>
      <c r="E94" s="1320"/>
      <c r="F94" s="1320"/>
      <c r="G94" s="1320"/>
      <c r="H94" s="1320"/>
      <c r="I94" s="1320"/>
      <c r="J94" s="1320"/>
      <c r="K94" s="845"/>
      <c r="L94" s="845"/>
      <c r="M94" s="845"/>
      <c r="N94" s="128"/>
    </row>
    <row r="95" spans="1:14" ht="12.75" customHeight="1" x14ac:dyDescent="0.25">
      <c r="A95" s="1320" t="s">
        <v>1104</v>
      </c>
      <c r="B95" s="1320"/>
      <c r="C95" s="1320"/>
      <c r="D95" s="1320"/>
      <c r="E95" s="1320"/>
      <c r="F95" s="1320"/>
      <c r="G95" s="1320"/>
      <c r="H95" s="1320"/>
      <c r="I95" s="1320"/>
      <c r="J95" s="1320"/>
      <c r="K95" s="845"/>
      <c r="L95" s="845"/>
      <c r="M95" s="845"/>
      <c r="N95" s="128"/>
    </row>
    <row r="96" spans="1:14" ht="12.75" customHeight="1" x14ac:dyDescent="0.25">
      <c r="A96" s="1320" t="s">
        <v>1152</v>
      </c>
      <c r="B96" s="1320"/>
      <c r="C96" s="1320"/>
      <c r="D96" s="1320"/>
      <c r="E96" s="1320"/>
      <c r="F96" s="1320"/>
      <c r="G96" s="1320"/>
      <c r="H96" s="1320"/>
      <c r="I96" s="1320"/>
      <c r="J96" s="1320"/>
      <c r="K96" s="1320"/>
      <c r="L96" s="1320"/>
      <c r="M96" s="1320"/>
      <c r="N96" s="128"/>
    </row>
    <row r="97" spans="1:14" ht="12.75" customHeight="1" x14ac:dyDescent="0.25">
      <c r="A97" s="159" t="s">
        <v>1153</v>
      </c>
      <c r="B97" s="160"/>
      <c r="C97" s="94"/>
      <c r="D97" s="94"/>
      <c r="E97" s="94"/>
      <c r="F97" s="94"/>
      <c r="G97" s="94"/>
      <c r="H97" s="94"/>
      <c r="I97" s="94"/>
      <c r="J97" s="94"/>
      <c r="K97" s="94"/>
      <c r="L97" s="94"/>
      <c r="M97" s="94"/>
      <c r="N97" s="128"/>
    </row>
    <row r="98" spans="1:14" ht="12.75" customHeight="1" x14ac:dyDescent="0.25">
      <c r="A98" s="1320" t="s">
        <v>1154</v>
      </c>
      <c r="B98" s="1320"/>
      <c r="C98" s="1320"/>
      <c r="D98" s="1320"/>
      <c r="E98" s="1320"/>
      <c r="F98" s="1320"/>
      <c r="G98" s="1320"/>
      <c r="H98" s="1320"/>
      <c r="I98" s="1320"/>
      <c r="J98" s="1320"/>
      <c r="K98" s="1320"/>
      <c r="L98" s="1320"/>
      <c r="M98" s="1320"/>
      <c r="N98" s="128"/>
    </row>
    <row r="99" spans="1:14" ht="12.75" customHeight="1" x14ac:dyDescent="0.25">
      <c r="A99" s="159" t="s">
        <v>1155</v>
      </c>
      <c r="B99" s="160"/>
      <c r="C99" s="94"/>
      <c r="D99" s="94"/>
      <c r="E99" s="94"/>
      <c r="F99" s="94"/>
      <c r="G99" s="94"/>
      <c r="H99" s="94"/>
      <c r="I99" s="94"/>
      <c r="J99" s="94"/>
      <c r="K99" s="94"/>
      <c r="L99" s="94"/>
      <c r="M99" s="94"/>
      <c r="N99" s="128"/>
    </row>
    <row r="100" spans="1:14" ht="12.75" customHeight="1" x14ac:dyDescent="0.25">
      <c r="A100" s="1320" t="s">
        <v>1156</v>
      </c>
      <c r="B100" s="1320"/>
      <c r="C100" s="1320"/>
      <c r="D100" s="1320"/>
      <c r="E100" s="1320"/>
      <c r="F100" s="1320"/>
      <c r="G100" s="1320"/>
      <c r="H100" s="1320"/>
      <c r="I100" s="1320"/>
      <c r="J100" s="1320"/>
      <c r="K100" s="1320"/>
      <c r="L100" s="1320"/>
      <c r="M100" s="1320"/>
      <c r="N100" s="128"/>
    </row>
    <row r="101" spans="1:14" ht="12.75" customHeight="1" x14ac:dyDescent="0.25">
      <c r="A101" s="846" t="s">
        <v>1445</v>
      </c>
      <c r="B101" s="800"/>
      <c r="C101" s="800"/>
      <c r="D101" s="800"/>
      <c r="E101" s="800"/>
      <c r="F101" s="800"/>
      <c r="G101" s="800"/>
      <c r="H101" s="800"/>
      <c r="I101" s="800"/>
      <c r="J101" s="800"/>
      <c r="K101" s="800"/>
      <c r="L101" s="800"/>
      <c r="M101" s="800"/>
      <c r="N101" s="128"/>
    </row>
    <row r="102" spans="1:14" ht="12.75" customHeight="1" x14ac:dyDescent="0.25">
      <c r="A102" s="846" t="s">
        <v>1443</v>
      </c>
      <c r="B102" s="800"/>
      <c r="C102" s="800"/>
      <c r="D102" s="800"/>
      <c r="E102" s="800"/>
      <c r="F102" s="800"/>
      <c r="G102" s="800"/>
      <c r="H102" s="800"/>
      <c r="I102" s="800"/>
      <c r="J102" s="800"/>
      <c r="K102" s="800"/>
      <c r="L102" s="800"/>
      <c r="M102" s="800"/>
      <c r="N102" s="128"/>
    </row>
    <row r="103" spans="1:14" ht="12.75" customHeight="1" x14ac:dyDescent="0.25">
      <c r="A103" s="846" t="s">
        <v>1442</v>
      </c>
      <c r="B103" s="800"/>
      <c r="C103" s="800"/>
      <c r="D103" s="800"/>
      <c r="E103" s="800"/>
      <c r="F103" s="800"/>
      <c r="G103" s="800"/>
      <c r="H103" s="800"/>
      <c r="I103" s="800"/>
      <c r="J103" s="800"/>
      <c r="K103" s="800"/>
      <c r="L103" s="800"/>
      <c r="M103" s="800"/>
      <c r="N103" s="128"/>
    </row>
    <row r="104" spans="1:14" ht="12.75" customHeight="1" x14ac:dyDescent="0.25">
      <c r="A104" s="846" t="s">
        <v>1446</v>
      </c>
      <c r="B104" s="800"/>
      <c r="C104" s="800"/>
      <c r="D104" s="800"/>
      <c r="E104" s="800"/>
      <c r="F104" s="800"/>
      <c r="G104" s="800"/>
      <c r="H104" s="800"/>
      <c r="I104" s="800"/>
      <c r="J104" s="800"/>
      <c r="K104" s="800"/>
      <c r="L104" s="800"/>
      <c r="M104" s="800"/>
      <c r="N104" s="128"/>
    </row>
    <row r="105" spans="1:14" ht="11.25" customHeight="1" x14ac:dyDescent="0.25">
      <c r="A105" s="347"/>
      <c r="B105" s="799"/>
      <c r="C105" s="554"/>
      <c r="D105" s="554"/>
      <c r="E105" s="554"/>
      <c r="F105" s="554"/>
      <c r="G105" s="554"/>
      <c r="H105" s="554"/>
      <c r="I105" s="554"/>
      <c r="J105" s="554"/>
      <c r="K105" s="554"/>
      <c r="L105" s="554"/>
      <c r="M105" s="554"/>
      <c r="N105" s="128"/>
    </row>
    <row r="106" spans="1:14" ht="11.25" customHeight="1" x14ac:dyDescent="0.25">
      <c r="A106" s="48"/>
      <c r="B106" s="121"/>
      <c r="C106" s="53"/>
      <c r="D106" s="53"/>
      <c r="E106" s="53"/>
      <c r="F106" s="53"/>
      <c r="G106" s="53"/>
      <c r="H106" s="53"/>
      <c r="I106" s="53"/>
      <c r="J106" s="53"/>
      <c r="K106" s="53"/>
      <c r="L106" s="53"/>
      <c r="M106" s="53"/>
      <c r="N106" s="128"/>
    </row>
    <row r="107" spans="1:14" ht="11.25" customHeight="1" x14ac:dyDescent="0.25">
      <c r="A107" s="122" t="s">
        <v>724</v>
      </c>
      <c r="B107" s="160"/>
      <c r="C107" s="802">
        <f>(C79+SB18a!C79)-'B5-Capex'!C65</f>
        <v>0</v>
      </c>
      <c r="D107" s="802"/>
      <c r="E107" s="802"/>
      <c r="F107" s="802"/>
      <c r="G107" s="802"/>
      <c r="H107" s="802"/>
      <c r="I107" s="802"/>
      <c r="J107" s="802"/>
      <c r="K107" s="802"/>
      <c r="L107" s="802"/>
      <c r="M107" s="802">
        <f>(M79+SB18a!M79)-'B5-Capex'!M65</f>
        <v>0</v>
      </c>
      <c r="N107" s="128"/>
    </row>
    <row r="108" spans="1:14" ht="11.25" customHeight="1" x14ac:dyDescent="0.25">
      <c r="N108" s="128"/>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142"/>
  <sheetViews>
    <sheetView showGridLines="0" workbookViewId="0">
      <pane xSplit="2" ySplit="5" topLeftCell="C74" activePane="bottomRight" state="frozen"/>
      <selection activeCell="C6" sqref="C6"/>
      <selection pane="topRight" activeCell="C6" sqref="C6"/>
      <selection pane="bottomLeft" activeCell="C6" sqref="C6"/>
      <selection pane="bottomRight" activeCell="K87" sqref="K87"/>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"&amp;ADJB18c&amp;" - "&amp;Date</f>
        <v>LIM354 Polokwane - Supporting Table SB18c Adjustments Budget - expenditure on repairs and maintenance by asset class - 25 February 2016</v>
      </c>
      <c r="B1" s="5"/>
      <c r="C1" s="58"/>
    </row>
    <row r="2" spans="1:14" ht="25.5" x14ac:dyDescent="0.25">
      <c r="A2" s="1318" t="str">
        <f>desc</f>
        <v>Description</v>
      </c>
      <c r="B2" s="1318" t="str">
        <f>head27</f>
        <v>Ref</v>
      </c>
      <c r="C2" s="1315" t="str">
        <f>Head2</f>
        <v>Budget Year 2015/16</v>
      </c>
      <c r="D2" s="1316"/>
      <c r="E2" s="1316"/>
      <c r="F2" s="1316"/>
      <c r="G2" s="1316"/>
      <c r="H2" s="1316"/>
      <c r="I2" s="1316"/>
      <c r="J2" s="1316"/>
      <c r="K2" s="1317"/>
      <c r="L2" s="170" t="str">
        <f>Head10</f>
        <v>Budget Year +1 2016/17</v>
      </c>
      <c r="M2" s="171" t="str">
        <f>Head11</f>
        <v>Budget Year +2 2017/18</v>
      </c>
    </row>
    <row r="3" spans="1:14" ht="25.5" x14ac:dyDescent="0.25">
      <c r="A3" s="1319"/>
      <c r="B3" s="13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19"/>
      <c r="B4" s="1319"/>
      <c r="C4" s="65"/>
      <c r="D4" s="15">
        <v>7</v>
      </c>
      <c r="E4" s="15">
        <v>8</v>
      </c>
      <c r="F4" s="15">
        <v>9</v>
      </c>
      <c r="G4" s="15">
        <v>10</v>
      </c>
      <c r="H4" s="15">
        <v>11</v>
      </c>
      <c r="I4" s="15">
        <v>12</v>
      </c>
      <c r="J4" s="15">
        <v>13</v>
      </c>
      <c r="K4" s="15">
        <v>14</v>
      </c>
      <c r="L4" s="15"/>
      <c r="M4" s="17"/>
    </row>
    <row r="5" spans="1:14" x14ac:dyDescent="0.25">
      <c r="A5" s="66" t="s">
        <v>641</v>
      </c>
      <c r="B5" s="104"/>
      <c r="C5" s="67" t="s">
        <v>581</v>
      </c>
      <c r="D5" s="68" t="s">
        <v>582</v>
      </c>
      <c r="E5" s="68" t="s">
        <v>583</v>
      </c>
      <c r="F5" s="69" t="s">
        <v>584</v>
      </c>
      <c r="G5" s="69" t="s">
        <v>585</v>
      </c>
      <c r="H5" s="69" t="s">
        <v>586</v>
      </c>
      <c r="I5" s="70" t="s">
        <v>587</v>
      </c>
      <c r="J5" s="70" t="s">
        <v>588</v>
      </c>
      <c r="K5" s="70" t="s">
        <v>589</v>
      </c>
      <c r="L5" s="70"/>
      <c r="M5" s="71"/>
    </row>
    <row r="6" spans="1:14" ht="12.75" customHeight="1" x14ac:dyDescent="0.25">
      <c r="A6" s="873" t="s">
        <v>1350</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828</v>
      </c>
      <c r="B8" s="73"/>
      <c r="C8" s="707">
        <f t="shared" ref="C8:M8" si="0">C9+C12+C16+C20+C23</f>
        <v>116140760.40000001</v>
      </c>
      <c r="D8" s="707">
        <f t="shared" si="0"/>
        <v>0</v>
      </c>
      <c r="E8" s="707">
        <f t="shared" si="0"/>
        <v>0</v>
      </c>
      <c r="F8" s="707">
        <f t="shared" si="0"/>
        <v>0</v>
      </c>
      <c r="G8" s="707">
        <f t="shared" si="0"/>
        <v>0</v>
      </c>
      <c r="H8" s="707">
        <f t="shared" si="0"/>
        <v>0</v>
      </c>
      <c r="I8" s="707">
        <f t="shared" si="0"/>
        <v>21254875</v>
      </c>
      <c r="J8" s="708">
        <f>SUM(E8:I8)</f>
        <v>21254875</v>
      </c>
      <c r="K8" s="708">
        <f>IF(D8=0,C8+J8,D8+J8)</f>
        <v>137395635.40000001</v>
      </c>
      <c r="L8" s="707">
        <f t="shared" si="0"/>
        <v>122528347.222</v>
      </c>
      <c r="M8" s="709">
        <f t="shared" si="0"/>
        <v>129022379.62476599</v>
      </c>
      <c r="N8" s="863"/>
    </row>
    <row r="9" spans="1:14" ht="12.75" customHeight="1" x14ac:dyDescent="0.25">
      <c r="A9" s="597" t="s">
        <v>484</v>
      </c>
      <c r="B9" s="73"/>
      <c r="C9" s="266">
        <f t="shared" ref="C9:M9" si="1">SUM(C10:C11)</f>
        <v>24508855.199999999</v>
      </c>
      <c r="D9" s="266">
        <f t="shared" si="1"/>
        <v>0</v>
      </c>
      <c r="E9" s="266">
        <f t="shared" si="1"/>
        <v>0</v>
      </c>
      <c r="F9" s="266">
        <f t="shared" si="1"/>
        <v>0</v>
      </c>
      <c r="G9" s="266">
        <f t="shared" si="1"/>
        <v>0</v>
      </c>
      <c r="H9" s="266">
        <f t="shared" si="1"/>
        <v>0</v>
      </c>
      <c r="I9" s="266">
        <f t="shared" si="1"/>
        <v>12789703</v>
      </c>
      <c r="J9" s="75">
        <f t="shared" ref="J9:J29" si="2">SUM(E9:I9)</f>
        <v>12789703</v>
      </c>
      <c r="K9" s="75">
        <f t="shared" ref="K9:K29" si="3">IF(D9=0,C9+J9,D9+J9)</f>
        <v>37298558.200000003</v>
      </c>
      <c r="L9" s="266">
        <f t="shared" si="1"/>
        <v>25856687.236000001</v>
      </c>
      <c r="M9" s="267">
        <f t="shared" si="1"/>
        <v>27227121.659508001</v>
      </c>
      <c r="N9" s="128"/>
    </row>
    <row r="10" spans="1:14" ht="12.75" customHeight="1" x14ac:dyDescent="0.25">
      <c r="A10" s="598" t="s">
        <v>485</v>
      </c>
      <c r="B10" s="73"/>
      <c r="C10" s="109">
        <v>22130048</v>
      </c>
      <c r="D10" s="109"/>
      <c r="E10" s="109"/>
      <c r="F10" s="109"/>
      <c r="G10" s="109"/>
      <c r="H10" s="109"/>
      <c r="I10" s="109">
        <v>12789703</v>
      </c>
      <c r="J10" s="75">
        <f t="shared" si="2"/>
        <v>12789703</v>
      </c>
      <c r="K10" s="75">
        <f t="shared" si="3"/>
        <v>34919751</v>
      </c>
      <c r="L10" s="109">
        <v>23347045.640000001</v>
      </c>
      <c r="M10" s="110">
        <v>24584469.05892</v>
      </c>
      <c r="N10" s="863"/>
    </row>
    <row r="11" spans="1:14" ht="12.75" customHeight="1" x14ac:dyDescent="0.25">
      <c r="A11" s="598" t="s">
        <v>486</v>
      </c>
      <c r="B11" s="73"/>
      <c r="C11" s="109">
        <v>2378807.2000000002</v>
      </c>
      <c r="D11" s="109"/>
      <c r="E11" s="109"/>
      <c r="F11" s="109"/>
      <c r="G11" s="109"/>
      <c r="H11" s="109"/>
      <c r="I11" s="109"/>
      <c r="J11" s="75">
        <f t="shared" si="2"/>
        <v>0</v>
      </c>
      <c r="K11" s="75">
        <f t="shared" si="3"/>
        <v>2378807.2000000002</v>
      </c>
      <c r="L11" s="109">
        <v>2509641.5959999999</v>
      </c>
      <c r="M11" s="110">
        <v>2642652.6005879999</v>
      </c>
      <c r="N11" s="868"/>
    </row>
    <row r="12" spans="1:14" ht="12.75" customHeight="1" x14ac:dyDescent="0.25">
      <c r="A12" s="597" t="s">
        <v>487</v>
      </c>
      <c r="B12" s="73"/>
      <c r="C12" s="132">
        <f t="shared" ref="C12:M12" si="4">SUM(C13:C15)</f>
        <v>24142204</v>
      </c>
      <c r="D12" s="132">
        <f t="shared" si="4"/>
        <v>0</v>
      </c>
      <c r="E12" s="132">
        <f t="shared" si="4"/>
        <v>0</v>
      </c>
      <c r="F12" s="132">
        <f t="shared" si="4"/>
        <v>0</v>
      </c>
      <c r="G12" s="132">
        <f t="shared" si="4"/>
        <v>0</v>
      </c>
      <c r="H12" s="132">
        <f t="shared" si="4"/>
        <v>0</v>
      </c>
      <c r="I12" s="132">
        <f t="shared" si="4"/>
        <v>1000000</v>
      </c>
      <c r="J12" s="75">
        <f t="shared" si="2"/>
        <v>1000000</v>
      </c>
      <c r="K12" s="75">
        <f t="shared" si="3"/>
        <v>25142204</v>
      </c>
      <c r="L12" s="132">
        <f t="shared" si="4"/>
        <v>25470025.220000003</v>
      </c>
      <c r="M12" s="133">
        <f t="shared" si="4"/>
        <v>26819936.556659997</v>
      </c>
      <c r="N12" s="868"/>
    </row>
    <row r="13" spans="1:14" ht="12.75" customHeight="1" x14ac:dyDescent="0.25">
      <c r="A13" s="598" t="s">
        <v>488</v>
      </c>
      <c r="B13" s="73"/>
      <c r="C13" s="109"/>
      <c r="D13" s="109"/>
      <c r="E13" s="109"/>
      <c r="F13" s="109"/>
      <c r="G13" s="109"/>
      <c r="H13" s="109"/>
      <c r="I13" s="109"/>
      <c r="J13" s="75">
        <f t="shared" si="2"/>
        <v>0</v>
      </c>
      <c r="K13" s="75">
        <f t="shared" si="3"/>
        <v>0</v>
      </c>
      <c r="L13" s="109"/>
      <c r="M13" s="110"/>
      <c r="N13" s="868"/>
    </row>
    <row r="14" spans="1:14" ht="12.75" customHeight="1" x14ac:dyDescent="0.25">
      <c r="A14" s="598" t="s">
        <v>489</v>
      </c>
      <c r="B14" s="73"/>
      <c r="C14" s="109">
        <v>24142204</v>
      </c>
      <c r="D14" s="109"/>
      <c r="E14" s="109"/>
      <c r="F14" s="109"/>
      <c r="G14" s="109"/>
      <c r="H14" s="109"/>
      <c r="I14" s="109">
        <v>1000000</v>
      </c>
      <c r="J14" s="75">
        <f t="shared" si="2"/>
        <v>1000000</v>
      </c>
      <c r="K14" s="75">
        <f t="shared" si="3"/>
        <v>25142204</v>
      </c>
      <c r="L14" s="109">
        <v>25470025.220000003</v>
      </c>
      <c r="M14" s="110">
        <v>26819936.556659997</v>
      </c>
      <c r="N14" s="868"/>
    </row>
    <row r="15" spans="1:14" ht="12.75" customHeight="1" x14ac:dyDescent="0.25">
      <c r="A15" s="598" t="s">
        <v>490</v>
      </c>
      <c r="B15" s="73"/>
      <c r="C15" s="109">
        <v>0</v>
      </c>
      <c r="D15" s="109"/>
      <c r="E15" s="109"/>
      <c r="F15" s="109"/>
      <c r="G15" s="109"/>
      <c r="H15" s="109"/>
      <c r="I15" s="109"/>
      <c r="J15" s="75">
        <f t="shared" si="2"/>
        <v>0</v>
      </c>
      <c r="K15" s="75">
        <f t="shared" si="3"/>
        <v>0</v>
      </c>
      <c r="L15" s="109">
        <v>0</v>
      </c>
      <c r="M15" s="110">
        <v>0</v>
      </c>
      <c r="N15" s="868"/>
    </row>
    <row r="16" spans="1:14" ht="12.75" customHeight="1" x14ac:dyDescent="0.25">
      <c r="A16" s="599" t="s">
        <v>491</v>
      </c>
      <c r="B16" s="73"/>
      <c r="C16" s="132">
        <f t="shared" ref="C16:M16" si="5">SUM(C17:C19)</f>
        <v>28106474</v>
      </c>
      <c r="D16" s="132">
        <f t="shared" si="5"/>
        <v>0</v>
      </c>
      <c r="E16" s="132">
        <f t="shared" si="5"/>
        <v>0</v>
      </c>
      <c r="F16" s="132">
        <f t="shared" si="5"/>
        <v>0</v>
      </c>
      <c r="G16" s="132">
        <f t="shared" si="5"/>
        <v>0</v>
      </c>
      <c r="H16" s="132">
        <f t="shared" si="5"/>
        <v>0</v>
      </c>
      <c r="I16" s="132">
        <f t="shared" si="5"/>
        <v>4020172</v>
      </c>
      <c r="J16" s="75">
        <f t="shared" si="2"/>
        <v>4020172</v>
      </c>
      <c r="K16" s="75">
        <f t="shared" si="3"/>
        <v>32126646</v>
      </c>
      <c r="L16" s="132">
        <f t="shared" si="5"/>
        <v>29652330.07</v>
      </c>
      <c r="M16" s="133">
        <f t="shared" si="5"/>
        <v>31223903.56371</v>
      </c>
      <c r="N16" s="868"/>
    </row>
    <row r="17" spans="1:14" ht="12.75" customHeight="1" x14ac:dyDescent="0.25">
      <c r="A17" s="598" t="s">
        <v>492</v>
      </c>
      <c r="B17" s="73"/>
      <c r="C17" s="109">
        <v>0</v>
      </c>
      <c r="D17" s="109"/>
      <c r="E17" s="109"/>
      <c r="F17" s="109"/>
      <c r="G17" s="109"/>
      <c r="H17" s="109"/>
      <c r="I17" s="109"/>
      <c r="J17" s="75">
        <f t="shared" si="2"/>
        <v>0</v>
      </c>
      <c r="K17" s="75">
        <f t="shared" si="3"/>
        <v>0</v>
      </c>
      <c r="L17" s="109">
        <v>0</v>
      </c>
      <c r="M17" s="110">
        <v>0</v>
      </c>
      <c r="N17" s="868"/>
    </row>
    <row r="18" spans="1:14" ht="12.75" customHeight="1" x14ac:dyDescent="0.25">
      <c r="A18" s="598" t="s">
        <v>493</v>
      </c>
      <c r="B18" s="73"/>
      <c r="C18" s="109">
        <v>0</v>
      </c>
      <c r="D18" s="109"/>
      <c r="E18" s="109"/>
      <c r="F18" s="109"/>
      <c r="G18" s="109"/>
      <c r="H18" s="109"/>
      <c r="I18" s="109"/>
      <c r="J18" s="75">
        <f t="shared" si="2"/>
        <v>0</v>
      </c>
      <c r="K18" s="75">
        <f t="shared" si="3"/>
        <v>0</v>
      </c>
      <c r="L18" s="109">
        <v>0</v>
      </c>
      <c r="M18" s="110">
        <v>0</v>
      </c>
      <c r="N18" s="868"/>
    </row>
    <row r="19" spans="1:14" ht="12.75" customHeight="1" x14ac:dyDescent="0.25">
      <c r="A19" s="598" t="s">
        <v>494</v>
      </c>
      <c r="B19" s="73"/>
      <c r="C19" s="109">
        <v>28106474</v>
      </c>
      <c r="D19" s="109"/>
      <c r="E19" s="109"/>
      <c r="F19" s="109"/>
      <c r="G19" s="109"/>
      <c r="H19" s="109"/>
      <c r="I19" s="109">
        <v>4020172</v>
      </c>
      <c r="J19" s="75">
        <f t="shared" si="2"/>
        <v>4020172</v>
      </c>
      <c r="K19" s="75">
        <f t="shared" si="3"/>
        <v>32126646</v>
      </c>
      <c r="L19" s="109">
        <v>29652330.07</v>
      </c>
      <c r="M19" s="110">
        <v>31223903.56371</v>
      </c>
      <c r="N19" s="868"/>
    </row>
    <row r="20" spans="1:14" ht="12.75" customHeight="1" x14ac:dyDescent="0.25">
      <c r="A20" s="599" t="s">
        <v>495</v>
      </c>
      <c r="B20" s="73"/>
      <c r="C20" s="132">
        <f t="shared" ref="C20:M20" si="6">SUM(C21:C22)</f>
        <v>39383227.200000003</v>
      </c>
      <c r="D20" s="132">
        <f t="shared" si="6"/>
        <v>0</v>
      </c>
      <c r="E20" s="132">
        <f t="shared" si="6"/>
        <v>0</v>
      </c>
      <c r="F20" s="132">
        <f t="shared" si="6"/>
        <v>0</v>
      </c>
      <c r="G20" s="132">
        <f t="shared" si="6"/>
        <v>0</v>
      </c>
      <c r="H20" s="132">
        <f t="shared" si="6"/>
        <v>0</v>
      </c>
      <c r="I20" s="132">
        <f t="shared" si="6"/>
        <v>3445000</v>
      </c>
      <c r="J20" s="75">
        <f t="shared" si="2"/>
        <v>3445000</v>
      </c>
      <c r="K20" s="75">
        <f t="shared" si="3"/>
        <v>42828227.200000003</v>
      </c>
      <c r="L20" s="132">
        <f t="shared" si="6"/>
        <v>41549304.696000002</v>
      </c>
      <c r="M20" s="133">
        <f t="shared" si="6"/>
        <v>43751417.844887994</v>
      </c>
      <c r="N20" s="868"/>
    </row>
    <row r="21" spans="1:14" ht="12.75" customHeight="1" x14ac:dyDescent="0.25">
      <c r="A21" s="598" t="s">
        <v>494</v>
      </c>
      <c r="B21" s="73"/>
      <c r="C21" s="109">
        <v>39383227.200000003</v>
      </c>
      <c r="D21" s="109"/>
      <c r="E21" s="109"/>
      <c r="F21" s="109"/>
      <c r="G21" s="109"/>
      <c r="H21" s="109"/>
      <c r="I21" s="109">
        <v>3445000</v>
      </c>
      <c r="J21" s="75">
        <f t="shared" si="2"/>
        <v>3445000</v>
      </c>
      <c r="K21" s="75">
        <f t="shared" si="3"/>
        <v>42828227.200000003</v>
      </c>
      <c r="L21" s="109">
        <v>41549304.696000002</v>
      </c>
      <c r="M21" s="110">
        <v>43751417.844887994</v>
      </c>
      <c r="N21" s="868"/>
    </row>
    <row r="22" spans="1:14" ht="12.75" customHeight="1" x14ac:dyDescent="0.25">
      <c r="A22" s="598" t="s">
        <v>496</v>
      </c>
      <c r="B22" s="73"/>
      <c r="C22" s="109">
        <v>0</v>
      </c>
      <c r="D22" s="109"/>
      <c r="E22" s="109"/>
      <c r="F22" s="109"/>
      <c r="G22" s="109"/>
      <c r="H22" s="109"/>
      <c r="I22" s="109"/>
      <c r="J22" s="75">
        <f t="shared" si="2"/>
        <v>0</v>
      </c>
      <c r="K22" s="75">
        <f t="shared" si="3"/>
        <v>0</v>
      </c>
      <c r="L22" s="109">
        <v>0</v>
      </c>
      <c r="M22" s="110">
        <v>0</v>
      </c>
      <c r="N22" s="868"/>
    </row>
    <row r="23" spans="1:14" ht="12.75" customHeight="1" x14ac:dyDescent="0.25">
      <c r="A23" s="597" t="s">
        <v>497</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68"/>
    </row>
    <row r="24" spans="1:14" ht="12.75" customHeight="1" x14ac:dyDescent="0.25">
      <c r="A24" s="600" t="s">
        <v>1233</v>
      </c>
      <c r="B24" s="73"/>
      <c r="C24" s="109"/>
      <c r="D24" s="109"/>
      <c r="E24" s="109"/>
      <c r="F24" s="109"/>
      <c r="G24" s="109"/>
      <c r="H24" s="109"/>
      <c r="I24" s="109"/>
      <c r="J24" s="75">
        <f t="shared" si="2"/>
        <v>0</v>
      </c>
      <c r="K24" s="75">
        <f t="shared" si="3"/>
        <v>0</v>
      </c>
      <c r="L24" s="109"/>
      <c r="M24" s="110"/>
      <c r="N24" s="868"/>
    </row>
    <row r="25" spans="1:14" ht="12.75" customHeight="1" x14ac:dyDescent="0.25">
      <c r="A25" s="600" t="s">
        <v>498</v>
      </c>
      <c r="B25" s="73">
        <v>2</v>
      </c>
      <c r="C25" s="109"/>
      <c r="D25" s="109"/>
      <c r="E25" s="109"/>
      <c r="F25" s="109"/>
      <c r="G25" s="109"/>
      <c r="H25" s="109"/>
      <c r="I25" s="109"/>
      <c r="J25" s="75">
        <f t="shared" si="2"/>
        <v>0</v>
      </c>
      <c r="K25" s="75">
        <f t="shared" si="3"/>
        <v>0</v>
      </c>
      <c r="L25" s="109"/>
      <c r="M25" s="110"/>
      <c r="N25" s="868"/>
    </row>
    <row r="26" spans="1:14" ht="12.75" customHeight="1" x14ac:dyDescent="0.25">
      <c r="A26" s="600" t="s">
        <v>499</v>
      </c>
      <c r="B26" s="73"/>
      <c r="C26" s="109"/>
      <c r="D26" s="109"/>
      <c r="E26" s="109"/>
      <c r="F26" s="109"/>
      <c r="G26" s="109"/>
      <c r="H26" s="109"/>
      <c r="I26" s="109"/>
      <c r="J26" s="75">
        <f t="shared" si="2"/>
        <v>0</v>
      </c>
      <c r="K26" s="75">
        <f t="shared" si="3"/>
        <v>0</v>
      </c>
      <c r="L26" s="109"/>
      <c r="M26" s="110"/>
      <c r="N26" s="868"/>
    </row>
    <row r="27" spans="1:14" ht="12.75" customHeight="1" x14ac:dyDescent="0.25">
      <c r="A27" s="600" t="s">
        <v>671</v>
      </c>
      <c r="B27" s="73">
        <v>3</v>
      </c>
      <c r="C27" s="109"/>
      <c r="D27" s="109"/>
      <c r="E27" s="109"/>
      <c r="F27" s="109"/>
      <c r="G27" s="109"/>
      <c r="H27" s="109"/>
      <c r="I27" s="109"/>
      <c r="J27" s="75">
        <f t="shared" si="2"/>
        <v>0</v>
      </c>
      <c r="K27" s="75">
        <f t="shared" si="3"/>
        <v>0</v>
      </c>
      <c r="L27" s="109"/>
      <c r="M27" s="110"/>
      <c r="N27" s="868"/>
    </row>
    <row r="28" spans="1:14" ht="5.0999999999999996" customHeight="1" x14ac:dyDescent="0.25">
      <c r="A28" s="136"/>
      <c r="B28" s="73"/>
      <c r="C28" s="74"/>
      <c r="D28" s="75"/>
      <c r="E28" s="75"/>
      <c r="F28" s="75"/>
      <c r="G28" s="75"/>
      <c r="H28" s="75"/>
      <c r="I28" s="75"/>
      <c r="J28" s="75">
        <f t="shared" si="2"/>
        <v>0</v>
      </c>
      <c r="K28" s="75">
        <f t="shared" si="3"/>
        <v>0</v>
      </c>
      <c r="L28" s="75"/>
      <c r="M28" s="76"/>
      <c r="N28" s="128"/>
    </row>
    <row r="29" spans="1:14" ht="12.75" customHeight="1" x14ac:dyDescent="0.25">
      <c r="A29" s="126" t="s">
        <v>829</v>
      </c>
      <c r="B29" s="73"/>
      <c r="C29" s="140">
        <f t="shared" ref="C29:M29" si="8">SUM(C30:C43)</f>
        <v>61379633.200000003</v>
      </c>
      <c r="D29" s="141">
        <f t="shared" si="8"/>
        <v>0</v>
      </c>
      <c r="E29" s="141">
        <f t="shared" si="8"/>
        <v>0</v>
      </c>
      <c r="F29" s="141">
        <f t="shared" si="8"/>
        <v>0</v>
      </c>
      <c r="G29" s="141">
        <f t="shared" si="8"/>
        <v>0</v>
      </c>
      <c r="H29" s="141">
        <f t="shared" si="8"/>
        <v>0</v>
      </c>
      <c r="I29" s="141">
        <f t="shared" si="8"/>
        <v>2577858</v>
      </c>
      <c r="J29" s="75">
        <f t="shared" si="2"/>
        <v>2577858</v>
      </c>
      <c r="K29" s="75">
        <f t="shared" si="3"/>
        <v>63957491.200000003</v>
      </c>
      <c r="L29" s="141">
        <f t="shared" si="8"/>
        <v>66109085.212000296</v>
      </c>
      <c r="M29" s="142">
        <f t="shared" si="8"/>
        <v>71499160.092576206</v>
      </c>
      <c r="N29" s="128"/>
    </row>
    <row r="30" spans="1:14" ht="12.75" customHeight="1" x14ac:dyDescent="0.25">
      <c r="A30" s="129" t="s">
        <v>500</v>
      </c>
      <c r="B30" s="73"/>
      <c r="C30" s="130">
        <v>11556888</v>
      </c>
      <c r="D30" s="109"/>
      <c r="E30" s="109"/>
      <c r="F30" s="109"/>
      <c r="G30" s="109"/>
      <c r="H30" s="109"/>
      <c r="I30" s="109"/>
      <c r="J30" s="75">
        <f t="shared" ref="J30:J41" si="9">SUM(E30:I30)</f>
        <v>0</v>
      </c>
      <c r="K30" s="75">
        <f t="shared" ref="K30:K41" si="10">IF(D30=0,C30+J30,D30+J30)</f>
        <v>11556888</v>
      </c>
      <c r="L30" s="109">
        <v>12308085.720000001</v>
      </c>
      <c r="M30" s="110">
        <v>13083495.12036</v>
      </c>
      <c r="N30" s="128"/>
    </row>
    <row r="31" spans="1:14" ht="12.75" customHeight="1" x14ac:dyDescent="0.25">
      <c r="A31" s="129" t="s">
        <v>501</v>
      </c>
      <c r="B31" s="73"/>
      <c r="C31" s="130">
        <v>5196208</v>
      </c>
      <c r="D31" s="109"/>
      <c r="E31" s="109"/>
      <c r="F31" s="109"/>
      <c r="G31" s="109"/>
      <c r="H31" s="109"/>
      <c r="I31" s="109"/>
      <c r="J31" s="75">
        <f t="shared" si="9"/>
        <v>0</v>
      </c>
      <c r="K31" s="75">
        <f t="shared" si="10"/>
        <v>5196208</v>
      </c>
      <c r="L31" s="109">
        <v>5481999.4400000004</v>
      </c>
      <c r="M31" s="110">
        <v>5772545.4103199998</v>
      </c>
      <c r="N31" s="128"/>
    </row>
    <row r="32" spans="1:14" ht="12.75" customHeight="1" x14ac:dyDescent="0.25">
      <c r="A32" s="129" t="s">
        <v>502</v>
      </c>
      <c r="B32" s="73"/>
      <c r="C32" s="130">
        <v>243340</v>
      </c>
      <c r="D32" s="109"/>
      <c r="E32" s="109"/>
      <c r="F32" s="109"/>
      <c r="G32" s="109"/>
      <c r="H32" s="109"/>
      <c r="I32" s="109"/>
      <c r="J32" s="75">
        <f t="shared" si="9"/>
        <v>0</v>
      </c>
      <c r="K32" s="75">
        <f t="shared" si="10"/>
        <v>243340</v>
      </c>
      <c r="L32" s="109">
        <v>256723.69999999998</v>
      </c>
      <c r="M32" s="110">
        <v>270330.05609999999</v>
      </c>
      <c r="N32" s="128"/>
    </row>
    <row r="33" spans="1:14" ht="12.75" customHeight="1" x14ac:dyDescent="0.25">
      <c r="A33" s="129" t="s">
        <v>503</v>
      </c>
      <c r="B33" s="73"/>
      <c r="C33" s="130">
        <v>208426</v>
      </c>
      <c r="D33" s="109"/>
      <c r="E33" s="109"/>
      <c r="F33" s="109"/>
      <c r="G33" s="109"/>
      <c r="H33" s="109"/>
      <c r="I33" s="109"/>
      <c r="J33" s="75">
        <f t="shared" si="9"/>
        <v>0</v>
      </c>
      <c r="K33" s="75">
        <f t="shared" si="10"/>
        <v>208426</v>
      </c>
      <c r="L33" s="109">
        <v>219889.43</v>
      </c>
      <c r="M33" s="110">
        <v>231543.56978999998</v>
      </c>
      <c r="N33" s="128"/>
    </row>
    <row r="34" spans="1:14" ht="12.75" customHeight="1" x14ac:dyDescent="0.25">
      <c r="A34" s="129" t="s">
        <v>504</v>
      </c>
      <c r="B34" s="73"/>
      <c r="C34" s="130">
        <v>157642</v>
      </c>
      <c r="D34" s="109"/>
      <c r="E34" s="109"/>
      <c r="F34" s="109"/>
      <c r="G34" s="109"/>
      <c r="H34" s="109"/>
      <c r="I34" s="109"/>
      <c r="J34" s="75">
        <f t="shared" si="9"/>
        <v>0</v>
      </c>
      <c r="K34" s="75">
        <f t="shared" si="10"/>
        <v>157642</v>
      </c>
      <c r="L34" s="109">
        <v>166312.31</v>
      </c>
      <c r="M34" s="110">
        <v>175126.86242999995</v>
      </c>
      <c r="N34" s="128"/>
    </row>
    <row r="35" spans="1:14" ht="12.75" customHeight="1" x14ac:dyDescent="0.25">
      <c r="A35" s="129" t="s">
        <v>505</v>
      </c>
      <c r="B35" s="73"/>
      <c r="C35" s="130">
        <v>450150</v>
      </c>
      <c r="D35" s="109"/>
      <c r="E35" s="109"/>
      <c r="F35" s="109"/>
      <c r="G35" s="109"/>
      <c r="H35" s="109"/>
      <c r="I35" s="109"/>
      <c r="J35" s="75">
        <f t="shared" si="9"/>
        <v>0</v>
      </c>
      <c r="K35" s="75">
        <f t="shared" si="10"/>
        <v>450150</v>
      </c>
      <c r="L35" s="109">
        <v>474908.25</v>
      </c>
      <c r="M35" s="110">
        <v>500078.38724999991</v>
      </c>
      <c r="N35" s="128"/>
    </row>
    <row r="36" spans="1:14" ht="12.75" customHeight="1" x14ac:dyDescent="0.25">
      <c r="A36" s="129" t="s">
        <v>506</v>
      </c>
      <c r="B36" s="73"/>
      <c r="C36" s="130">
        <v>1577478</v>
      </c>
      <c r="D36" s="109"/>
      <c r="E36" s="109"/>
      <c r="F36" s="109"/>
      <c r="G36" s="109"/>
      <c r="H36" s="109"/>
      <c r="I36" s="109"/>
      <c r="J36" s="75">
        <f t="shared" si="9"/>
        <v>0</v>
      </c>
      <c r="K36" s="75">
        <f t="shared" si="10"/>
        <v>1577478</v>
      </c>
      <c r="L36" s="109">
        <v>1664239.29</v>
      </c>
      <c r="M36" s="110">
        <v>1752443.9723699999</v>
      </c>
      <c r="N36" s="128"/>
    </row>
    <row r="37" spans="1:14" ht="12.75" customHeight="1" x14ac:dyDescent="0.25">
      <c r="A37" s="129" t="s">
        <v>507</v>
      </c>
      <c r="B37" s="73"/>
      <c r="C37" s="130">
        <v>22218</v>
      </c>
      <c r="D37" s="109"/>
      <c r="E37" s="109"/>
      <c r="F37" s="109"/>
      <c r="G37" s="109"/>
      <c r="H37" s="109"/>
      <c r="I37" s="109"/>
      <c r="J37" s="75">
        <f t="shared" si="9"/>
        <v>0</v>
      </c>
      <c r="K37" s="75">
        <f t="shared" si="10"/>
        <v>22218</v>
      </c>
      <c r="L37" s="109">
        <v>23439.989999999998</v>
      </c>
      <c r="M37" s="110">
        <v>24682.309469999997</v>
      </c>
      <c r="N37" s="128"/>
    </row>
    <row r="38" spans="1:14" ht="12.75" customHeight="1" x14ac:dyDescent="0.25">
      <c r="A38" s="129" t="s">
        <v>508</v>
      </c>
      <c r="B38" s="73"/>
      <c r="C38" s="130"/>
      <c r="D38" s="109"/>
      <c r="E38" s="109"/>
      <c r="F38" s="109"/>
      <c r="G38" s="109"/>
      <c r="H38" s="109"/>
      <c r="I38" s="109"/>
      <c r="J38" s="75">
        <f t="shared" si="9"/>
        <v>0</v>
      </c>
      <c r="K38" s="75">
        <f t="shared" si="10"/>
        <v>0</v>
      </c>
      <c r="L38" s="109">
        <v>0</v>
      </c>
      <c r="M38" s="110">
        <v>0</v>
      </c>
      <c r="N38" s="128"/>
    </row>
    <row r="39" spans="1:14" ht="12.75" customHeight="1" x14ac:dyDescent="0.25">
      <c r="A39" s="129" t="s">
        <v>509</v>
      </c>
      <c r="B39" s="73"/>
      <c r="C39" s="130"/>
      <c r="D39" s="109"/>
      <c r="E39" s="109"/>
      <c r="F39" s="109"/>
      <c r="G39" s="109"/>
      <c r="H39" s="109"/>
      <c r="I39" s="109"/>
      <c r="J39" s="75">
        <f t="shared" si="9"/>
        <v>0</v>
      </c>
      <c r="K39" s="75">
        <f t="shared" si="10"/>
        <v>0</v>
      </c>
      <c r="L39" s="109">
        <v>0</v>
      </c>
      <c r="M39" s="110">
        <v>0</v>
      </c>
      <c r="N39" s="128"/>
    </row>
    <row r="40" spans="1:14" ht="12.75" customHeight="1" x14ac:dyDescent="0.25">
      <c r="A40" s="129" t="s">
        <v>510</v>
      </c>
      <c r="B40" s="73"/>
      <c r="C40" s="130">
        <v>29624</v>
      </c>
      <c r="D40" s="109"/>
      <c r="E40" s="109"/>
      <c r="F40" s="109"/>
      <c r="G40" s="109"/>
      <c r="H40" s="109"/>
      <c r="I40" s="109"/>
      <c r="J40" s="75">
        <f t="shared" si="9"/>
        <v>0</v>
      </c>
      <c r="K40" s="75">
        <f t="shared" si="10"/>
        <v>29624</v>
      </c>
      <c r="L40" s="109">
        <v>31253.319999999996</v>
      </c>
      <c r="M40" s="110">
        <v>32909.745959999993</v>
      </c>
      <c r="N40" s="128"/>
    </row>
    <row r="41" spans="1:14" ht="12.75" customHeight="1" x14ac:dyDescent="0.25">
      <c r="A41" s="129" t="s">
        <v>511</v>
      </c>
      <c r="B41" s="73"/>
      <c r="C41" s="130">
        <v>1428300</v>
      </c>
      <c r="D41" s="109"/>
      <c r="E41" s="109"/>
      <c r="F41" s="109"/>
      <c r="G41" s="109"/>
      <c r="H41" s="109"/>
      <c r="I41" s="109"/>
      <c r="J41" s="75">
        <f t="shared" si="9"/>
        <v>0</v>
      </c>
      <c r="K41" s="75">
        <f t="shared" si="10"/>
        <v>1428300</v>
      </c>
      <c r="L41" s="109">
        <v>1506856.4999999998</v>
      </c>
      <c r="M41" s="110">
        <v>1586719.8944999999</v>
      </c>
      <c r="N41" s="128"/>
    </row>
    <row r="42" spans="1:14" ht="12.75" customHeight="1" x14ac:dyDescent="0.25">
      <c r="A42" s="597" t="s">
        <v>512</v>
      </c>
      <c r="B42" s="73"/>
      <c r="C42" s="130">
        <v>0</v>
      </c>
      <c r="D42" s="109"/>
      <c r="E42" s="109"/>
      <c r="F42" s="109"/>
      <c r="G42" s="109"/>
      <c r="H42" s="109"/>
      <c r="I42" s="109"/>
      <c r="J42" s="75">
        <f>SUM(E42:I42)</f>
        <v>0</v>
      </c>
      <c r="K42" s="75">
        <f>IF(D42=0,C42+J42,D42+J42)</f>
        <v>0</v>
      </c>
      <c r="L42" s="109">
        <v>0</v>
      </c>
      <c r="M42" s="110">
        <v>0</v>
      </c>
      <c r="N42" s="128"/>
    </row>
    <row r="43" spans="1:14" ht="12.75" customHeight="1" x14ac:dyDescent="0.25">
      <c r="A43" s="129" t="s">
        <v>671</v>
      </c>
      <c r="B43" s="73"/>
      <c r="C43" s="130">
        <v>40509359.200000003</v>
      </c>
      <c r="D43" s="109"/>
      <c r="E43" s="109"/>
      <c r="F43" s="109"/>
      <c r="G43" s="109"/>
      <c r="H43" s="109"/>
      <c r="I43" s="109">
        <v>2577858</v>
      </c>
      <c r="J43" s="75">
        <f>SUM(E43:I43)</f>
        <v>2577858</v>
      </c>
      <c r="K43" s="75">
        <f>IF(D43=0,C43+J43,D43+J43)</f>
        <v>43087217.200000003</v>
      </c>
      <c r="L43" s="109">
        <v>43975377.2620003</v>
      </c>
      <c r="M43" s="110">
        <v>48069284.764026202</v>
      </c>
      <c r="N43" s="128"/>
    </row>
    <row r="44" spans="1:14" ht="5.0999999999999996" customHeight="1" x14ac:dyDescent="0.25">
      <c r="A44" s="136"/>
      <c r="B44" s="73"/>
      <c r="C44" s="74"/>
      <c r="D44" s="75"/>
      <c r="E44" s="75"/>
      <c r="F44" s="75"/>
      <c r="G44" s="75"/>
      <c r="H44" s="75"/>
      <c r="I44" s="75"/>
      <c r="J44" s="75"/>
      <c r="K44" s="75"/>
      <c r="L44" s="75"/>
      <c r="M44" s="76"/>
      <c r="N44" s="128"/>
    </row>
    <row r="45" spans="1:14" ht="12.75" customHeight="1" x14ac:dyDescent="0.25">
      <c r="A45" s="126" t="s">
        <v>830</v>
      </c>
      <c r="B45" s="73"/>
      <c r="C45" s="140">
        <f t="shared" ref="C45:M45" si="11">SUM(C46:C47)</f>
        <v>0</v>
      </c>
      <c r="D45" s="141">
        <f t="shared" si="11"/>
        <v>0</v>
      </c>
      <c r="E45" s="141">
        <f t="shared" si="11"/>
        <v>0</v>
      </c>
      <c r="F45" s="141">
        <f t="shared" si="11"/>
        <v>0</v>
      </c>
      <c r="G45" s="141">
        <f t="shared" si="11"/>
        <v>0</v>
      </c>
      <c r="H45" s="141">
        <f t="shared" si="11"/>
        <v>0</v>
      </c>
      <c r="I45" s="141">
        <f t="shared" si="11"/>
        <v>0</v>
      </c>
      <c r="J45" s="141">
        <f t="shared" si="11"/>
        <v>0</v>
      </c>
      <c r="K45" s="141">
        <f t="shared" si="11"/>
        <v>0</v>
      </c>
      <c r="L45" s="141">
        <f t="shared" si="11"/>
        <v>0</v>
      </c>
      <c r="M45" s="142">
        <f t="shared" si="11"/>
        <v>0</v>
      </c>
      <c r="N45" s="128"/>
    </row>
    <row r="46" spans="1:14" ht="12.75" customHeight="1" x14ac:dyDescent="0.25">
      <c r="A46" s="129" t="s">
        <v>513</v>
      </c>
      <c r="B46" s="73"/>
      <c r="C46" s="130"/>
      <c r="D46" s="109"/>
      <c r="E46" s="109"/>
      <c r="F46" s="109"/>
      <c r="G46" s="109"/>
      <c r="H46" s="109"/>
      <c r="I46" s="109"/>
      <c r="J46" s="75">
        <f>SUM(E46:I46)</f>
        <v>0</v>
      </c>
      <c r="K46" s="75">
        <f>IF(D46=0,C46+J46,D46+J46)</f>
        <v>0</v>
      </c>
      <c r="L46" s="109"/>
      <c r="M46" s="110"/>
      <c r="N46" s="128"/>
    </row>
    <row r="47" spans="1:14" ht="12.75" customHeight="1" x14ac:dyDescent="0.25">
      <c r="A47" s="599" t="s">
        <v>671</v>
      </c>
      <c r="B47" s="73"/>
      <c r="C47" s="130"/>
      <c r="D47" s="109"/>
      <c r="E47" s="109"/>
      <c r="F47" s="109"/>
      <c r="G47" s="109"/>
      <c r="H47" s="109"/>
      <c r="I47" s="109"/>
      <c r="J47" s="75">
        <f>SUM(E47:I47)</f>
        <v>0</v>
      </c>
      <c r="K47" s="75">
        <f>IF(D47=0,C47+J47,D47+J47)</f>
        <v>0</v>
      </c>
      <c r="L47" s="109"/>
      <c r="M47" s="110"/>
      <c r="N47" s="128"/>
    </row>
    <row r="48" spans="1:14" ht="5.0999999999999996" customHeight="1" x14ac:dyDescent="0.25">
      <c r="A48" s="136"/>
      <c r="B48" s="73"/>
      <c r="C48" s="127"/>
      <c r="D48" s="172"/>
      <c r="E48" s="172"/>
      <c r="F48" s="172"/>
      <c r="G48" s="172"/>
      <c r="H48" s="172"/>
      <c r="I48" s="172"/>
      <c r="J48" s="75"/>
      <c r="K48" s="75"/>
      <c r="L48" s="75"/>
      <c r="M48" s="76"/>
      <c r="N48" s="128"/>
    </row>
    <row r="49" spans="1:14" ht="12.75" customHeight="1" x14ac:dyDescent="0.25">
      <c r="A49" s="126" t="s">
        <v>831</v>
      </c>
      <c r="B49" s="73"/>
      <c r="C49" s="140">
        <f t="shared" ref="C49:M49" si="12">SUM(C50:C51)</f>
        <v>0</v>
      </c>
      <c r="D49" s="141">
        <f t="shared" si="12"/>
        <v>0</v>
      </c>
      <c r="E49" s="141">
        <f t="shared" si="12"/>
        <v>0</v>
      </c>
      <c r="F49" s="141">
        <f t="shared" si="12"/>
        <v>0</v>
      </c>
      <c r="G49" s="141">
        <f t="shared" si="12"/>
        <v>0</v>
      </c>
      <c r="H49" s="141">
        <f t="shared" si="12"/>
        <v>0</v>
      </c>
      <c r="I49" s="141">
        <f t="shared" si="12"/>
        <v>0</v>
      </c>
      <c r="J49" s="141">
        <f t="shared" si="12"/>
        <v>0</v>
      </c>
      <c r="K49" s="141">
        <f t="shared" si="12"/>
        <v>0</v>
      </c>
      <c r="L49" s="141">
        <f t="shared" si="12"/>
        <v>0</v>
      </c>
      <c r="M49" s="142">
        <f t="shared" si="12"/>
        <v>0</v>
      </c>
      <c r="N49" s="128"/>
    </row>
    <row r="50" spans="1:14" ht="12.75" customHeight="1" x14ac:dyDescent="0.25">
      <c r="A50" s="129" t="s">
        <v>514</v>
      </c>
      <c r="B50" s="73"/>
      <c r="C50" s="130"/>
      <c r="D50" s="109"/>
      <c r="E50" s="109"/>
      <c r="F50" s="109"/>
      <c r="G50" s="109"/>
      <c r="H50" s="109"/>
      <c r="I50" s="109"/>
      <c r="J50" s="75">
        <f>SUM(E50:I50)</f>
        <v>0</v>
      </c>
      <c r="K50" s="75">
        <f>IF(D50=0,C50+J50,D50+J50)</f>
        <v>0</v>
      </c>
      <c r="L50" s="109"/>
      <c r="M50" s="110"/>
      <c r="N50" s="128"/>
    </row>
    <row r="51" spans="1:14" ht="12.75" customHeight="1" x14ac:dyDescent="0.25">
      <c r="A51" s="129" t="s">
        <v>671</v>
      </c>
      <c r="B51" s="73"/>
      <c r="C51" s="130"/>
      <c r="D51" s="109"/>
      <c r="E51" s="109"/>
      <c r="F51" s="109"/>
      <c r="G51" s="109"/>
      <c r="H51" s="109"/>
      <c r="I51" s="109"/>
      <c r="J51" s="75">
        <f>SUM(E51:I51)</f>
        <v>0</v>
      </c>
      <c r="K51" s="75">
        <f>IF(D51=0,C51+J51,D51+J51)</f>
        <v>0</v>
      </c>
      <c r="L51" s="109"/>
      <c r="M51" s="110"/>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26" t="s">
        <v>832</v>
      </c>
      <c r="B53" s="73"/>
      <c r="C53" s="140">
        <f>SUM(C54:C65)</f>
        <v>0</v>
      </c>
      <c r="D53" s="141">
        <f t="shared" ref="D53:M53" si="13">SUM(D54:D65)</f>
        <v>0</v>
      </c>
      <c r="E53" s="141">
        <f t="shared" si="13"/>
        <v>0</v>
      </c>
      <c r="F53" s="141">
        <f t="shared" si="13"/>
        <v>0</v>
      </c>
      <c r="G53" s="141">
        <f t="shared" si="13"/>
        <v>0</v>
      </c>
      <c r="H53" s="141">
        <f t="shared" si="13"/>
        <v>0</v>
      </c>
      <c r="I53" s="141">
        <f t="shared" si="13"/>
        <v>0</v>
      </c>
      <c r="J53" s="141">
        <f>SUM(J54:J65)</f>
        <v>0</v>
      </c>
      <c r="K53" s="141">
        <f t="shared" si="13"/>
        <v>0</v>
      </c>
      <c r="L53" s="141">
        <f t="shared" si="13"/>
        <v>0</v>
      </c>
      <c r="M53" s="142">
        <f t="shared" si="13"/>
        <v>0</v>
      </c>
      <c r="N53" s="128"/>
    </row>
    <row r="54" spans="1:14" ht="12.75" customHeight="1" x14ac:dyDescent="0.25">
      <c r="A54" s="30" t="s">
        <v>516</v>
      </c>
      <c r="B54" s="73"/>
      <c r="C54" s="130"/>
      <c r="D54" s="109"/>
      <c r="E54" s="109"/>
      <c r="F54" s="109"/>
      <c r="G54" s="109"/>
      <c r="H54" s="109"/>
      <c r="I54" s="109"/>
      <c r="J54" s="75">
        <f>SUM(E54:I54)</f>
        <v>0</v>
      </c>
      <c r="K54" s="75">
        <f>IF(D54=0,C54+J54,D54+J54)</f>
        <v>0</v>
      </c>
      <c r="L54" s="109"/>
      <c r="M54" s="110"/>
      <c r="N54" s="128"/>
    </row>
    <row r="55" spans="1:14" ht="12.75" customHeight="1" x14ac:dyDescent="0.25">
      <c r="A55" s="599" t="s">
        <v>517</v>
      </c>
      <c r="B55" s="73">
        <v>18</v>
      </c>
      <c r="C55" s="131">
        <f>C81</f>
        <v>0</v>
      </c>
      <c r="D55" s="132">
        <f t="shared" ref="D55:I55" si="14">D81</f>
        <v>0</v>
      </c>
      <c r="E55" s="132">
        <f t="shared" si="14"/>
        <v>0</v>
      </c>
      <c r="F55" s="132">
        <f t="shared" si="14"/>
        <v>0</v>
      </c>
      <c r="G55" s="132">
        <f t="shared" si="14"/>
        <v>0</v>
      </c>
      <c r="H55" s="132">
        <f t="shared" si="14"/>
        <v>0</v>
      </c>
      <c r="I55" s="132">
        <f t="shared" si="14"/>
        <v>0</v>
      </c>
      <c r="J55" s="172">
        <f>SUM(E55:I55)</f>
        <v>0</v>
      </c>
      <c r="K55" s="172">
        <f>IF(D55=0,C55+J55,D55+J55)</f>
        <v>0</v>
      </c>
      <c r="L55" s="132">
        <f>L81</f>
        <v>0</v>
      </c>
      <c r="M55" s="133">
        <f>M81</f>
        <v>0</v>
      </c>
      <c r="N55" s="128"/>
    </row>
    <row r="56" spans="1:14" ht="12.75" customHeight="1" x14ac:dyDescent="0.25">
      <c r="A56" s="30" t="s">
        <v>518</v>
      </c>
      <c r="B56" s="137"/>
      <c r="C56" s="130"/>
      <c r="D56" s="109"/>
      <c r="E56" s="109"/>
      <c r="F56" s="109"/>
      <c r="G56" s="109"/>
      <c r="H56" s="109"/>
      <c r="I56" s="109"/>
      <c r="J56" s="75">
        <f t="shared" ref="J56:J65" si="15">SUM(E56:I56)</f>
        <v>0</v>
      </c>
      <c r="K56" s="75">
        <f t="shared" ref="K56:K65" si="16">IF(D56=0,C56+J56,D56+J56)</f>
        <v>0</v>
      </c>
      <c r="L56" s="109"/>
      <c r="M56" s="110"/>
      <c r="N56" s="128"/>
    </row>
    <row r="57" spans="1:14" ht="12.75" customHeight="1" x14ac:dyDescent="0.25">
      <c r="A57" s="30" t="s">
        <v>519</v>
      </c>
      <c r="B57" s="73"/>
      <c r="C57" s="130"/>
      <c r="D57" s="109"/>
      <c r="E57" s="109"/>
      <c r="F57" s="109"/>
      <c r="G57" s="109"/>
      <c r="H57" s="109"/>
      <c r="I57" s="109"/>
      <c r="J57" s="75">
        <f t="shared" si="15"/>
        <v>0</v>
      </c>
      <c r="K57" s="75">
        <f t="shared" si="16"/>
        <v>0</v>
      </c>
      <c r="L57" s="109"/>
      <c r="M57" s="110"/>
      <c r="N57" s="128"/>
    </row>
    <row r="58" spans="1:14" ht="12.75" customHeight="1" x14ac:dyDescent="0.25">
      <c r="A58" s="30" t="s">
        <v>520</v>
      </c>
      <c r="B58" s="73"/>
      <c r="C58" s="130"/>
      <c r="D58" s="109"/>
      <c r="E58" s="109"/>
      <c r="F58" s="109"/>
      <c r="G58" s="109"/>
      <c r="H58" s="109"/>
      <c r="I58" s="109"/>
      <c r="J58" s="75">
        <f t="shared" si="15"/>
        <v>0</v>
      </c>
      <c r="K58" s="75">
        <f t="shared" si="16"/>
        <v>0</v>
      </c>
      <c r="L58" s="109"/>
      <c r="M58" s="110"/>
      <c r="N58" s="128"/>
    </row>
    <row r="59" spans="1:14" ht="12.75" customHeight="1" x14ac:dyDescent="0.25">
      <c r="A59" s="30" t="s">
        <v>521</v>
      </c>
      <c r="B59" s="73"/>
      <c r="C59" s="130"/>
      <c r="D59" s="109"/>
      <c r="E59" s="109"/>
      <c r="F59" s="109"/>
      <c r="G59" s="109"/>
      <c r="H59" s="109"/>
      <c r="I59" s="109"/>
      <c r="J59" s="75">
        <f t="shared" si="15"/>
        <v>0</v>
      </c>
      <c r="K59" s="75">
        <f t="shared" si="16"/>
        <v>0</v>
      </c>
      <c r="L59" s="109"/>
      <c r="M59" s="110"/>
      <c r="N59" s="128"/>
    </row>
    <row r="60" spans="1:14" ht="12.75" customHeight="1" x14ac:dyDescent="0.25">
      <c r="A60" s="30" t="s">
        <v>522</v>
      </c>
      <c r="B60" s="73"/>
      <c r="C60" s="130"/>
      <c r="D60" s="109"/>
      <c r="E60" s="109"/>
      <c r="F60" s="109"/>
      <c r="G60" s="109"/>
      <c r="H60" s="109"/>
      <c r="I60" s="109"/>
      <c r="J60" s="75">
        <f t="shared" si="15"/>
        <v>0</v>
      </c>
      <c r="K60" s="75">
        <f t="shared" si="16"/>
        <v>0</v>
      </c>
      <c r="L60" s="109"/>
      <c r="M60" s="110"/>
      <c r="N60" s="128"/>
    </row>
    <row r="61" spans="1:14" ht="12.75" customHeight="1" x14ac:dyDescent="0.25">
      <c r="A61" s="30" t="s">
        <v>523</v>
      </c>
      <c r="B61" s="73"/>
      <c r="C61" s="130"/>
      <c r="D61" s="109"/>
      <c r="E61" s="109"/>
      <c r="F61" s="109"/>
      <c r="G61" s="109"/>
      <c r="H61" s="109"/>
      <c r="I61" s="109"/>
      <c r="J61" s="75">
        <f t="shared" si="15"/>
        <v>0</v>
      </c>
      <c r="K61" s="75">
        <f t="shared" si="16"/>
        <v>0</v>
      </c>
      <c r="L61" s="109"/>
      <c r="M61" s="110"/>
      <c r="N61" s="128"/>
    </row>
    <row r="62" spans="1:14" ht="12.75" customHeight="1" x14ac:dyDescent="0.25">
      <c r="A62" s="30" t="s">
        <v>524</v>
      </c>
      <c r="B62" s="73"/>
      <c r="C62" s="130"/>
      <c r="D62" s="109"/>
      <c r="E62" s="109"/>
      <c r="F62" s="109"/>
      <c r="G62" s="109"/>
      <c r="H62" s="109"/>
      <c r="I62" s="109"/>
      <c r="J62" s="75">
        <f t="shared" si="15"/>
        <v>0</v>
      </c>
      <c r="K62" s="75">
        <f t="shared" si="16"/>
        <v>0</v>
      </c>
      <c r="L62" s="109"/>
      <c r="M62" s="110"/>
      <c r="N62" s="128"/>
    </row>
    <row r="63" spans="1:14" ht="12.75" customHeight="1" x14ac:dyDescent="0.25">
      <c r="A63" s="30" t="s">
        <v>525</v>
      </c>
      <c r="B63" s="73"/>
      <c r="C63" s="130"/>
      <c r="D63" s="109"/>
      <c r="E63" s="109"/>
      <c r="F63" s="109"/>
      <c r="G63" s="109"/>
      <c r="H63" s="109"/>
      <c r="I63" s="109"/>
      <c r="J63" s="75">
        <f t="shared" si="15"/>
        <v>0</v>
      </c>
      <c r="K63" s="75">
        <f t="shared" si="16"/>
        <v>0</v>
      </c>
      <c r="L63" s="109"/>
      <c r="M63" s="110"/>
      <c r="N63" s="128"/>
    </row>
    <row r="64" spans="1:14" ht="12.75" customHeight="1" x14ac:dyDescent="0.25">
      <c r="A64" s="30" t="s">
        <v>526</v>
      </c>
      <c r="B64" s="73"/>
      <c r="C64" s="130"/>
      <c r="D64" s="109"/>
      <c r="E64" s="109"/>
      <c r="F64" s="109"/>
      <c r="G64" s="109"/>
      <c r="H64" s="109"/>
      <c r="I64" s="109"/>
      <c r="J64" s="75">
        <f t="shared" si="15"/>
        <v>0</v>
      </c>
      <c r="K64" s="75">
        <f t="shared" si="16"/>
        <v>0</v>
      </c>
      <c r="L64" s="109"/>
      <c r="M64" s="110"/>
      <c r="N64" s="128"/>
    </row>
    <row r="65" spans="1:14" ht="12.75" customHeight="1" x14ac:dyDescent="0.25">
      <c r="A65" s="129" t="s">
        <v>671</v>
      </c>
      <c r="B65" s="73"/>
      <c r="C65" s="130"/>
      <c r="D65" s="109"/>
      <c r="E65" s="109"/>
      <c r="F65" s="109"/>
      <c r="G65" s="109"/>
      <c r="H65" s="109"/>
      <c r="I65" s="109"/>
      <c r="J65" s="75">
        <f t="shared" si="15"/>
        <v>0</v>
      </c>
      <c r="K65" s="75">
        <f t="shared" si="16"/>
        <v>0</v>
      </c>
      <c r="L65" s="109"/>
      <c r="M65" s="110"/>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1342</v>
      </c>
      <c r="B67" s="73"/>
      <c r="C67" s="140">
        <f t="shared" ref="C67:M67" si="17">SUM(C68:C69)</f>
        <v>0</v>
      </c>
      <c r="D67" s="141">
        <f t="shared" si="17"/>
        <v>0</v>
      </c>
      <c r="E67" s="141">
        <f t="shared" si="17"/>
        <v>0</v>
      </c>
      <c r="F67" s="141">
        <f t="shared" si="17"/>
        <v>0</v>
      </c>
      <c r="G67" s="141">
        <f t="shared" si="17"/>
        <v>0</v>
      </c>
      <c r="H67" s="141">
        <f t="shared" si="17"/>
        <v>0</v>
      </c>
      <c r="I67" s="141">
        <f t="shared" si="17"/>
        <v>0</v>
      </c>
      <c r="J67" s="141">
        <f>SUM(J68:J69)</f>
        <v>0</v>
      </c>
      <c r="K67" s="141">
        <f t="shared" si="17"/>
        <v>0</v>
      </c>
      <c r="L67" s="141">
        <f t="shared" si="17"/>
        <v>0</v>
      </c>
      <c r="M67" s="142">
        <f t="shared" si="17"/>
        <v>0</v>
      </c>
      <c r="N67" s="128"/>
    </row>
    <row r="68" spans="1:14" ht="12.75" customHeight="1" x14ac:dyDescent="0.25">
      <c r="A68" s="828"/>
      <c r="B68" s="73"/>
      <c r="C68" s="130"/>
      <c r="D68" s="109"/>
      <c r="E68" s="109"/>
      <c r="F68" s="109"/>
      <c r="G68" s="109"/>
      <c r="H68" s="109"/>
      <c r="I68" s="109"/>
      <c r="J68" s="75">
        <f>SUM(E68:I68)</f>
        <v>0</v>
      </c>
      <c r="K68" s="75">
        <f>IF(D68=0,C68+J68,D68+J68)</f>
        <v>0</v>
      </c>
      <c r="L68" s="109"/>
      <c r="M68" s="110"/>
      <c r="N68" s="128"/>
    </row>
    <row r="69" spans="1:14" ht="12.75" customHeight="1" x14ac:dyDescent="0.25">
      <c r="A69" s="295" t="s">
        <v>529</v>
      </c>
      <c r="B69" s="73"/>
      <c r="C69" s="130"/>
      <c r="D69" s="109"/>
      <c r="E69" s="109"/>
      <c r="F69" s="109"/>
      <c r="G69" s="109"/>
      <c r="H69" s="109"/>
      <c r="I69" s="109"/>
      <c r="J69" s="75">
        <f>SUM(E69:I69)</f>
        <v>0</v>
      </c>
      <c r="K69" s="75">
        <f>IF(D69=0,C69+J69,D69+J69)</f>
        <v>0</v>
      </c>
      <c r="L69" s="109"/>
      <c r="M69" s="110"/>
      <c r="N69" s="128"/>
    </row>
    <row r="70" spans="1:14" ht="5.0999999999999996" customHeight="1" x14ac:dyDescent="0.25">
      <c r="A70" s="136"/>
      <c r="B70" s="73"/>
      <c r="C70" s="74"/>
      <c r="D70" s="75"/>
      <c r="E70" s="75"/>
      <c r="F70" s="75"/>
      <c r="G70" s="75"/>
      <c r="H70" s="75"/>
      <c r="I70" s="75"/>
      <c r="J70" s="75"/>
      <c r="K70" s="75"/>
      <c r="L70" s="75"/>
      <c r="M70" s="76"/>
      <c r="N70" s="128"/>
    </row>
    <row r="71" spans="1:14" ht="12.75" customHeight="1" x14ac:dyDescent="0.25">
      <c r="A71" s="126" t="s">
        <v>834</v>
      </c>
      <c r="B71" s="73"/>
      <c r="C71" s="140">
        <f t="shared" ref="C71:M71" si="18">SUM(C72:C73)</f>
        <v>0</v>
      </c>
      <c r="D71" s="141">
        <f t="shared" si="18"/>
        <v>0</v>
      </c>
      <c r="E71" s="141">
        <f t="shared" si="18"/>
        <v>0</v>
      </c>
      <c r="F71" s="141">
        <f t="shared" si="18"/>
        <v>0</v>
      </c>
      <c r="G71" s="141">
        <f t="shared" si="18"/>
        <v>0</v>
      </c>
      <c r="H71" s="141">
        <f t="shared" si="18"/>
        <v>0</v>
      </c>
      <c r="I71" s="141">
        <f t="shared" si="18"/>
        <v>0</v>
      </c>
      <c r="J71" s="141">
        <f t="shared" si="18"/>
        <v>0</v>
      </c>
      <c r="K71" s="141">
        <f t="shared" si="18"/>
        <v>0</v>
      </c>
      <c r="L71" s="141">
        <f t="shared" si="18"/>
        <v>0</v>
      </c>
      <c r="M71" s="142">
        <f t="shared" si="18"/>
        <v>0</v>
      </c>
      <c r="N71" s="128"/>
    </row>
    <row r="72" spans="1:14" ht="12.75" customHeight="1" x14ac:dyDescent="0.25">
      <c r="A72" s="828"/>
      <c r="B72" s="73"/>
      <c r="C72" s="130"/>
      <c r="D72" s="109"/>
      <c r="E72" s="109"/>
      <c r="F72" s="109"/>
      <c r="G72" s="109"/>
      <c r="H72" s="109"/>
      <c r="I72" s="109"/>
      <c r="J72" s="75">
        <f>SUM(E72:I72)</f>
        <v>0</v>
      </c>
      <c r="K72" s="75">
        <f>IF(D72=0,C72+J72,D72+J72)</f>
        <v>0</v>
      </c>
      <c r="L72" s="109"/>
      <c r="M72" s="110"/>
      <c r="N72" s="128"/>
    </row>
    <row r="73" spans="1:14" ht="12.75" customHeight="1" x14ac:dyDescent="0.25">
      <c r="A73" s="295" t="s">
        <v>529</v>
      </c>
      <c r="B73" s="73"/>
      <c r="C73" s="130"/>
      <c r="D73" s="109"/>
      <c r="E73" s="109"/>
      <c r="F73" s="109"/>
      <c r="G73" s="109"/>
      <c r="H73" s="109"/>
      <c r="I73" s="109"/>
      <c r="J73" s="75">
        <f>SUM(E73:I73)</f>
        <v>0</v>
      </c>
      <c r="K73" s="75">
        <f>IF(D73=0,C73+J73,D73+J73)</f>
        <v>0</v>
      </c>
      <c r="L73" s="109"/>
      <c r="M73" s="110"/>
      <c r="N73" s="128"/>
    </row>
    <row r="74" spans="1:14" ht="5.0999999999999996" customHeight="1" x14ac:dyDescent="0.25">
      <c r="A74" s="136"/>
      <c r="B74" s="73"/>
      <c r="C74" s="74"/>
      <c r="D74" s="75"/>
      <c r="E74" s="75"/>
      <c r="F74" s="75"/>
      <c r="G74" s="75"/>
      <c r="H74" s="75"/>
      <c r="I74" s="75"/>
      <c r="J74" s="75"/>
      <c r="K74" s="75"/>
      <c r="L74" s="75"/>
      <c r="M74" s="76"/>
      <c r="N74" s="128"/>
    </row>
    <row r="75" spans="1:14" ht="12.75" customHeight="1" x14ac:dyDescent="0.25">
      <c r="A75" s="126" t="s">
        <v>833</v>
      </c>
      <c r="B75" s="73"/>
      <c r="C75" s="140">
        <f t="shared" ref="C75:M75" si="19">SUM(C76:C77)</f>
        <v>0</v>
      </c>
      <c r="D75" s="141">
        <f t="shared" si="19"/>
        <v>0</v>
      </c>
      <c r="E75" s="141">
        <f t="shared" si="19"/>
        <v>0</v>
      </c>
      <c r="F75" s="141">
        <f t="shared" si="19"/>
        <v>0</v>
      </c>
      <c r="G75" s="141">
        <f t="shared" si="19"/>
        <v>0</v>
      </c>
      <c r="H75" s="141">
        <f t="shared" si="19"/>
        <v>0</v>
      </c>
      <c r="I75" s="141">
        <f t="shared" si="19"/>
        <v>0</v>
      </c>
      <c r="J75" s="141">
        <f>SUM(J76:J77)</f>
        <v>0</v>
      </c>
      <c r="K75" s="141">
        <f t="shared" si="19"/>
        <v>0</v>
      </c>
      <c r="L75" s="141">
        <f t="shared" si="19"/>
        <v>0</v>
      </c>
      <c r="M75" s="142">
        <f t="shared" si="19"/>
        <v>0</v>
      </c>
      <c r="N75" s="128"/>
    </row>
    <row r="76" spans="1:14" ht="12.75" customHeight="1" x14ac:dyDescent="0.25">
      <c r="A76" s="30" t="s">
        <v>527</v>
      </c>
      <c r="B76" s="73"/>
      <c r="C76" s="829"/>
      <c r="D76" s="830"/>
      <c r="E76" s="830"/>
      <c r="F76" s="830"/>
      <c r="G76" s="830"/>
      <c r="H76" s="830"/>
      <c r="I76" s="830"/>
      <c r="J76" s="141">
        <f>SUM(E76:I76)</f>
        <v>0</v>
      </c>
      <c r="K76" s="141">
        <f>IF(D76=0,C76+J76,D76+J76)</f>
        <v>0</v>
      </c>
      <c r="L76" s="830"/>
      <c r="M76" s="831"/>
      <c r="N76" s="128"/>
    </row>
    <row r="77" spans="1:14" ht="12.75" customHeight="1" x14ac:dyDescent="0.25">
      <c r="A77" s="486" t="s">
        <v>528</v>
      </c>
      <c r="B77" s="73"/>
      <c r="C77" s="130"/>
      <c r="D77" s="109"/>
      <c r="E77" s="109"/>
      <c r="F77" s="109"/>
      <c r="G77" s="109"/>
      <c r="H77" s="109"/>
      <c r="I77" s="109"/>
      <c r="J77" s="75">
        <f>SUM(E77:I77)</f>
        <v>0</v>
      </c>
      <c r="K77" s="75">
        <f>IF(D77=0,C77+J77,D77+J77)</f>
        <v>0</v>
      </c>
      <c r="L77" s="109"/>
      <c r="M77" s="110"/>
      <c r="N77" s="128"/>
    </row>
    <row r="78" spans="1:14" ht="5.0999999999999996" customHeight="1" x14ac:dyDescent="0.25">
      <c r="A78" s="136"/>
      <c r="B78" s="73"/>
      <c r="C78" s="74"/>
      <c r="D78" s="75"/>
      <c r="E78" s="75"/>
      <c r="F78" s="75"/>
      <c r="G78" s="75"/>
      <c r="H78" s="75"/>
      <c r="I78" s="75"/>
      <c r="J78" s="75"/>
      <c r="K78" s="75"/>
      <c r="L78" s="75"/>
      <c r="M78" s="76"/>
      <c r="N78" s="128"/>
    </row>
    <row r="79" spans="1:14" ht="25.5" customHeight="1" x14ac:dyDescent="0.25">
      <c r="A79" s="880" t="s">
        <v>1351</v>
      </c>
      <c r="B79" s="156">
        <v>1</v>
      </c>
      <c r="C79" s="877">
        <f t="shared" ref="C79:I79" si="20">C8+C29+C45+C49+C53+C75+C67+C71</f>
        <v>177520393.60000002</v>
      </c>
      <c r="D79" s="878">
        <f t="shared" si="20"/>
        <v>0</v>
      </c>
      <c r="E79" s="878">
        <f t="shared" si="20"/>
        <v>0</v>
      </c>
      <c r="F79" s="878">
        <f t="shared" si="20"/>
        <v>0</v>
      </c>
      <c r="G79" s="878">
        <f t="shared" si="20"/>
        <v>0</v>
      </c>
      <c r="H79" s="878">
        <f t="shared" si="20"/>
        <v>0</v>
      </c>
      <c r="I79" s="878">
        <f t="shared" si="20"/>
        <v>23832733</v>
      </c>
      <c r="J79" s="878">
        <f>J8+J29+J45+J49+J53+J71+J75</f>
        <v>23832733</v>
      </c>
      <c r="K79" s="878">
        <f>K8+K29+K45+K49+K53+K71+K75</f>
        <v>201353126.60000002</v>
      </c>
      <c r="L79" s="878">
        <f>L8+L29+L45+L49+L53+L75+L67+L71</f>
        <v>188637432.43400031</v>
      </c>
      <c r="M79" s="879">
        <f>M8+M29+M45+M49+M53+M75+M67+M71</f>
        <v>200521539.7173422</v>
      </c>
      <c r="N79" s="128"/>
    </row>
    <row r="80" spans="1:14" ht="12.75" customHeight="1" x14ac:dyDescent="0.25">
      <c r="A80" s="509"/>
      <c r="B80" s="121"/>
      <c r="C80" s="510"/>
      <c r="D80" s="510"/>
      <c r="E80" s="510"/>
      <c r="F80" s="510"/>
      <c r="G80" s="510"/>
      <c r="H80" s="510"/>
      <c r="I80" s="510"/>
      <c r="J80" s="510"/>
      <c r="K80" s="510"/>
      <c r="L80" s="510"/>
      <c r="M80" s="510"/>
      <c r="N80" s="128"/>
    </row>
    <row r="81" spans="1:14" ht="12.75" customHeight="1" x14ac:dyDescent="0.25">
      <c r="A81" s="869" t="s">
        <v>517</v>
      </c>
      <c r="B81" s="312">
        <v>18</v>
      </c>
      <c r="C81" s="870">
        <f t="shared" ref="C81:I81" si="21">SUM(C82:C85)</f>
        <v>0</v>
      </c>
      <c r="D81" s="871">
        <f t="shared" si="21"/>
        <v>0</v>
      </c>
      <c r="E81" s="871">
        <f t="shared" si="21"/>
        <v>0</v>
      </c>
      <c r="F81" s="871">
        <f t="shared" si="21"/>
        <v>0</v>
      </c>
      <c r="G81" s="871">
        <f t="shared" si="21"/>
        <v>0</v>
      </c>
      <c r="H81" s="871">
        <f t="shared" si="21"/>
        <v>0</v>
      </c>
      <c r="I81" s="871">
        <f t="shared" si="21"/>
        <v>0</v>
      </c>
      <c r="J81" s="871">
        <f>SUM(E81:I81)</f>
        <v>0</v>
      </c>
      <c r="K81" s="871">
        <f>IF(D81=0,C81+J81,D81+J81)</f>
        <v>0</v>
      </c>
      <c r="L81" s="871">
        <f>SUM(L82:L85)</f>
        <v>0</v>
      </c>
      <c r="M81" s="872">
        <f>SUM(M82:M85)</f>
        <v>0</v>
      </c>
      <c r="N81" s="128"/>
    </row>
    <row r="82" spans="1:14" ht="12.75" customHeight="1" x14ac:dyDescent="0.25">
      <c r="A82" s="129" t="s">
        <v>1233</v>
      </c>
      <c r="B82" s="73"/>
      <c r="C82" s="391"/>
      <c r="D82" s="109"/>
      <c r="E82" s="109"/>
      <c r="F82" s="109"/>
      <c r="G82" s="109"/>
      <c r="H82" s="109"/>
      <c r="I82" s="109"/>
      <c r="J82" s="141">
        <f>SUM(E82:I82)</f>
        <v>0</v>
      </c>
      <c r="K82" s="141">
        <f>IF(D82=0,C82+J82,D82+J82)</f>
        <v>0</v>
      </c>
      <c r="L82" s="109"/>
      <c r="M82" s="110"/>
      <c r="N82" s="128"/>
    </row>
    <row r="83" spans="1:14" ht="12.75" customHeight="1" x14ac:dyDescent="0.25">
      <c r="A83" s="129" t="s">
        <v>1121</v>
      </c>
      <c r="B83" s="73"/>
      <c r="C83" s="391"/>
      <c r="D83" s="109"/>
      <c r="E83" s="109"/>
      <c r="F83" s="109"/>
      <c r="G83" s="109"/>
      <c r="H83" s="109"/>
      <c r="I83" s="109"/>
      <c r="J83" s="141">
        <f>SUM(E83:I83)</f>
        <v>0</v>
      </c>
      <c r="K83" s="141">
        <f>IF(D83=0,C83+J83,D83+J83)</f>
        <v>0</v>
      </c>
      <c r="L83" s="109"/>
      <c r="M83" s="110"/>
      <c r="N83" s="128"/>
    </row>
    <row r="84" spans="1:14" ht="12.75" customHeight="1" x14ac:dyDescent="0.25">
      <c r="A84" s="129" t="s">
        <v>577</v>
      </c>
      <c r="B84" s="73"/>
      <c r="C84" s="391"/>
      <c r="D84" s="109"/>
      <c r="E84" s="109"/>
      <c r="F84" s="109"/>
      <c r="G84" s="109"/>
      <c r="H84" s="109"/>
      <c r="I84" s="109"/>
      <c r="J84" s="141">
        <f>SUM(E84:I84)</f>
        <v>0</v>
      </c>
      <c r="K84" s="141">
        <f>IF(D84=0,C84+J84,D84+J84)</f>
        <v>0</v>
      </c>
      <c r="L84" s="109"/>
      <c r="M84" s="110"/>
      <c r="N84" s="128"/>
    </row>
    <row r="85" spans="1:14" ht="12.75" customHeight="1" x14ac:dyDescent="0.25">
      <c r="A85" s="176" t="s">
        <v>578</v>
      </c>
      <c r="B85" s="88"/>
      <c r="C85" s="317"/>
      <c r="D85" s="318"/>
      <c r="E85" s="318"/>
      <c r="F85" s="318"/>
      <c r="G85" s="318"/>
      <c r="H85" s="318"/>
      <c r="I85" s="318"/>
      <c r="J85" s="90">
        <f>SUM(E85:I85)</f>
        <v>0</v>
      </c>
      <c r="K85" s="90">
        <f>IF(D85=0,C85+J85,D85+J85)</f>
        <v>0</v>
      </c>
      <c r="L85" s="318"/>
      <c r="M85" s="319"/>
      <c r="N85" s="128"/>
    </row>
    <row r="86" spans="1:14" ht="12.75" customHeight="1" x14ac:dyDescent="0.25">
      <c r="A86" s="601" t="str">
        <f>head27a</f>
        <v>References</v>
      </c>
      <c r="B86" s="121"/>
      <c r="C86" s="53"/>
      <c r="D86" s="53"/>
      <c r="E86" s="53"/>
      <c r="F86" s="53"/>
      <c r="G86" s="53"/>
      <c r="H86" s="53"/>
      <c r="I86" s="53"/>
      <c r="J86" s="53"/>
      <c r="K86" s="53"/>
      <c r="L86" s="53"/>
      <c r="M86" s="53"/>
      <c r="N86" s="128"/>
    </row>
    <row r="87" spans="1:14" ht="12.75" customHeight="1" x14ac:dyDescent="0.25">
      <c r="A87" s="875" t="s">
        <v>1352</v>
      </c>
      <c r="B87" s="768"/>
      <c r="C87" s="771"/>
      <c r="D87" s="771"/>
      <c r="E87" s="772"/>
      <c r="F87" s="772"/>
      <c r="G87" s="772"/>
      <c r="H87" s="772"/>
      <c r="I87" s="772"/>
      <c r="J87" s="53"/>
      <c r="K87" s="53"/>
      <c r="L87" s="53"/>
      <c r="M87" s="53"/>
      <c r="N87" s="128"/>
    </row>
    <row r="88" spans="1:14" ht="12.75" customHeight="1" x14ac:dyDescent="0.25">
      <c r="A88" s="99" t="s">
        <v>530</v>
      </c>
      <c r="B88" s="93"/>
      <c r="C88" s="96"/>
      <c r="D88" s="96"/>
      <c r="E88" s="96"/>
      <c r="F88" s="96"/>
      <c r="G88" s="96"/>
      <c r="H88" s="96"/>
      <c r="I88" s="96"/>
      <c r="J88" s="96"/>
      <c r="K88" s="96"/>
      <c r="L88" s="96"/>
      <c r="M88" s="96"/>
      <c r="N88" s="128"/>
    </row>
    <row r="89" spans="1:14" ht="12.75" customHeight="1" x14ac:dyDescent="0.25">
      <c r="A89" s="99" t="s">
        <v>531</v>
      </c>
      <c r="B89" s="93"/>
      <c r="C89" s="96"/>
      <c r="D89" s="96"/>
      <c r="E89" s="96"/>
      <c r="F89" s="96"/>
      <c r="G89" s="96"/>
      <c r="H89" s="96"/>
      <c r="I89" s="96"/>
      <c r="J89" s="96"/>
      <c r="K89" s="96"/>
      <c r="L89" s="96"/>
      <c r="M89" s="96"/>
      <c r="N89" s="128"/>
    </row>
    <row r="90" spans="1:14" ht="12.75" customHeight="1" x14ac:dyDescent="0.25">
      <c r="A90" s="159" t="s">
        <v>532</v>
      </c>
      <c r="B90" s="160"/>
      <c r="C90" s="94"/>
      <c r="D90" s="94"/>
      <c r="E90" s="94"/>
      <c r="F90" s="94"/>
      <c r="G90" s="94"/>
      <c r="H90" s="94"/>
      <c r="I90" s="94"/>
      <c r="J90" s="94"/>
      <c r="K90" s="94"/>
      <c r="L90" s="94"/>
      <c r="M90" s="94"/>
      <c r="N90" s="128"/>
    </row>
    <row r="91" spans="1:14" ht="12.75" customHeight="1" x14ac:dyDescent="0.25">
      <c r="A91" s="159" t="s">
        <v>533</v>
      </c>
      <c r="B91" s="160"/>
      <c r="C91" s="94"/>
      <c r="D91" s="94"/>
      <c r="E91" s="94"/>
      <c r="F91" s="94"/>
      <c r="G91" s="94"/>
      <c r="H91" s="94"/>
      <c r="I91" s="94"/>
      <c r="J91" s="94"/>
      <c r="K91" s="94"/>
      <c r="L91" s="94"/>
      <c r="M91" s="94"/>
      <c r="N91" s="128"/>
    </row>
    <row r="92" spans="1:14" ht="12.75" customHeight="1" x14ac:dyDescent="0.25">
      <c r="A92" s="159" t="s">
        <v>534</v>
      </c>
      <c r="B92" s="160"/>
      <c r="C92" s="94"/>
      <c r="D92" s="94"/>
      <c r="E92" s="94"/>
      <c r="F92" s="94"/>
      <c r="G92" s="94"/>
      <c r="H92" s="94"/>
      <c r="I92" s="94"/>
      <c r="J92" s="94"/>
      <c r="K92" s="94"/>
      <c r="L92" s="94"/>
      <c r="M92" s="94"/>
      <c r="N92" s="128"/>
    </row>
    <row r="93" spans="1:14" ht="12.75" customHeight="1" x14ac:dyDescent="0.25">
      <c r="A93" s="1320" t="s">
        <v>1097</v>
      </c>
      <c r="B93" s="1320"/>
      <c r="C93" s="1320"/>
      <c r="D93" s="1320"/>
      <c r="E93" s="1320"/>
      <c r="F93" s="1320"/>
      <c r="G93" s="1320"/>
      <c r="H93" s="1320"/>
      <c r="I93" s="1320"/>
      <c r="J93" s="1320"/>
      <c r="K93" s="1320"/>
      <c r="L93" s="1320"/>
      <c r="M93" s="1320"/>
      <c r="N93" s="128"/>
    </row>
    <row r="94" spans="1:14" ht="12.75" customHeight="1" x14ac:dyDescent="0.25">
      <c r="A94" s="1320" t="s">
        <v>1103</v>
      </c>
      <c r="B94" s="1320"/>
      <c r="C94" s="1320"/>
      <c r="D94" s="1320"/>
      <c r="E94" s="1320"/>
      <c r="F94" s="1320"/>
      <c r="G94" s="1320"/>
      <c r="H94" s="1320"/>
      <c r="I94" s="1320"/>
      <c r="J94" s="1320"/>
      <c r="K94" s="845"/>
      <c r="L94" s="845"/>
      <c r="M94" s="845"/>
      <c r="N94" s="128"/>
    </row>
    <row r="95" spans="1:14" ht="12.75" customHeight="1" x14ac:dyDescent="0.25">
      <c r="A95" s="1320" t="s">
        <v>1104</v>
      </c>
      <c r="B95" s="1320"/>
      <c r="C95" s="1320"/>
      <c r="D95" s="1320"/>
      <c r="E95" s="1320"/>
      <c r="F95" s="1320"/>
      <c r="G95" s="1320"/>
      <c r="H95" s="1320"/>
      <c r="I95" s="1320"/>
      <c r="J95" s="1320"/>
      <c r="K95" s="845"/>
      <c r="L95" s="845"/>
      <c r="M95" s="845"/>
      <c r="N95" s="128"/>
    </row>
    <row r="96" spans="1:14" ht="12.75" customHeight="1" x14ac:dyDescent="0.25">
      <c r="A96" s="1320" t="s">
        <v>1152</v>
      </c>
      <c r="B96" s="1320"/>
      <c r="C96" s="1320"/>
      <c r="D96" s="1320"/>
      <c r="E96" s="1320"/>
      <c r="F96" s="1320"/>
      <c r="G96" s="1320"/>
      <c r="H96" s="1320"/>
      <c r="I96" s="1320"/>
      <c r="J96" s="1320"/>
      <c r="K96" s="1320"/>
      <c r="L96" s="1320"/>
      <c r="M96" s="1320"/>
      <c r="N96" s="128"/>
    </row>
    <row r="97" spans="1:14" ht="12.75" customHeight="1" x14ac:dyDescent="0.25">
      <c r="A97" s="159" t="s">
        <v>1153</v>
      </c>
      <c r="B97" s="160"/>
      <c r="C97" s="94"/>
      <c r="D97" s="94"/>
      <c r="E97" s="94"/>
      <c r="F97" s="94"/>
      <c r="G97" s="94"/>
      <c r="H97" s="94"/>
      <c r="I97" s="94"/>
      <c r="J97" s="94"/>
      <c r="K97" s="94"/>
      <c r="L97" s="94"/>
      <c r="M97" s="94"/>
      <c r="N97" s="128"/>
    </row>
    <row r="98" spans="1:14" ht="12.75" customHeight="1" x14ac:dyDescent="0.25">
      <c r="A98" s="1320" t="s">
        <v>1154</v>
      </c>
      <c r="B98" s="1320"/>
      <c r="C98" s="1320"/>
      <c r="D98" s="1320"/>
      <c r="E98" s="1320"/>
      <c r="F98" s="1320"/>
      <c r="G98" s="1320"/>
      <c r="H98" s="1320"/>
      <c r="I98" s="1320"/>
      <c r="J98" s="1320"/>
      <c r="K98" s="1320"/>
      <c r="L98" s="1320"/>
      <c r="M98" s="1320"/>
      <c r="N98" s="128"/>
    </row>
    <row r="99" spans="1:14" ht="12.75" customHeight="1" x14ac:dyDescent="0.25">
      <c r="A99" s="159" t="s">
        <v>1155</v>
      </c>
      <c r="B99" s="160"/>
      <c r="C99" s="94"/>
      <c r="D99" s="94"/>
      <c r="E99" s="94"/>
      <c r="F99" s="94"/>
      <c r="G99" s="94"/>
      <c r="H99" s="94"/>
      <c r="I99" s="94"/>
      <c r="J99" s="94"/>
      <c r="K99" s="94"/>
      <c r="L99" s="94"/>
      <c r="M99" s="94"/>
      <c r="N99" s="128"/>
    </row>
    <row r="100" spans="1:14" ht="12.75" customHeight="1" x14ac:dyDescent="0.25">
      <c r="A100" s="1320" t="s">
        <v>1156</v>
      </c>
      <c r="B100" s="1320"/>
      <c r="C100" s="1320"/>
      <c r="D100" s="1320"/>
      <c r="E100" s="1320"/>
      <c r="F100" s="1320"/>
      <c r="G100" s="1320"/>
      <c r="H100" s="1320"/>
      <c r="I100" s="1320"/>
      <c r="J100" s="1320"/>
      <c r="K100" s="1320"/>
      <c r="L100" s="1320"/>
      <c r="M100" s="1320"/>
      <c r="N100" s="128"/>
    </row>
    <row r="101" spans="1:14" ht="12.75" customHeight="1" x14ac:dyDescent="0.25">
      <c r="A101" s="846" t="s">
        <v>1444</v>
      </c>
      <c r="B101" s="800"/>
      <c r="C101" s="800"/>
      <c r="D101" s="800"/>
      <c r="E101" s="800"/>
      <c r="F101" s="800"/>
      <c r="G101" s="800"/>
      <c r="H101" s="800"/>
      <c r="I101" s="800"/>
      <c r="J101" s="800"/>
      <c r="K101" s="800"/>
      <c r="L101" s="800"/>
      <c r="M101" s="800"/>
      <c r="N101" s="128"/>
    </row>
    <row r="102" spans="1:14" ht="12.75" customHeight="1" x14ac:dyDescent="0.25">
      <c r="A102" s="846" t="s">
        <v>1441</v>
      </c>
      <c r="B102" s="800"/>
      <c r="C102" s="800"/>
      <c r="D102" s="800"/>
      <c r="E102" s="800"/>
      <c r="F102" s="800"/>
      <c r="G102" s="800"/>
      <c r="H102" s="800"/>
      <c r="I102" s="800"/>
      <c r="J102" s="800"/>
      <c r="K102" s="800"/>
      <c r="L102" s="800"/>
      <c r="M102" s="800"/>
      <c r="N102" s="128"/>
    </row>
    <row r="103" spans="1:14" ht="12.75" customHeight="1" x14ac:dyDescent="0.25">
      <c r="A103" s="846" t="s">
        <v>1442</v>
      </c>
      <c r="B103" s="800"/>
      <c r="C103" s="800"/>
      <c r="D103" s="800"/>
      <c r="E103" s="800"/>
      <c r="F103" s="800"/>
      <c r="G103" s="800"/>
      <c r="H103" s="800"/>
      <c r="I103" s="800"/>
      <c r="J103" s="800"/>
      <c r="K103" s="800"/>
      <c r="L103" s="800"/>
      <c r="M103" s="800"/>
      <c r="N103" s="128"/>
    </row>
    <row r="104" spans="1:14" ht="12.75" customHeight="1" x14ac:dyDescent="0.25">
      <c r="A104" s="846" t="s">
        <v>1446</v>
      </c>
      <c r="B104" s="800"/>
      <c r="C104" s="800"/>
      <c r="D104" s="800"/>
      <c r="E104" s="800"/>
      <c r="F104" s="800"/>
      <c r="G104" s="800"/>
      <c r="H104" s="800"/>
      <c r="I104" s="800"/>
      <c r="J104" s="800"/>
      <c r="K104" s="800"/>
      <c r="L104" s="800"/>
      <c r="M104" s="800"/>
      <c r="N104" s="128"/>
    </row>
    <row r="105" spans="1:14" ht="11.25" customHeight="1" x14ac:dyDescent="0.25">
      <c r="A105" s="347"/>
      <c r="B105" s="799"/>
      <c r="C105" s="554"/>
      <c r="D105" s="554"/>
      <c r="E105" s="554"/>
      <c r="F105" s="554"/>
      <c r="G105" s="554"/>
      <c r="H105" s="554"/>
      <c r="I105" s="554"/>
      <c r="J105" s="554"/>
      <c r="K105" s="554"/>
      <c r="L105" s="554"/>
      <c r="M105" s="554"/>
      <c r="N105" s="128"/>
    </row>
    <row r="106" spans="1:14" ht="11.25" customHeight="1" x14ac:dyDescent="0.25">
      <c r="A106" s="48"/>
      <c r="B106" s="121"/>
      <c r="C106" s="53"/>
      <c r="D106" s="53"/>
      <c r="E106" s="53"/>
      <c r="F106" s="53"/>
      <c r="G106" s="53"/>
      <c r="H106" s="53"/>
      <c r="I106" s="53"/>
      <c r="J106" s="53"/>
      <c r="K106" s="53"/>
      <c r="L106" s="53"/>
      <c r="M106" s="53"/>
      <c r="N106" s="128"/>
    </row>
    <row r="107" spans="1:14" ht="11.25" customHeight="1" x14ac:dyDescent="0.25">
      <c r="A107" s="801" t="s">
        <v>724</v>
      </c>
      <c r="B107" s="160"/>
      <c r="C107" s="802"/>
      <c r="D107" s="802"/>
      <c r="E107" s="802"/>
      <c r="F107" s="802"/>
      <c r="G107" s="802"/>
      <c r="H107" s="802"/>
      <c r="I107" s="802"/>
      <c r="J107" s="802"/>
      <c r="K107" s="802"/>
      <c r="L107" s="802"/>
      <c r="M107" s="802"/>
      <c r="N107" s="128"/>
    </row>
    <row r="108" spans="1:14" ht="11.25" customHeight="1" x14ac:dyDescent="0.25">
      <c r="N108" s="128"/>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workbookViewId="0">
      <selection activeCell="C6" sqref="C6"/>
    </sheetView>
  </sheetViews>
  <sheetFormatPr defaultRowHeight="11.25" x14ac:dyDescent="0.2"/>
  <cols>
    <col min="1" max="1" width="28.85546875" style="663" bestFit="1" customWidth="1"/>
    <col min="2" max="2" width="25.85546875" style="663" customWidth="1"/>
    <col min="3" max="4" width="41.85546875" style="663" bestFit="1" customWidth="1"/>
    <col min="5" max="14" width="41.85546875" style="663" customWidth="1"/>
    <col min="15" max="15" width="43.5703125" style="663" bestFit="1" customWidth="1"/>
    <col min="16" max="16" width="1.28515625" style="663" customWidth="1"/>
    <col min="17" max="17" width="9.140625" style="663"/>
    <col min="18" max="19" width="33.42578125" style="663" bestFit="1" customWidth="1"/>
    <col min="20" max="20" width="30.42578125" style="663" bestFit="1" customWidth="1"/>
    <col min="21" max="21" width="27.7109375" style="663" customWidth="1"/>
    <col min="22" max="16384" width="9.140625" style="663"/>
  </cols>
  <sheetData>
    <row r="1" spans="1:22" s="1" customFormat="1" x14ac:dyDescent="0.2">
      <c r="A1" s="656" t="s">
        <v>249</v>
      </c>
      <c r="B1" s="657">
        <v>2007</v>
      </c>
      <c r="C1" s="657">
        <v>2008</v>
      </c>
      <c r="D1" s="657">
        <v>2009</v>
      </c>
      <c r="E1" s="658">
        <v>2010</v>
      </c>
      <c r="F1" s="658">
        <v>2011</v>
      </c>
      <c r="G1" s="658">
        <v>2012</v>
      </c>
      <c r="H1" s="658">
        <v>2013</v>
      </c>
      <c r="I1" s="658">
        <v>2014</v>
      </c>
      <c r="J1" s="658">
        <v>2015</v>
      </c>
      <c r="K1" s="658">
        <v>2016</v>
      </c>
      <c r="L1" s="658">
        <v>2017</v>
      </c>
      <c r="M1" s="658">
        <v>2018</v>
      </c>
      <c r="N1" s="658">
        <v>2019</v>
      </c>
      <c r="O1" s="658">
        <v>2020</v>
      </c>
      <c r="P1" s="659"/>
      <c r="Q1" s="660" t="s">
        <v>250</v>
      </c>
      <c r="R1" s="660" t="s">
        <v>251</v>
      </c>
      <c r="S1" s="660" t="s">
        <v>252</v>
      </c>
      <c r="T1" s="660" t="s">
        <v>253</v>
      </c>
      <c r="U1" s="660" t="s">
        <v>254</v>
      </c>
      <c r="V1" s="1" t="s">
        <v>255</v>
      </c>
    </row>
    <row r="2" spans="1:22" x14ac:dyDescent="0.2">
      <c r="A2" s="661" t="str">
        <f>'Template names'!C2</f>
        <v>Prior year -1</v>
      </c>
      <c r="B2" s="662" t="s">
        <v>256</v>
      </c>
      <c r="C2" s="662" t="s">
        <v>257</v>
      </c>
      <c r="D2" s="662" t="s">
        <v>258</v>
      </c>
      <c r="E2" s="665" t="str">
        <f t="shared" ref="E2:O2" si="0">E1-1&amp;"/"&amp;RIGHT(E1,2)-0</f>
        <v>2009/10</v>
      </c>
      <c r="F2" s="665" t="str">
        <f t="shared" si="0"/>
        <v>2010/11</v>
      </c>
      <c r="G2" s="665" t="str">
        <f t="shared" si="0"/>
        <v>2011/12</v>
      </c>
      <c r="H2" s="665" t="str">
        <f t="shared" si="0"/>
        <v>2012/13</v>
      </c>
      <c r="I2" s="665" t="str">
        <f t="shared" si="0"/>
        <v>2013/14</v>
      </c>
      <c r="J2" s="665" t="str">
        <f t="shared" si="0"/>
        <v>2014/15</v>
      </c>
      <c r="K2" s="665" t="str">
        <f t="shared" si="0"/>
        <v>2015/16</v>
      </c>
      <c r="L2" s="665" t="str">
        <f t="shared" si="0"/>
        <v>2016/17</v>
      </c>
      <c r="M2" s="665" t="str">
        <f t="shared" si="0"/>
        <v>2017/18</v>
      </c>
      <c r="N2" s="665" t="str">
        <f t="shared" si="0"/>
        <v>2018/19</v>
      </c>
      <c r="O2" s="665" t="str">
        <f t="shared" si="0"/>
        <v>2019/20</v>
      </c>
      <c r="P2" s="662"/>
      <c r="R2" s="663" t="s">
        <v>1448</v>
      </c>
      <c r="S2" s="663" t="s">
        <v>1458</v>
      </c>
      <c r="T2" s="663" t="s">
        <v>1460</v>
      </c>
      <c r="U2" s="663" t="s">
        <v>1467</v>
      </c>
      <c r="V2" s="663" t="s">
        <v>260</v>
      </c>
    </row>
    <row r="3" spans="1:22" x14ac:dyDescent="0.2">
      <c r="A3" s="661" t="str">
        <f>'Template names'!C3</f>
        <v>Prior year -2</v>
      </c>
      <c r="B3" s="664" t="s">
        <v>261</v>
      </c>
      <c r="C3" s="662" t="s">
        <v>256</v>
      </c>
      <c r="D3" s="662" t="s">
        <v>257</v>
      </c>
      <c r="E3" s="665" t="str">
        <f t="shared" ref="E3:O3" si="1">E1-2&amp;"/"&amp;RIGHT(E1,2)-1</f>
        <v>2008/9</v>
      </c>
      <c r="F3" s="665" t="str">
        <f t="shared" si="1"/>
        <v>2009/10</v>
      </c>
      <c r="G3" s="665" t="str">
        <f t="shared" si="1"/>
        <v>2010/11</v>
      </c>
      <c r="H3" s="665" t="str">
        <f t="shared" si="1"/>
        <v>2011/12</v>
      </c>
      <c r="I3" s="665" t="str">
        <f t="shared" si="1"/>
        <v>2012/13</v>
      </c>
      <c r="J3" s="665" t="str">
        <f t="shared" si="1"/>
        <v>2013/14</v>
      </c>
      <c r="K3" s="665" t="str">
        <f t="shared" si="1"/>
        <v>2014/15</v>
      </c>
      <c r="L3" s="665" t="str">
        <f t="shared" si="1"/>
        <v>2015/16</v>
      </c>
      <c r="M3" s="665" t="str">
        <f t="shared" si="1"/>
        <v>2016/17</v>
      </c>
      <c r="N3" s="665" t="str">
        <f t="shared" si="1"/>
        <v>2017/18</v>
      </c>
      <c r="O3" s="665" t="str">
        <f t="shared" si="1"/>
        <v>2018/19</v>
      </c>
      <c r="P3" s="662"/>
      <c r="R3" s="663" t="s">
        <v>1449</v>
      </c>
      <c r="S3" s="663" t="s">
        <v>1459</v>
      </c>
      <c r="T3" s="663" t="s">
        <v>1461</v>
      </c>
      <c r="U3" s="663" t="s">
        <v>1468</v>
      </c>
      <c r="V3" s="663" t="s">
        <v>580</v>
      </c>
    </row>
    <row r="4" spans="1:22" x14ac:dyDescent="0.2">
      <c r="A4" s="661" t="str">
        <f>'Template names'!C4</f>
        <v>Prior year -3</v>
      </c>
      <c r="B4" s="664" t="s">
        <v>263</v>
      </c>
      <c r="C4" s="662" t="s">
        <v>261</v>
      </c>
      <c r="D4" s="662" t="s">
        <v>256</v>
      </c>
      <c r="E4" s="665" t="str">
        <f t="shared" ref="E4:O4" si="2">E1-3&amp;"/"&amp;RIGHT(E1,2)-2</f>
        <v>2007/8</v>
      </c>
      <c r="F4" s="665" t="str">
        <f t="shared" si="2"/>
        <v>2008/9</v>
      </c>
      <c r="G4" s="665" t="str">
        <f t="shared" si="2"/>
        <v>2009/10</v>
      </c>
      <c r="H4" s="665" t="str">
        <f t="shared" si="2"/>
        <v>2010/11</v>
      </c>
      <c r="I4" s="665" t="str">
        <f t="shared" si="2"/>
        <v>2011/12</v>
      </c>
      <c r="J4" s="665" t="str">
        <f t="shared" si="2"/>
        <v>2012/13</v>
      </c>
      <c r="K4" s="665" t="str">
        <f t="shared" si="2"/>
        <v>2013/14</v>
      </c>
      <c r="L4" s="665" t="str">
        <f t="shared" si="2"/>
        <v>2014/15</v>
      </c>
      <c r="M4" s="665" t="str">
        <f t="shared" si="2"/>
        <v>2015/16</v>
      </c>
      <c r="N4" s="665" t="str">
        <f t="shared" si="2"/>
        <v>2016/17</v>
      </c>
      <c r="O4" s="665" t="str">
        <f t="shared" si="2"/>
        <v>2017/18</v>
      </c>
      <c r="P4" s="662"/>
      <c r="R4" s="663" t="s">
        <v>1450</v>
      </c>
      <c r="S4" s="663" t="s">
        <v>660</v>
      </c>
      <c r="T4" s="663" t="s">
        <v>1462</v>
      </c>
      <c r="U4" s="663" t="s">
        <v>661</v>
      </c>
    </row>
    <row r="5" spans="1:22" x14ac:dyDescent="0.2">
      <c r="A5" s="661" t="str">
        <f>'Template names'!C7</f>
        <v>MTREF header name</v>
      </c>
      <c r="B5" s="662" t="s">
        <v>264</v>
      </c>
      <c r="C5" s="662" t="s">
        <v>265</v>
      </c>
      <c r="D5" s="662" t="s">
        <v>266</v>
      </c>
      <c r="E5" s="665" t="str">
        <f t="shared" ref="E5:O5" si="3">E1&amp;"/"&amp;RIGHT(E1,2)+1&amp;" Medium Term Revenue &amp; Expenditure Framework"</f>
        <v>2010/11 Medium Term Revenue &amp; Expenditure Framework</v>
      </c>
      <c r="F5" s="665" t="str">
        <f t="shared" si="3"/>
        <v>2011/12 Medium Term Revenue &amp; Expenditure Framework</v>
      </c>
      <c r="G5" s="665" t="str">
        <f t="shared" si="3"/>
        <v>2012/13 Medium Term Revenue &amp; Expenditure Framework</v>
      </c>
      <c r="H5" s="665" t="str">
        <f t="shared" si="3"/>
        <v>2013/14 Medium Term Revenue &amp; Expenditure Framework</v>
      </c>
      <c r="I5" s="665" t="str">
        <f t="shared" si="3"/>
        <v>2014/15 Medium Term Revenue &amp; Expenditure Framework</v>
      </c>
      <c r="J5" s="665" t="str">
        <f t="shared" si="3"/>
        <v>2015/16 Medium Term Revenue &amp; Expenditure Framework</v>
      </c>
      <c r="K5" s="665" t="str">
        <f t="shared" si="3"/>
        <v>2016/17 Medium Term Revenue &amp; Expenditure Framework</v>
      </c>
      <c r="L5" s="665" t="str">
        <f t="shared" si="3"/>
        <v>2017/18 Medium Term Revenue &amp; Expenditure Framework</v>
      </c>
      <c r="M5" s="665" t="str">
        <f t="shared" si="3"/>
        <v>2018/19 Medium Term Revenue &amp; Expenditure Framework</v>
      </c>
      <c r="N5" s="665" t="str">
        <f t="shared" si="3"/>
        <v>2019/20 Medium Term Revenue &amp; Expenditure Framework</v>
      </c>
      <c r="O5" s="665" t="str">
        <f t="shared" si="3"/>
        <v>2020/21 Medium Term Revenue &amp; Expenditure Framework</v>
      </c>
      <c r="P5" s="662"/>
      <c r="R5" s="663" t="s">
        <v>267</v>
      </c>
      <c r="S5" s="663" t="s">
        <v>268</v>
      </c>
      <c r="T5" s="663" t="s">
        <v>1463</v>
      </c>
      <c r="U5" s="663" t="s">
        <v>1469</v>
      </c>
    </row>
    <row r="6" spans="1:22" x14ac:dyDescent="0.2">
      <c r="A6" s="661" t="str">
        <f>'Template names'!C6</f>
        <v>Approved budget year</v>
      </c>
      <c r="B6" s="662" t="s">
        <v>257</v>
      </c>
      <c r="C6" s="662" t="s">
        <v>258</v>
      </c>
      <c r="D6" s="662" t="s">
        <v>259</v>
      </c>
      <c r="E6" s="666" t="str">
        <f t="shared" ref="E6:O6" si="4">E1&amp;"/"&amp;RIGHT(E1,2)+1</f>
        <v>2010/11</v>
      </c>
      <c r="F6" s="666" t="str">
        <f t="shared" si="4"/>
        <v>2011/12</v>
      </c>
      <c r="G6" s="666" t="str">
        <f t="shared" si="4"/>
        <v>2012/13</v>
      </c>
      <c r="H6" s="666" t="str">
        <f t="shared" si="4"/>
        <v>2013/14</v>
      </c>
      <c r="I6" s="666" t="str">
        <f t="shared" si="4"/>
        <v>2014/15</v>
      </c>
      <c r="J6" s="666" t="str">
        <f t="shared" si="4"/>
        <v>2015/16</v>
      </c>
      <c r="K6" s="666" t="str">
        <f t="shared" si="4"/>
        <v>2016/17</v>
      </c>
      <c r="L6" s="666" t="str">
        <f t="shared" si="4"/>
        <v>2017/18</v>
      </c>
      <c r="M6" s="666" t="str">
        <f t="shared" si="4"/>
        <v>2018/19</v>
      </c>
      <c r="N6" s="666" t="str">
        <f t="shared" si="4"/>
        <v>2019/20</v>
      </c>
      <c r="O6" s="666" t="str">
        <f t="shared" si="4"/>
        <v>2020/21</v>
      </c>
      <c r="P6" s="662"/>
      <c r="R6" s="663" t="s">
        <v>1451</v>
      </c>
      <c r="T6" s="663" t="s">
        <v>1464</v>
      </c>
      <c r="U6" s="663" t="s">
        <v>1470</v>
      </c>
    </row>
    <row r="7" spans="1:22" x14ac:dyDescent="0.2">
      <c r="A7" s="661" t="str">
        <f>'Template names'!C16</f>
        <v>1st year of MTREF</v>
      </c>
      <c r="B7" s="662" t="s">
        <v>269</v>
      </c>
      <c r="C7" s="662" t="s">
        <v>270</v>
      </c>
      <c r="D7" s="662" t="s">
        <v>271</v>
      </c>
      <c r="E7" s="665" t="str">
        <f t="shared" ref="E7:O7" si="5">"Budget Year "&amp;E1&amp;"/"&amp;RIGHT(E1,2)+1</f>
        <v>Budget Year 2010/11</v>
      </c>
      <c r="F7" s="665" t="str">
        <f t="shared" si="5"/>
        <v>Budget Year 2011/12</v>
      </c>
      <c r="G7" s="665" t="str">
        <f t="shared" si="5"/>
        <v>Budget Year 2012/13</v>
      </c>
      <c r="H7" s="665" t="str">
        <f t="shared" si="5"/>
        <v>Budget Year 2013/14</v>
      </c>
      <c r="I7" s="665" t="str">
        <f t="shared" si="5"/>
        <v>Budget Year 2014/15</v>
      </c>
      <c r="J7" s="665" t="str">
        <f t="shared" si="5"/>
        <v>Budget Year 2015/16</v>
      </c>
      <c r="K7" s="665" t="str">
        <f t="shared" si="5"/>
        <v>Budget Year 2016/17</v>
      </c>
      <c r="L7" s="665" t="str">
        <f t="shared" si="5"/>
        <v>Budget Year 2017/18</v>
      </c>
      <c r="M7" s="665" t="str">
        <f t="shared" si="5"/>
        <v>Budget Year 2018/19</v>
      </c>
      <c r="N7" s="665" t="str">
        <f t="shared" si="5"/>
        <v>Budget Year 2019/20</v>
      </c>
      <c r="O7" s="665" t="str">
        <f t="shared" si="5"/>
        <v>Budget Year 2020/21</v>
      </c>
      <c r="P7" s="662"/>
      <c r="R7" s="663" t="s">
        <v>1452</v>
      </c>
      <c r="T7" s="663" t="s">
        <v>1465</v>
      </c>
      <c r="U7" s="663" t="s">
        <v>1471</v>
      </c>
    </row>
    <row r="8" spans="1:22" x14ac:dyDescent="0.2">
      <c r="A8" s="661" t="str">
        <f>'Template names'!C17</f>
        <v>2nd year of MTREF</v>
      </c>
      <c r="B8" s="662" t="s">
        <v>272</v>
      </c>
      <c r="C8" s="662" t="s">
        <v>273</v>
      </c>
      <c r="D8" s="662" t="s">
        <v>274</v>
      </c>
      <c r="E8" s="665" t="str">
        <f t="shared" ref="E8:O8" si="6">"Budget Year +1 "&amp;E1+1&amp;"/"&amp;RIGHT(E1,2)+2</f>
        <v>Budget Year +1 2011/12</v>
      </c>
      <c r="F8" s="665" t="str">
        <f t="shared" si="6"/>
        <v>Budget Year +1 2012/13</v>
      </c>
      <c r="G8" s="665" t="str">
        <f t="shared" si="6"/>
        <v>Budget Year +1 2013/14</v>
      </c>
      <c r="H8" s="665" t="str">
        <f t="shared" si="6"/>
        <v>Budget Year +1 2014/15</v>
      </c>
      <c r="I8" s="665" t="str">
        <f t="shared" si="6"/>
        <v>Budget Year +1 2015/16</v>
      </c>
      <c r="J8" s="665" t="str">
        <f t="shared" si="6"/>
        <v>Budget Year +1 2016/17</v>
      </c>
      <c r="K8" s="665" t="str">
        <f t="shared" si="6"/>
        <v>Budget Year +1 2017/18</v>
      </c>
      <c r="L8" s="665" t="str">
        <f t="shared" si="6"/>
        <v>Budget Year +1 2018/19</v>
      </c>
      <c r="M8" s="665" t="str">
        <f t="shared" si="6"/>
        <v>Budget Year +1 2019/20</v>
      </c>
      <c r="N8" s="665" t="str">
        <f t="shared" si="6"/>
        <v>Budget Year +1 2020/21</v>
      </c>
      <c r="O8" s="665" t="str">
        <f t="shared" si="6"/>
        <v>Budget Year +1 2021/22</v>
      </c>
      <c r="P8" s="662"/>
      <c r="R8" s="663" t="s">
        <v>1453</v>
      </c>
      <c r="T8" s="663" t="s">
        <v>1466</v>
      </c>
      <c r="U8" s="663" t="s">
        <v>268</v>
      </c>
    </row>
    <row r="9" spans="1:22" x14ac:dyDescent="0.2">
      <c r="A9" s="661" t="str">
        <f>'Template names'!C18</f>
        <v>3rd year of MTREF</v>
      </c>
      <c r="B9" s="662" t="s">
        <v>275</v>
      </c>
      <c r="C9" s="662" t="s">
        <v>276</v>
      </c>
      <c r="D9" s="662" t="s">
        <v>277</v>
      </c>
      <c r="E9" s="665" t="str">
        <f t="shared" ref="E9:O9" si="7">"Budget Year +2 "&amp;E1+2&amp;"/"&amp;RIGHT(E1,2)+3</f>
        <v>Budget Year +2 2012/13</v>
      </c>
      <c r="F9" s="665" t="str">
        <f t="shared" si="7"/>
        <v>Budget Year +2 2013/14</v>
      </c>
      <c r="G9" s="665" t="str">
        <f t="shared" si="7"/>
        <v>Budget Year +2 2014/15</v>
      </c>
      <c r="H9" s="665" t="str">
        <f t="shared" si="7"/>
        <v>Budget Year +2 2015/16</v>
      </c>
      <c r="I9" s="665" t="str">
        <f t="shared" si="7"/>
        <v>Budget Year +2 2016/17</v>
      </c>
      <c r="J9" s="665" t="str">
        <f t="shared" si="7"/>
        <v>Budget Year +2 2017/18</v>
      </c>
      <c r="K9" s="665" t="str">
        <f t="shared" si="7"/>
        <v>Budget Year +2 2018/19</v>
      </c>
      <c r="L9" s="665" t="str">
        <f t="shared" si="7"/>
        <v>Budget Year +2 2019/20</v>
      </c>
      <c r="M9" s="665" t="str">
        <f t="shared" si="7"/>
        <v>Budget Year +2 2020/21</v>
      </c>
      <c r="N9" s="665" t="str">
        <f t="shared" si="7"/>
        <v>Budget Year +2 2021/22</v>
      </c>
      <c r="O9" s="665" t="str">
        <f t="shared" si="7"/>
        <v>Budget Year +2 2022/23</v>
      </c>
      <c r="P9" s="662"/>
      <c r="R9" s="663" t="s">
        <v>1454</v>
      </c>
    </row>
    <row r="10" spans="1:22" x14ac:dyDescent="0.2">
      <c r="A10" s="667" t="s">
        <v>278</v>
      </c>
      <c r="B10" s="668" t="s">
        <v>279</v>
      </c>
      <c r="C10" s="668" t="s">
        <v>280</v>
      </c>
      <c r="D10" s="668" t="s">
        <v>281</v>
      </c>
      <c r="E10" s="669" t="str">
        <f t="shared" ref="E10:O10" si="8">"Annual target " &amp; E1&amp;"/"&amp;RIGHT(E1,2)+1</f>
        <v>Annual target 2010/11</v>
      </c>
      <c r="F10" s="669" t="str">
        <f t="shared" si="8"/>
        <v>Annual target 2011/12</v>
      </c>
      <c r="G10" s="669" t="str">
        <f t="shared" si="8"/>
        <v>Annual target 2012/13</v>
      </c>
      <c r="H10" s="669" t="str">
        <f t="shared" si="8"/>
        <v>Annual target 2013/14</v>
      </c>
      <c r="I10" s="669" t="str">
        <f t="shared" si="8"/>
        <v>Annual target 2014/15</v>
      </c>
      <c r="J10" s="669" t="str">
        <f t="shared" si="8"/>
        <v>Annual target 2015/16</v>
      </c>
      <c r="K10" s="669" t="str">
        <f t="shared" si="8"/>
        <v>Annual target 2016/17</v>
      </c>
      <c r="L10" s="669" t="str">
        <f t="shared" si="8"/>
        <v>Annual target 2017/18</v>
      </c>
      <c r="M10" s="669" t="str">
        <f t="shared" si="8"/>
        <v>Annual target 2018/19</v>
      </c>
      <c r="N10" s="669" t="str">
        <f t="shared" si="8"/>
        <v>Annual target 2019/20</v>
      </c>
      <c r="O10" s="669" t="str">
        <f t="shared" si="8"/>
        <v>Annual target 2020/21</v>
      </c>
      <c r="P10" s="662"/>
      <c r="R10" s="663" t="s">
        <v>1455</v>
      </c>
    </row>
    <row r="11" spans="1:22" ht="18" x14ac:dyDescent="0.25">
      <c r="A11" s="670" t="s">
        <v>282</v>
      </c>
      <c r="R11" s="663" t="s">
        <v>1456</v>
      </c>
    </row>
    <row r="12" spans="1:22" x14ac:dyDescent="0.2">
      <c r="R12" s="663" t="s">
        <v>1457</v>
      </c>
    </row>
    <row r="15" spans="1:22" x14ac:dyDescent="0.2">
      <c r="R15" s="660" t="s">
        <v>1537</v>
      </c>
      <c r="S15" s="660" t="s">
        <v>1538</v>
      </c>
    </row>
    <row r="17" spans="1:19" x14ac:dyDescent="0.2">
      <c r="R17" s="663" t="s">
        <v>484</v>
      </c>
      <c r="S17" s="663" t="s">
        <v>485</v>
      </c>
    </row>
    <row r="18" spans="1:19" x14ac:dyDescent="0.2">
      <c r="R18" s="663" t="s">
        <v>487</v>
      </c>
      <c r="S18" s="663" t="s">
        <v>486</v>
      </c>
    </row>
    <row r="19" spans="1:19" x14ac:dyDescent="0.2">
      <c r="R19" s="663" t="s">
        <v>491</v>
      </c>
      <c r="S19" s="663" t="s">
        <v>488</v>
      </c>
    </row>
    <row r="20" spans="1:19" x14ac:dyDescent="0.2">
      <c r="R20" s="663" t="s">
        <v>495</v>
      </c>
      <c r="S20" s="663" t="s">
        <v>489</v>
      </c>
    </row>
    <row r="21" spans="1:19" x14ac:dyDescent="0.2">
      <c r="R21" s="663" t="s">
        <v>497</v>
      </c>
      <c r="S21" s="663" t="s">
        <v>490</v>
      </c>
    </row>
    <row r="22" spans="1:19" x14ac:dyDescent="0.2">
      <c r="R22" s="663" t="s">
        <v>829</v>
      </c>
      <c r="S22" s="663" t="s">
        <v>492</v>
      </c>
    </row>
    <row r="23" spans="1:19" x14ac:dyDescent="0.2">
      <c r="R23" s="663" t="s">
        <v>1539</v>
      </c>
      <c r="S23" s="663" t="s">
        <v>493</v>
      </c>
    </row>
    <row r="24" spans="1:19" x14ac:dyDescent="0.2">
      <c r="R24" s="663" t="s">
        <v>1540</v>
      </c>
      <c r="S24" s="663" t="s">
        <v>494</v>
      </c>
    </row>
    <row r="25" spans="1:19" x14ac:dyDescent="0.2">
      <c r="R25" s="663" t="s">
        <v>1541</v>
      </c>
      <c r="S25" s="663" t="s">
        <v>496</v>
      </c>
    </row>
    <row r="26" spans="1:19" x14ac:dyDescent="0.2">
      <c r="R26" s="663" t="s">
        <v>1342</v>
      </c>
      <c r="S26" s="663" t="s">
        <v>1542</v>
      </c>
    </row>
    <row r="27" spans="1:19" ht="12.75" x14ac:dyDescent="0.2">
      <c r="A27" s="836" t="s">
        <v>838</v>
      </c>
      <c r="B27" s="663">
        <v>158</v>
      </c>
      <c r="R27" s="663" t="s">
        <v>834</v>
      </c>
      <c r="S27" s="663" t="s">
        <v>498</v>
      </c>
    </row>
    <row r="28" spans="1:19" x14ac:dyDescent="0.2">
      <c r="A28" s="663" t="s">
        <v>839</v>
      </c>
      <c r="B28" s="663" t="str">
        <f>INDEX(B29:B312,B27,1)</f>
        <v>LIM354 Polokwane</v>
      </c>
      <c r="R28" s="663" t="s">
        <v>833</v>
      </c>
      <c r="S28" s="663" t="s">
        <v>499</v>
      </c>
    </row>
    <row r="29" spans="1:19" x14ac:dyDescent="0.2">
      <c r="B29" s="663" t="s">
        <v>840</v>
      </c>
      <c r="C29" s="663" t="s">
        <v>841</v>
      </c>
      <c r="R29" s="663" t="s">
        <v>671</v>
      </c>
      <c r="S29" s="663" t="s">
        <v>500</v>
      </c>
    </row>
    <row r="30" spans="1:19" ht="12.75" x14ac:dyDescent="0.2">
      <c r="B30" s="854" t="s">
        <v>1571</v>
      </c>
      <c r="C30" s="1078" t="s">
        <v>844</v>
      </c>
      <c r="S30" s="663" t="s">
        <v>1543</v>
      </c>
    </row>
    <row r="31" spans="1:19" ht="12.75" x14ac:dyDescent="0.2">
      <c r="B31" s="854" t="s">
        <v>1572</v>
      </c>
      <c r="C31" s="1079" t="s">
        <v>844</v>
      </c>
      <c r="S31" s="663" t="s">
        <v>502</v>
      </c>
    </row>
    <row r="32" spans="1:19" ht="12.75" x14ac:dyDescent="0.2">
      <c r="B32" s="854" t="s">
        <v>886</v>
      </c>
      <c r="C32" s="1078" t="s">
        <v>844</v>
      </c>
      <c r="S32" s="663" t="s">
        <v>503</v>
      </c>
    </row>
    <row r="33" spans="2:19" ht="12.75" x14ac:dyDescent="0.2">
      <c r="B33" s="854" t="s">
        <v>887</v>
      </c>
      <c r="C33" s="1078" t="s">
        <v>844</v>
      </c>
      <c r="S33" s="663" t="s">
        <v>504</v>
      </c>
    </row>
    <row r="34" spans="2:19" ht="12.75" x14ac:dyDescent="0.2">
      <c r="B34" s="854" t="s">
        <v>888</v>
      </c>
      <c r="C34" s="1078" t="s">
        <v>844</v>
      </c>
      <c r="S34" s="663" t="s">
        <v>505</v>
      </c>
    </row>
    <row r="35" spans="2:19" ht="12.75" x14ac:dyDescent="0.2">
      <c r="B35" s="854" t="s">
        <v>889</v>
      </c>
      <c r="C35" s="1078" t="s">
        <v>844</v>
      </c>
      <c r="S35" s="663" t="s">
        <v>506</v>
      </c>
    </row>
    <row r="36" spans="2:19" ht="12.75" x14ac:dyDescent="0.2">
      <c r="B36" s="854" t="s">
        <v>890</v>
      </c>
      <c r="C36" s="1078" t="s">
        <v>844</v>
      </c>
      <c r="S36" s="663" t="s">
        <v>507</v>
      </c>
    </row>
    <row r="37" spans="2:19" ht="12.75" x14ac:dyDescent="0.2">
      <c r="B37" s="854" t="s">
        <v>891</v>
      </c>
      <c r="C37" s="1079" t="s">
        <v>844</v>
      </c>
      <c r="S37" s="663" t="s">
        <v>508</v>
      </c>
    </row>
    <row r="38" spans="2:19" ht="12.75" x14ac:dyDescent="0.2">
      <c r="B38" s="854" t="s">
        <v>892</v>
      </c>
      <c r="C38" s="1078" t="s">
        <v>844</v>
      </c>
      <c r="S38" s="663" t="s">
        <v>509</v>
      </c>
    </row>
    <row r="39" spans="2:19" ht="12.75" x14ac:dyDescent="0.2">
      <c r="B39" s="854" t="s">
        <v>893</v>
      </c>
      <c r="C39" s="1080" t="s">
        <v>844</v>
      </c>
      <c r="S39" s="663" t="s">
        <v>510</v>
      </c>
    </row>
    <row r="40" spans="2:19" ht="12.75" x14ac:dyDescent="0.2">
      <c r="B40" s="854" t="s">
        <v>1428</v>
      </c>
      <c r="C40" s="1080" t="s">
        <v>844</v>
      </c>
      <c r="S40" s="663" t="s">
        <v>511</v>
      </c>
    </row>
    <row r="41" spans="2:19" ht="12.75" x14ac:dyDescent="0.2">
      <c r="B41" s="854" t="s">
        <v>1605</v>
      </c>
      <c r="C41" s="1081" t="s">
        <v>844</v>
      </c>
      <c r="S41" s="663" t="s">
        <v>512</v>
      </c>
    </row>
    <row r="42" spans="2:19" ht="12.75" x14ac:dyDescent="0.2">
      <c r="B42" s="854" t="s">
        <v>894</v>
      </c>
      <c r="C42" s="1081" t="s">
        <v>844</v>
      </c>
      <c r="S42" s="663" t="s">
        <v>513</v>
      </c>
    </row>
    <row r="43" spans="2:19" ht="12.75" x14ac:dyDescent="0.2">
      <c r="B43" s="854" t="s">
        <v>895</v>
      </c>
      <c r="C43" s="1081" t="s">
        <v>844</v>
      </c>
      <c r="S43" s="663" t="s">
        <v>514</v>
      </c>
    </row>
    <row r="44" spans="2:19" ht="12.75" x14ac:dyDescent="0.2">
      <c r="B44" s="854" t="s">
        <v>896</v>
      </c>
      <c r="C44" s="1081" t="s">
        <v>844</v>
      </c>
      <c r="S44" s="663" t="s">
        <v>516</v>
      </c>
    </row>
    <row r="45" spans="2:19" ht="12.75" x14ac:dyDescent="0.2">
      <c r="B45" s="854" t="s">
        <v>897</v>
      </c>
      <c r="C45" s="1081" t="s">
        <v>844</v>
      </c>
      <c r="S45" s="663" t="s">
        <v>1544</v>
      </c>
    </row>
    <row r="46" spans="2:19" ht="12.75" x14ac:dyDescent="0.2">
      <c r="B46" s="854" t="s">
        <v>898</v>
      </c>
      <c r="C46" s="1081" t="s">
        <v>844</v>
      </c>
      <c r="S46" s="663" t="s">
        <v>1545</v>
      </c>
    </row>
    <row r="47" spans="2:19" ht="12.75" x14ac:dyDescent="0.2">
      <c r="B47" s="854" t="s">
        <v>899</v>
      </c>
      <c r="C47" s="1081" t="s">
        <v>844</v>
      </c>
      <c r="S47" s="663" t="s">
        <v>1546</v>
      </c>
    </row>
    <row r="48" spans="2:19" ht="12.75" x14ac:dyDescent="0.2">
      <c r="B48" s="854" t="s">
        <v>900</v>
      </c>
      <c r="C48" s="1081" t="s">
        <v>844</v>
      </c>
      <c r="S48" s="663" t="s">
        <v>1547</v>
      </c>
    </row>
    <row r="49" spans="2:19" ht="12.75" x14ac:dyDescent="0.2">
      <c r="B49" s="854" t="s">
        <v>845</v>
      </c>
      <c r="C49" s="1081" t="s">
        <v>844</v>
      </c>
      <c r="S49" s="663" t="s">
        <v>518</v>
      </c>
    </row>
    <row r="50" spans="2:19" ht="12.75" x14ac:dyDescent="0.2">
      <c r="B50" s="854" t="s">
        <v>901</v>
      </c>
      <c r="C50" s="1081" t="s">
        <v>844</v>
      </c>
      <c r="S50" s="663" t="s">
        <v>519</v>
      </c>
    </row>
    <row r="51" spans="2:19" ht="12.75" x14ac:dyDescent="0.2">
      <c r="B51" s="854" t="s">
        <v>902</v>
      </c>
      <c r="C51" s="1080" t="s">
        <v>844</v>
      </c>
      <c r="S51" s="663" t="s">
        <v>520</v>
      </c>
    </row>
    <row r="52" spans="2:19" ht="12.75" x14ac:dyDescent="0.2">
      <c r="B52" s="854" t="s">
        <v>903</v>
      </c>
      <c r="C52" s="1080" t="s">
        <v>844</v>
      </c>
      <c r="S52" s="663" t="s">
        <v>521</v>
      </c>
    </row>
    <row r="53" spans="2:19" ht="12.75" x14ac:dyDescent="0.2">
      <c r="B53" s="854" t="s">
        <v>904</v>
      </c>
      <c r="C53" s="1080" t="s">
        <v>844</v>
      </c>
      <c r="S53" s="663" t="s">
        <v>522</v>
      </c>
    </row>
    <row r="54" spans="2:19" ht="12.75" x14ac:dyDescent="0.2">
      <c r="B54" s="854" t="s">
        <v>905</v>
      </c>
      <c r="C54" s="1080" t="s">
        <v>844</v>
      </c>
      <c r="S54" s="663" t="s">
        <v>523</v>
      </c>
    </row>
    <row r="55" spans="2:19" ht="12.75" x14ac:dyDescent="0.2">
      <c r="B55" s="854" t="s">
        <v>906</v>
      </c>
      <c r="C55" s="1080" t="s">
        <v>844</v>
      </c>
      <c r="S55" s="663" t="s">
        <v>524</v>
      </c>
    </row>
    <row r="56" spans="2:19" ht="12.75" x14ac:dyDescent="0.2">
      <c r="B56" s="854" t="s">
        <v>907</v>
      </c>
      <c r="C56" s="1080" t="s">
        <v>844</v>
      </c>
      <c r="S56" s="663" t="s">
        <v>525</v>
      </c>
    </row>
    <row r="57" spans="2:19" ht="12.75" x14ac:dyDescent="0.2">
      <c r="B57" s="854" t="s">
        <v>908</v>
      </c>
      <c r="C57" s="1080" t="s">
        <v>844</v>
      </c>
      <c r="S57" s="663" t="s">
        <v>526</v>
      </c>
    </row>
    <row r="58" spans="2:19" ht="12.75" x14ac:dyDescent="0.2">
      <c r="B58" s="854" t="s">
        <v>846</v>
      </c>
      <c r="C58" s="710" t="s">
        <v>844</v>
      </c>
      <c r="S58" s="663" t="s">
        <v>527</v>
      </c>
    </row>
    <row r="59" spans="2:19" ht="12.75" x14ac:dyDescent="0.2">
      <c r="B59" s="854" t="s">
        <v>909</v>
      </c>
      <c r="C59" s="710" t="s">
        <v>844</v>
      </c>
      <c r="S59" s="663" t="s">
        <v>671</v>
      </c>
    </row>
    <row r="60" spans="2:19" ht="12.75" x14ac:dyDescent="0.2">
      <c r="B60" s="854" t="s">
        <v>910</v>
      </c>
      <c r="C60" s="1080" t="s">
        <v>844</v>
      </c>
    </row>
    <row r="61" spans="2:19" ht="12.75" x14ac:dyDescent="0.2">
      <c r="B61" s="854" t="s">
        <v>911</v>
      </c>
      <c r="C61" s="1080" t="s">
        <v>844</v>
      </c>
      <c r="R61" s="660" t="s">
        <v>1559</v>
      </c>
      <c r="S61" s="1075"/>
    </row>
    <row r="62" spans="2:19" ht="12.75" x14ac:dyDescent="0.2">
      <c r="B62" s="854" t="s">
        <v>912</v>
      </c>
      <c r="C62" s="1080" t="s">
        <v>844</v>
      </c>
      <c r="R62" s="663" t="s">
        <v>260</v>
      </c>
      <c r="S62" s="1076"/>
    </row>
    <row r="63" spans="2:19" ht="12.75" x14ac:dyDescent="0.2">
      <c r="B63" s="854" t="s">
        <v>1425</v>
      </c>
      <c r="C63" s="1080" t="s">
        <v>844</v>
      </c>
      <c r="R63" s="663" t="s">
        <v>580</v>
      </c>
      <c r="S63" s="1077"/>
    </row>
    <row r="64" spans="2:19" ht="12.75" x14ac:dyDescent="0.2">
      <c r="B64" s="854" t="s">
        <v>913</v>
      </c>
      <c r="C64" s="1081" t="s">
        <v>844</v>
      </c>
      <c r="R64" s="1059"/>
      <c r="S64" s="1077"/>
    </row>
    <row r="65" spans="2:3" ht="12.75" x14ac:dyDescent="0.2">
      <c r="B65" s="854" t="s">
        <v>914</v>
      </c>
      <c r="C65" s="1080" t="s">
        <v>844</v>
      </c>
    </row>
    <row r="66" spans="2:3" ht="12.75" x14ac:dyDescent="0.2">
      <c r="B66" s="854" t="s">
        <v>915</v>
      </c>
      <c r="C66" s="1080" t="s">
        <v>844</v>
      </c>
    </row>
    <row r="67" spans="2:3" ht="12.75" x14ac:dyDescent="0.2">
      <c r="B67" s="854" t="s">
        <v>916</v>
      </c>
      <c r="C67" s="1080" t="s">
        <v>844</v>
      </c>
    </row>
    <row r="68" spans="2:3" ht="12.75" x14ac:dyDescent="0.2">
      <c r="B68" s="854" t="s">
        <v>917</v>
      </c>
      <c r="C68" s="1080" t="s">
        <v>844</v>
      </c>
    </row>
    <row r="69" spans="2:3" ht="12.75" x14ac:dyDescent="0.2">
      <c r="B69" s="854" t="s">
        <v>847</v>
      </c>
      <c r="C69" s="1080" t="s">
        <v>844</v>
      </c>
    </row>
    <row r="70" spans="2:3" ht="12.75" x14ac:dyDescent="0.2">
      <c r="B70" s="854" t="s">
        <v>918</v>
      </c>
      <c r="C70" s="1080" t="s">
        <v>844</v>
      </c>
    </row>
    <row r="71" spans="2:3" ht="12.75" x14ac:dyDescent="0.2">
      <c r="B71" s="854" t="s">
        <v>919</v>
      </c>
      <c r="C71" s="1080" t="s">
        <v>844</v>
      </c>
    </row>
    <row r="72" spans="2:3" ht="12.75" x14ac:dyDescent="0.2">
      <c r="B72" s="854" t="s">
        <v>1565</v>
      </c>
      <c r="C72" s="1080" t="s">
        <v>844</v>
      </c>
    </row>
    <row r="73" spans="2:3" ht="12.75" x14ac:dyDescent="0.2">
      <c r="B73" s="854" t="s">
        <v>1566</v>
      </c>
      <c r="C73" s="1080" t="s">
        <v>844</v>
      </c>
    </row>
    <row r="74" spans="2:3" ht="12.75" x14ac:dyDescent="0.2">
      <c r="B74" s="854" t="s">
        <v>879</v>
      </c>
      <c r="C74" s="1080" t="s">
        <v>844</v>
      </c>
    </row>
    <row r="75" spans="2:3" ht="12.75" x14ac:dyDescent="0.2">
      <c r="B75" s="854" t="s">
        <v>1573</v>
      </c>
      <c r="C75" s="1080" t="s">
        <v>849</v>
      </c>
    </row>
    <row r="76" spans="2:3" ht="12.75" x14ac:dyDescent="0.2">
      <c r="B76" s="854" t="s">
        <v>920</v>
      </c>
      <c r="C76" s="1080" t="s">
        <v>849</v>
      </c>
    </row>
    <row r="77" spans="2:3" ht="12.75" x14ac:dyDescent="0.2">
      <c r="B77" s="854" t="s">
        <v>921</v>
      </c>
      <c r="C77" s="1080" t="s">
        <v>849</v>
      </c>
    </row>
    <row r="78" spans="2:3" ht="12.75" x14ac:dyDescent="0.2">
      <c r="B78" s="854" t="s">
        <v>922</v>
      </c>
      <c r="C78" s="1080" t="s">
        <v>849</v>
      </c>
    </row>
    <row r="79" spans="2:3" ht="12.75" x14ac:dyDescent="0.2">
      <c r="B79" s="854" t="s">
        <v>1567</v>
      </c>
      <c r="C79" s="1080" t="s">
        <v>849</v>
      </c>
    </row>
    <row r="80" spans="2:3" ht="12.75" x14ac:dyDescent="0.2">
      <c r="B80" s="854" t="s">
        <v>848</v>
      </c>
      <c r="C80" s="1080" t="s">
        <v>849</v>
      </c>
    </row>
    <row r="81" spans="2:3" ht="12.75" x14ac:dyDescent="0.2">
      <c r="B81" s="854" t="s">
        <v>923</v>
      </c>
      <c r="C81" s="1080" t="s">
        <v>849</v>
      </c>
    </row>
    <row r="82" spans="2:3" ht="12.75" x14ac:dyDescent="0.2">
      <c r="B82" s="854" t="s">
        <v>924</v>
      </c>
      <c r="C82" s="1080" t="s">
        <v>849</v>
      </c>
    </row>
    <row r="83" spans="2:3" ht="12.75" x14ac:dyDescent="0.2">
      <c r="B83" s="854" t="s">
        <v>925</v>
      </c>
      <c r="C83" s="1080" t="s">
        <v>849</v>
      </c>
    </row>
    <row r="84" spans="2:3" ht="12.75" x14ac:dyDescent="0.2">
      <c r="B84" s="854" t="s">
        <v>926</v>
      </c>
      <c r="C84" s="1080" t="s">
        <v>849</v>
      </c>
    </row>
    <row r="85" spans="2:3" ht="12.75" x14ac:dyDescent="0.2">
      <c r="B85" s="854" t="s">
        <v>927</v>
      </c>
      <c r="C85" s="1080" t="s">
        <v>849</v>
      </c>
    </row>
    <row r="86" spans="2:3" ht="12.75" x14ac:dyDescent="0.2">
      <c r="B86" s="854" t="s">
        <v>850</v>
      </c>
      <c r="C86" s="1080" t="s">
        <v>849</v>
      </c>
    </row>
    <row r="87" spans="2:3" ht="12.75" x14ac:dyDescent="0.2">
      <c r="B87" s="854" t="s">
        <v>928</v>
      </c>
      <c r="C87" s="1080" t="s">
        <v>849</v>
      </c>
    </row>
    <row r="88" spans="2:3" ht="12.75" x14ac:dyDescent="0.2">
      <c r="B88" s="854" t="s">
        <v>929</v>
      </c>
      <c r="C88" s="1080" t="s">
        <v>849</v>
      </c>
    </row>
    <row r="89" spans="2:3" ht="12.75" x14ac:dyDescent="0.2">
      <c r="B89" s="854" t="s">
        <v>930</v>
      </c>
      <c r="C89" s="1080" t="s">
        <v>849</v>
      </c>
    </row>
    <row r="90" spans="2:3" ht="12.75" x14ac:dyDescent="0.2">
      <c r="B90" s="854" t="s">
        <v>931</v>
      </c>
      <c r="C90" s="1080" t="s">
        <v>849</v>
      </c>
    </row>
    <row r="91" spans="2:3" ht="12.75" x14ac:dyDescent="0.2">
      <c r="B91" s="854" t="s">
        <v>932</v>
      </c>
      <c r="C91" s="1080" t="s">
        <v>849</v>
      </c>
    </row>
    <row r="92" spans="2:3" ht="12.75" x14ac:dyDescent="0.2">
      <c r="B92" s="854" t="s">
        <v>1568</v>
      </c>
      <c r="C92" s="1080" t="s">
        <v>849</v>
      </c>
    </row>
    <row r="93" spans="2:3" ht="12.75" x14ac:dyDescent="0.2">
      <c r="B93" s="854" t="s">
        <v>851</v>
      </c>
      <c r="C93" s="1080" t="s">
        <v>849</v>
      </c>
    </row>
    <row r="94" spans="2:3" ht="12.75" x14ac:dyDescent="0.2">
      <c r="B94" s="854" t="s">
        <v>933</v>
      </c>
      <c r="C94" s="1080" t="s">
        <v>849</v>
      </c>
    </row>
    <row r="95" spans="2:3" ht="12.75" x14ac:dyDescent="0.2">
      <c r="B95" s="854" t="s">
        <v>934</v>
      </c>
      <c r="C95" s="1080" t="s">
        <v>849</v>
      </c>
    </row>
    <row r="96" spans="2:3" ht="12.75" x14ac:dyDescent="0.2">
      <c r="B96" s="854" t="s">
        <v>935</v>
      </c>
      <c r="C96" s="1080" t="s">
        <v>849</v>
      </c>
    </row>
    <row r="97" spans="2:3" ht="12.75" x14ac:dyDescent="0.2">
      <c r="B97" s="854" t="s">
        <v>936</v>
      </c>
      <c r="C97" s="1080" t="s">
        <v>849</v>
      </c>
    </row>
    <row r="98" spans="2:3" ht="12.75" x14ac:dyDescent="0.2">
      <c r="B98" s="854" t="s">
        <v>852</v>
      </c>
      <c r="C98" s="1080" t="s">
        <v>849</v>
      </c>
    </row>
    <row r="99" spans="2:3" ht="12.75" x14ac:dyDescent="0.2">
      <c r="B99" s="854" t="s">
        <v>1574</v>
      </c>
      <c r="C99" s="1080" t="s">
        <v>878</v>
      </c>
    </row>
    <row r="100" spans="2:3" ht="12.75" x14ac:dyDescent="0.2">
      <c r="B100" s="854" t="s">
        <v>1575</v>
      </c>
      <c r="C100" s="1080" t="s">
        <v>878</v>
      </c>
    </row>
    <row r="101" spans="2:3" ht="12.75" x14ac:dyDescent="0.2">
      <c r="B101" s="854" t="s">
        <v>1576</v>
      </c>
      <c r="C101" s="1080" t="s">
        <v>878</v>
      </c>
    </row>
    <row r="102" spans="2:3" ht="12.75" x14ac:dyDescent="0.2">
      <c r="B102" s="854" t="s">
        <v>937</v>
      </c>
      <c r="C102" s="1080" t="s">
        <v>878</v>
      </c>
    </row>
    <row r="103" spans="2:3" ht="12.75" x14ac:dyDescent="0.2">
      <c r="B103" s="854" t="s">
        <v>938</v>
      </c>
      <c r="C103" s="1080" t="s">
        <v>878</v>
      </c>
    </row>
    <row r="104" spans="2:3" ht="12.75" x14ac:dyDescent="0.2">
      <c r="B104" s="854" t="s">
        <v>939</v>
      </c>
      <c r="C104" s="1080" t="s">
        <v>878</v>
      </c>
    </row>
    <row r="105" spans="2:3" ht="12.75" x14ac:dyDescent="0.2">
      <c r="B105" s="854" t="s">
        <v>877</v>
      </c>
      <c r="C105" s="1080" t="s">
        <v>878</v>
      </c>
    </row>
    <row r="106" spans="2:3" ht="12.75" x14ac:dyDescent="0.2">
      <c r="B106" s="854" t="s">
        <v>940</v>
      </c>
      <c r="C106" s="1080" t="s">
        <v>878</v>
      </c>
    </row>
    <row r="107" spans="2:3" ht="12.75" x14ac:dyDescent="0.2">
      <c r="B107" s="854" t="s">
        <v>941</v>
      </c>
      <c r="C107" s="1080" t="s">
        <v>878</v>
      </c>
    </row>
    <row r="108" spans="2:3" ht="12.75" x14ac:dyDescent="0.2">
      <c r="B108" s="854" t="s">
        <v>942</v>
      </c>
      <c r="C108" s="1080" t="s">
        <v>878</v>
      </c>
    </row>
    <row r="109" spans="2:3" ht="12.75" x14ac:dyDescent="0.2">
      <c r="B109" s="854" t="s">
        <v>1429</v>
      </c>
      <c r="C109" s="1080" t="s">
        <v>878</v>
      </c>
    </row>
    <row r="110" spans="2:3" ht="12.75" x14ac:dyDescent="0.2">
      <c r="B110" s="854" t="s">
        <v>881</v>
      </c>
      <c r="C110" s="1080" t="s">
        <v>878</v>
      </c>
    </row>
    <row r="111" spans="2:3" ht="12.75" x14ac:dyDescent="0.2">
      <c r="B111" s="854" t="s">
        <v>1577</v>
      </c>
      <c r="C111" s="1080" t="s">
        <v>1426</v>
      </c>
    </row>
    <row r="112" spans="2:3" ht="12.75" x14ac:dyDescent="0.2">
      <c r="B112" s="854" t="s">
        <v>943</v>
      </c>
      <c r="C112" s="1080" t="s">
        <v>1426</v>
      </c>
    </row>
    <row r="113" spans="2:3" ht="12.75" x14ac:dyDescent="0.2">
      <c r="B113" s="854" t="s">
        <v>944</v>
      </c>
      <c r="C113" s="1078" t="s">
        <v>1426</v>
      </c>
    </row>
    <row r="114" spans="2:3" ht="12.75" x14ac:dyDescent="0.2">
      <c r="B114" s="854" t="s">
        <v>945</v>
      </c>
      <c r="C114" s="1078" t="s">
        <v>1426</v>
      </c>
    </row>
    <row r="115" spans="2:3" ht="12.75" x14ac:dyDescent="0.2">
      <c r="B115" s="854" t="s">
        <v>946</v>
      </c>
      <c r="C115" s="1078" t="s">
        <v>1426</v>
      </c>
    </row>
    <row r="116" spans="2:3" ht="12.75" x14ac:dyDescent="0.2">
      <c r="B116" s="854" t="s">
        <v>1430</v>
      </c>
      <c r="C116" s="1078" t="s">
        <v>1426</v>
      </c>
    </row>
    <row r="117" spans="2:3" ht="12.75" x14ac:dyDescent="0.2">
      <c r="B117" s="854" t="s">
        <v>947</v>
      </c>
      <c r="C117" s="1078" t="s">
        <v>1426</v>
      </c>
    </row>
    <row r="118" spans="2:3" ht="12.75" x14ac:dyDescent="0.2">
      <c r="B118" s="854" t="s">
        <v>853</v>
      </c>
      <c r="C118" s="1078" t="s">
        <v>1426</v>
      </c>
    </row>
    <row r="119" spans="2:3" ht="12.75" x14ac:dyDescent="0.2">
      <c r="B119" s="854" t="s">
        <v>948</v>
      </c>
      <c r="C119" s="1078" t="s">
        <v>1426</v>
      </c>
    </row>
    <row r="120" spans="2:3" ht="12.75" x14ac:dyDescent="0.2">
      <c r="B120" s="854" t="s">
        <v>949</v>
      </c>
      <c r="C120" s="1078" t="s">
        <v>1426</v>
      </c>
    </row>
    <row r="121" spans="2:3" ht="12.75" x14ac:dyDescent="0.2">
      <c r="B121" s="854" t="s">
        <v>950</v>
      </c>
      <c r="C121" s="1078" t="s">
        <v>1426</v>
      </c>
    </row>
    <row r="122" spans="2:3" ht="12.75" x14ac:dyDescent="0.2">
      <c r="B122" s="854" t="s">
        <v>951</v>
      </c>
      <c r="C122" s="1078" t="s">
        <v>1426</v>
      </c>
    </row>
    <row r="123" spans="2:3" ht="12.75" x14ac:dyDescent="0.2">
      <c r="B123" s="854" t="s">
        <v>952</v>
      </c>
      <c r="C123" s="1078" t="s">
        <v>1426</v>
      </c>
    </row>
    <row r="124" spans="2:3" ht="12.75" x14ac:dyDescent="0.2">
      <c r="B124" s="854" t="s">
        <v>953</v>
      </c>
      <c r="C124" s="1078" t="s">
        <v>1426</v>
      </c>
    </row>
    <row r="125" spans="2:3" ht="12.75" x14ac:dyDescent="0.2">
      <c r="B125" s="854" t="s">
        <v>954</v>
      </c>
      <c r="C125" s="1078" t="s">
        <v>1426</v>
      </c>
    </row>
    <row r="126" spans="2:3" ht="12.75" x14ac:dyDescent="0.2">
      <c r="B126" s="854" t="s">
        <v>854</v>
      </c>
      <c r="C126" s="1078" t="s">
        <v>1426</v>
      </c>
    </row>
    <row r="127" spans="2:3" ht="12.75" x14ac:dyDescent="0.2">
      <c r="B127" s="854" t="s">
        <v>955</v>
      </c>
      <c r="C127" s="1078" t="s">
        <v>1426</v>
      </c>
    </row>
    <row r="128" spans="2:3" ht="12.75" x14ac:dyDescent="0.2">
      <c r="B128" s="854" t="s">
        <v>956</v>
      </c>
      <c r="C128" s="1078" t="s">
        <v>1426</v>
      </c>
    </row>
    <row r="129" spans="2:3" ht="12.75" x14ac:dyDescent="0.2">
      <c r="B129" s="854" t="s">
        <v>957</v>
      </c>
      <c r="C129" s="1078" t="s">
        <v>1426</v>
      </c>
    </row>
    <row r="130" spans="2:3" ht="12.75" x14ac:dyDescent="0.2">
      <c r="B130" s="854" t="s">
        <v>958</v>
      </c>
      <c r="C130" s="1078" t="s">
        <v>1426</v>
      </c>
    </row>
    <row r="131" spans="2:3" ht="12.75" x14ac:dyDescent="0.2">
      <c r="B131" s="854" t="s">
        <v>959</v>
      </c>
      <c r="C131" s="1078" t="s">
        <v>1426</v>
      </c>
    </row>
    <row r="132" spans="2:3" ht="12.75" x14ac:dyDescent="0.2">
      <c r="B132" s="854" t="s">
        <v>855</v>
      </c>
      <c r="C132" s="1078" t="s">
        <v>1426</v>
      </c>
    </row>
    <row r="133" spans="2:3" ht="12.75" x14ac:dyDescent="0.2">
      <c r="B133" s="854" t="s">
        <v>960</v>
      </c>
      <c r="C133" s="1080" t="s">
        <v>1426</v>
      </c>
    </row>
    <row r="134" spans="2:3" ht="12.75" x14ac:dyDescent="0.2">
      <c r="B134" s="854" t="s">
        <v>961</v>
      </c>
      <c r="C134" s="1080" t="s">
        <v>1426</v>
      </c>
    </row>
    <row r="135" spans="2:3" ht="12.75" x14ac:dyDescent="0.2">
      <c r="B135" s="854" t="s">
        <v>962</v>
      </c>
      <c r="C135" s="1080" t="s">
        <v>1426</v>
      </c>
    </row>
    <row r="136" spans="2:3" ht="12.75" x14ac:dyDescent="0.2">
      <c r="B136" s="854" t="s">
        <v>963</v>
      </c>
      <c r="C136" s="1080" t="s">
        <v>1426</v>
      </c>
    </row>
    <row r="137" spans="2:3" ht="12.75" x14ac:dyDescent="0.2">
      <c r="B137" s="854" t="s">
        <v>856</v>
      </c>
      <c r="C137" s="1080" t="s">
        <v>1426</v>
      </c>
    </row>
    <row r="138" spans="2:3" ht="12.75" x14ac:dyDescent="0.2">
      <c r="B138" s="854" t="s">
        <v>964</v>
      </c>
      <c r="C138" s="1080" t="s">
        <v>1426</v>
      </c>
    </row>
    <row r="139" spans="2:3" ht="12.75" x14ac:dyDescent="0.2">
      <c r="B139" s="854" t="s">
        <v>965</v>
      </c>
      <c r="C139" s="1080" t="s">
        <v>1426</v>
      </c>
    </row>
    <row r="140" spans="2:3" ht="12.75" x14ac:dyDescent="0.2">
      <c r="B140" s="854" t="s">
        <v>966</v>
      </c>
      <c r="C140" s="1080" t="s">
        <v>1426</v>
      </c>
    </row>
    <row r="141" spans="2:3" ht="12.75" x14ac:dyDescent="0.2">
      <c r="B141" s="854" t="s">
        <v>857</v>
      </c>
      <c r="C141" s="1080" t="s">
        <v>1426</v>
      </c>
    </row>
    <row r="142" spans="2:3" ht="12.75" x14ac:dyDescent="0.2">
      <c r="B142" s="854" t="s">
        <v>967</v>
      </c>
      <c r="C142" s="1080" t="s">
        <v>1426</v>
      </c>
    </row>
    <row r="143" spans="2:3" ht="12.75" x14ac:dyDescent="0.2">
      <c r="B143" s="854" t="s">
        <v>968</v>
      </c>
      <c r="C143" s="1081" t="s">
        <v>1426</v>
      </c>
    </row>
    <row r="144" spans="2:3" ht="12.75" x14ac:dyDescent="0.2">
      <c r="B144" s="854" t="s">
        <v>969</v>
      </c>
      <c r="C144" s="1081" t="s">
        <v>1426</v>
      </c>
    </row>
    <row r="145" spans="2:3" ht="12.75" x14ac:dyDescent="0.2">
      <c r="B145" s="854" t="s">
        <v>970</v>
      </c>
      <c r="C145" s="1081" t="s">
        <v>1426</v>
      </c>
    </row>
    <row r="146" spans="2:3" ht="12.75" x14ac:dyDescent="0.2">
      <c r="B146" s="854" t="s">
        <v>971</v>
      </c>
      <c r="C146" s="1081" t="s">
        <v>1426</v>
      </c>
    </row>
    <row r="147" spans="2:3" ht="12.75" x14ac:dyDescent="0.2">
      <c r="B147" s="854" t="s">
        <v>858</v>
      </c>
      <c r="C147" s="1081" t="s">
        <v>1426</v>
      </c>
    </row>
    <row r="148" spans="2:3" ht="12.75" x14ac:dyDescent="0.2">
      <c r="B148" s="854" t="s">
        <v>972</v>
      </c>
      <c r="C148" s="1081" t="s">
        <v>1426</v>
      </c>
    </row>
    <row r="149" spans="2:3" ht="12.75" x14ac:dyDescent="0.2">
      <c r="B149" s="854" t="s">
        <v>973</v>
      </c>
      <c r="C149" s="1081" t="s">
        <v>1426</v>
      </c>
    </row>
    <row r="150" spans="2:3" ht="12.75" x14ac:dyDescent="0.2">
      <c r="B150" s="854" t="s">
        <v>1431</v>
      </c>
      <c r="C150" s="1081" t="s">
        <v>1426</v>
      </c>
    </row>
    <row r="151" spans="2:3" ht="12.75" x14ac:dyDescent="0.2">
      <c r="B151" s="854" t="s">
        <v>974</v>
      </c>
      <c r="C151" s="1081" t="s">
        <v>1426</v>
      </c>
    </row>
    <row r="152" spans="2:3" ht="12.75" x14ac:dyDescent="0.2">
      <c r="B152" s="854" t="s">
        <v>975</v>
      </c>
      <c r="C152" s="1081" t="s">
        <v>1426</v>
      </c>
    </row>
    <row r="153" spans="2:3" ht="12.75" x14ac:dyDescent="0.2">
      <c r="B153" s="854" t="s">
        <v>859</v>
      </c>
      <c r="C153" s="1081" t="s">
        <v>1426</v>
      </c>
    </row>
    <row r="154" spans="2:3" ht="12.75" x14ac:dyDescent="0.2">
      <c r="B154" s="854" t="s">
        <v>1432</v>
      </c>
      <c r="C154" s="1081" t="s">
        <v>1426</v>
      </c>
    </row>
    <row r="155" spans="2:3" ht="12.75" x14ac:dyDescent="0.2">
      <c r="B155" s="854" t="s">
        <v>976</v>
      </c>
      <c r="C155" s="1081" t="s">
        <v>1426</v>
      </c>
    </row>
    <row r="156" spans="2:3" ht="12.75" x14ac:dyDescent="0.2">
      <c r="B156" s="854" t="s">
        <v>977</v>
      </c>
      <c r="C156" s="1081" t="s">
        <v>1426</v>
      </c>
    </row>
    <row r="157" spans="2:3" ht="12.75" x14ac:dyDescent="0.2">
      <c r="B157" s="854" t="s">
        <v>1433</v>
      </c>
      <c r="C157" s="1081" t="s">
        <v>1426</v>
      </c>
    </row>
    <row r="158" spans="2:3" ht="12.75" x14ac:dyDescent="0.2">
      <c r="B158" s="854" t="s">
        <v>978</v>
      </c>
      <c r="C158" s="1081" t="s">
        <v>1426</v>
      </c>
    </row>
    <row r="159" spans="2:3" ht="12.75" x14ac:dyDescent="0.2">
      <c r="B159" s="854" t="s">
        <v>979</v>
      </c>
      <c r="C159" s="1081" t="s">
        <v>1426</v>
      </c>
    </row>
    <row r="160" spans="2:3" ht="12.75" x14ac:dyDescent="0.2">
      <c r="B160" s="854" t="s">
        <v>860</v>
      </c>
      <c r="C160" s="1081" t="s">
        <v>1426</v>
      </c>
    </row>
    <row r="161" spans="2:3" ht="12.75" x14ac:dyDescent="0.2">
      <c r="B161" s="854" t="s">
        <v>980</v>
      </c>
      <c r="C161" s="1081" t="s">
        <v>1426</v>
      </c>
    </row>
    <row r="162" spans="2:3" ht="12.75" x14ac:dyDescent="0.2">
      <c r="B162" s="854" t="s">
        <v>981</v>
      </c>
      <c r="C162" s="1081" t="s">
        <v>1426</v>
      </c>
    </row>
    <row r="163" spans="2:3" ht="12.75" x14ac:dyDescent="0.2">
      <c r="B163" s="854" t="s">
        <v>982</v>
      </c>
      <c r="C163" s="1081" t="s">
        <v>1426</v>
      </c>
    </row>
    <row r="164" spans="2:3" ht="12.75" x14ac:dyDescent="0.2">
      <c r="B164" s="854" t="s">
        <v>983</v>
      </c>
      <c r="C164" s="1081" t="s">
        <v>1426</v>
      </c>
    </row>
    <row r="165" spans="2:3" ht="12.75" x14ac:dyDescent="0.2">
      <c r="B165" s="854" t="s">
        <v>861</v>
      </c>
      <c r="C165" s="1081" t="s">
        <v>1426</v>
      </c>
    </row>
    <row r="166" spans="2:3" ht="12.75" x14ac:dyDescent="0.2">
      <c r="B166" s="854" t="s">
        <v>984</v>
      </c>
      <c r="C166" s="1081" t="s">
        <v>1426</v>
      </c>
    </row>
    <row r="167" spans="2:3" ht="12.75" x14ac:dyDescent="0.2">
      <c r="B167" s="854" t="s">
        <v>985</v>
      </c>
      <c r="C167" s="1081" t="s">
        <v>1426</v>
      </c>
    </row>
    <row r="168" spans="2:3" ht="12.75" x14ac:dyDescent="0.2">
      <c r="B168" s="854" t="s">
        <v>986</v>
      </c>
      <c r="C168" s="1081" t="s">
        <v>1426</v>
      </c>
    </row>
    <row r="169" spans="2:3" ht="12.75" x14ac:dyDescent="0.2">
      <c r="B169" s="854" t="s">
        <v>987</v>
      </c>
      <c r="C169" s="1081" t="s">
        <v>1426</v>
      </c>
    </row>
    <row r="170" spans="2:3" ht="12.75" x14ac:dyDescent="0.2">
      <c r="B170" s="854" t="s">
        <v>988</v>
      </c>
      <c r="C170" s="1081" t="s">
        <v>1426</v>
      </c>
    </row>
    <row r="171" spans="2:3" ht="12.75" x14ac:dyDescent="0.2">
      <c r="B171" s="854" t="s">
        <v>1604</v>
      </c>
      <c r="C171" s="1081" t="s">
        <v>1426</v>
      </c>
    </row>
    <row r="172" spans="2:3" ht="12.75" x14ac:dyDescent="0.2">
      <c r="B172" s="854" t="s">
        <v>989</v>
      </c>
      <c r="C172" s="1081" t="s">
        <v>1578</v>
      </c>
    </row>
    <row r="173" spans="2:3" ht="12.75" x14ac:dyDescent="0.2">
      <c r="B173" s="854" t="s">
        <v>990</v>
      </c>
      <c r="C173" s="1081" t="s">
        <v>1578</v>
      </c>
    </row>
    <row r="174" spans="2:3" ht="12.75" x14ac:dyDescent="0.2">
      <c r="B174" s="854" t="s">
        <v>991</v>
      </c>
      <c r="C174" s="1081" t="s">
        <v>1578</v>
      </c>
    </row>
    <row r="175" spans="2:3" ht="12.75" x14ac:dyDescent="0.2">
      <c r="B175" s="854" t="s">
        <v>992</v>
      </c>
      <c r="C175" s="1081" t="s">
        <v>1578</v>
      </c>
    </row>
    <row r="176" spans="2:3" ht="12.75" x14ac:dyDescent="0.2">
      <c r="B176" s="854" t="s">
        <v>993</v>
      </c>
      <c r="C176" s="1081" t="s">
        <v>1578</v>
      </c>
    </row>
    <row r="177" spans="2:3" ht="12.75" x14ac:dyDescent="0.2">
      <c r="B177" s="854" t="s">
        <v>867</v>
      </c>
      <c r="C177" s="1081" t="s">
        <v>1578</v>
      </c>
    </row>
    <row r="178" spans="2:3" ht="12.75" x14ac:dyDescent="0.2">
      <c r="B178" s="854" t="s">
        <v>994</v>
      </c>
      <c r="C178" s="1081" t="s">
        <v>1578</v>
      </c>
    </row>
    <row r="179" spans="2:3" ht="12.75" x14ac:dyDescent="0.2">
      <c r="B179" s="854" t="s">
        <v>995</v>
      </c>
      <c r="C179" s="1081" t="s">
        <v>1578</v>
      </c>
    </row>
    <row r="180" spans="2:3" ht="12.75" x14ac:dyDescent="0.2">
      <c r="B180" s="854" t="s">
        <v>996</v>
      </c>
      <c r="C180" s="1081" t="s">
        <v>1578</v>
      </c>
    </row>
    <row r="181" spans="2:3" ht="12.75" x14ac:dyDescent="0.2">
      <c r="B181" s="854" t="s">
        <v>997</v>
      </c>
      <c r="C181" s="1081" t="s">
        <v>1578</v>
      </c>
    </row>
    <row r="182" spans="2:3" ht="12.75" x14ac:dyDescent="0.2">
      <c r="B182" s="854" t="s">
        <v>868</v>
      </c>
      <c r="C182" s="1081" t="s">
        <v>1578</v>
      </c>
    </row>
    <row r="183" spans="2:3" ht="12.75" x14ac:dyDescent="0.2">
      <c r="B183" s="854" t="s">
        <v>998</v>
      </c>
      <c r="C183" s="1081" t="s">
        <v>1578</v>
      </c>
    </row>
    <row r="184" spans="2:3" ht="12.75" x14ac:dyDescent="0.2">
      <c r="B184" s="854" t="s">
        <v>999</v>
      </c>
      <c r="C184" s="1081" t="s">
        <v>1578</v>
      </c>
    </row>
    <row r="185" spans="2:3" ht="12.75" x14ac:dyDescent="0.2">
      <c r="B185" s="854" t="s">
        <v>1000</v>
      </c>
      <c r="C185" s="1081" t="s">
        <v>1578</v>
      </c>
    </row>
    <row r="186" spans="2:3" ht="12.75" x14ac:dyDescent="0.2">
      <c r="B186" s="854" t="s">
        <v>1001</v>
      </c>
      <c r="C186" s="1081" t="s">
        <v>1578</v>
      </c>
    </row>
    <row r="187" spans="2:3" ht="12.75" x14ac:dyDescent="0.2">
      <c r="B187" s="854" t="s">
        <v>1002</v>
      </c>
      <c r="C187" s="1081" t="s">
        <v>1578</v>
      </c>
    </row>
    <row r="188" spans="2:3" ht="12.75" x14ac:dyDescent="0.2">
      <c r="B188" s="854" t="s">
        <v>869</v>
      </c>
      <c r="C188" s="1081" t="s">
        <v>1578</v>
      </c>
    </row>
    <row r="189" spans="2:3" ht="12.75" x14ac:dyDescent="0.2">
      <c r="B189" s="854" t="s">
        <v>1003</v>
      </c>
      <c r="C189" s="1081" t="s">
        <v>1578</v>
      </c>
    </row>
    <row r="190" spans="2:3" ht="12.75" x14ac:dyDescent="0.2">
      <c r="B190" s="854" t="s">
        <v>1004</v>
      </c>
      <c r="C190" s="1081" t="s">
        <v>1578</v>
      </c>
    </row>
    <row r="191" spans="2:3" ht="12.75" x14ac:dyDescent="0.2">
      <c r="B191" s="854" t="s">
        <v>1005</v>
      </c>
      <c r="C191" s="1081" t="s">
        <v>1578</v>
      </c>
    </row>
    <row r="192" spans="2:3" ht="12.75" x14ac:dyDescent="0.2">
      <c r="B192" s="854" t="s">
        <v>1006</v>
      </c>
      <c r="C192" s="1081" t="s">
        <v>1578</v>
      </c>
    </row>
    <row r="193" spans="2:3" ht="12.75" x14ac:dyDescent="0.2">
      <c r="B193" s="854" t="s">
        <v>1007</v>
      </c>
      <c r="C193" s="1081" t="s">
        <v>1578</v>
      </c>
    </row>
    <row r="194" spans="2:3" ht="12.75" x14ac:dyDescent="0.2">
      <c r="B194" s="854" t="s">
        <v>1008</v>
      </c>
      <c r="C194" s="1080" t="s">
        <v>1578</v>
      </c>
    </row>
    <row r="195" spans="2:3" ht="12.75" x14ac:dyDescent="0.2">
      <c r="B195" s="854" t="s">
        <v>870</v>
      </c>
      <c r="C195" s="1080" t="s">
        <v>1578</v>
      </c>
    </row>
    <row r="196" spans="2:3" ht="12.75" x14ac:dyDescent="0.2">
      <c r="B196" s="854" t="s">
        <v>1434</v>
      </c>
      <c r="C196" s="1080" t="s">
        <v>1578</v>
      </c>
    </row>
    <row r="197" spans="2:3" ht="12.75" x14ac:dyDescent="0.2">
      <c r="B197" s="854" t="s">
        <v>1009</v>
      </c>
      <c r="C197" s="1080" t="s">
        <v>1578</v>
      </c>
    </row>
    <row r="198" spans="2:3" ht="12.75" x14ac:dyDescent="0.2">
      <c r="B198" s="854" t="s">
        <v>1435</v>
      </c>
      <c r="C198" s="1080" t="s">
        <v>1578</v>
      </c>
    </row>
    <row r="199" spans="2:3" ht="12.75" x14ac:dyDescent="0.2">
      <c r="B199" s="854" t="s">
        <v>1010</v>
      </c>
      <c r="C199" s="1080" t="s">
        <v>1578</v>
      </c>
    </row>
    <row r="200" spans="2:3" ht="12.75" x14ac:dyDescent="0.2">
      <c r="B200" s="854" t="s">
        <v>1011</v>
      </c>
      <c r="C200" s="1080" t="s">
        <v>1578</v>
      </c>
    </row>
    <row r="201" spans="2:3" ht="12.75" x14ac:dyDescent="0.2">
      <c r="B201" s="854" t="s">
        <v>1563</v>
      </c>
      <c r="C201" s="1080" t="s">
        <v>1578</v>
      </c>
    </row>
    <row r="202" spans="2:3" ht="12.75" x14ac:dyDescent="0.2">
      <c r="B202" s="854" t="s">
        <v>1012</v>
      </c>
      <c r="C202" s="1080" t="s">
        <v>864</v>
      </c>
    </row>
    <row r="203" spans="2:3" ht="12.75" x14ac:dyDescent="0.2">
      <c r="B203" s="854" t="s">
        <v>1013</v>
      </c>
      <c r="C203" s="1080" t="s">
        <v>864</v>
      </c>
    </row>
    <row r="204" spans="2:3" ht="12.75" x14ac:dyDescent="0.2">
      <c r="B204" s="854" t="s">
        <v>1014</v>
      </c>
      <c r="C204" s="1080" t="s">
        <v>864</v>
      </c>
    </row>
    <row r="205" spans="2:3" ht="12.75" x14ac:dyDescent="0.2">
      <c r="B205" s="854" t="s">
        <v>1436</v>
      </c>
      <c r="C205" s="1080" t="s">
        <v>864</v>
      </c>
    </row>
    <row r="206" spans="2:3" ht="12.75" x14ac:dyDescent="0.2">
      <c r="B206" s="854" t="s">
        <v>1015</v>
      </c>
      <c r="C206" s="1080" t="s">
        <v>864</v>
      </c>
    </row>
    <row r="207" spans="2:3" ht="12.75" x14ac:dyDescent="0.2">
      <c r="B207" s="854" t="s">
        <v>1016</v>
      </c>
      <c r="C207" s="1080" t="s">
        <v>864</v>
      </c>
    </row>
    <row r="208" spans="2:3" ht="12.75" x14ac:dyDescent="0.2">
      <c r="B208" s="854" t="s">
        <v>1017</v>
      </c>
      <c r="C208" s="1080" t="s">
        <v>864</v>
      </c>
    </row>
    <row r="209" spans="2:3" ht="12.75" x14ac:dyDescent="0.2">
      <c r="B209" s="854" t="s">
        <v>863</v>
      </c>
      <c r="C209" s="1080" t="s">
        <v>864</v>
      </c>
    </row>
    <row r="210" spans="2:3" ht="12.75" x14ac:dyDescent="0.2">
      <c r="B210" s="854" t="s">
        <v>1437</v>
      </c>
      <c r="C210" s="1080" t="s">
        <v>864</v>
      </c>
    </row>
    <row r="211" spans="2:3" ht="12.75" x14ac:dyDescent="0.2">
      <c r="B211" s="854" t="s">
        <v>1569</v>
      </c>
      <c r="C211" s="1080" t="s">
        <v>864</v>
      </c>
    </row>
    <row r="212" spans="2:3" ht="12.75" x14ac:dyDescent="0.2">
      <c r="B212" s="854" t="s">
        <v>1018</v>
      </c>
      <c r="C212" s="1080" t="s">
        <v>864</v>
      </c>
    </row>
    <row r="213" spans="2:3" ht="12.75" x14ac:dyDescent="0.2">
      <c r="B213" s="854" t="s">
        <v>1019</v>
      </c>
      <c r="C213" s="1080" t="s">
        <v>864</v>
      </c>
    </row>
    <row r="214" spans="2:3" ht="12.75" x14ac:dyDescent="0.2">
      <c r="B214" s="854" t="s">
        <v>1570</v>
      </c>
      <c r="C214" s="1080" t="s">
        <v>864</v>
      </c>
    </row>
    <row r="215" spans="2:3" ht="12.75" x14ac:dyDescent="0.2">
      <c r="B215" s="854" t="s">
        <v>1020</v>
      </c>
      <c r="C215" s="1080" t="s">
        <v>864</v>
      </c>
    </row>
    <row r="216" spans="2:3" ht="12.75" x14ac:dyDescent="0.2">
      <c r="B216" s="854" t="s">
        <v>865</v>
      </c>
      <c r="C216" s="1080" t="s">
        <v>864</v>
      </c>
    </row>
    <row r="217" spans="2:3" ht="12.75" x14ac:dyDescent="0.2">
      <c r="B217" s="854" t="s">
        <v>1021</v>
      </c>
      <c r="C217" s="1080" t="s">
        <v>864</v>
      </c>
    </row>
    <row r="218" spans="2:3" ht="12.75" x14ac:dyDescent="0.2">
      <c r="B218" s="854" t="s">
        <v>1022</v>
      </c>
      <c r="C218" s="1080" t="s">
        <v>864</v>
      </c>
    </row>
    <row r="219" spans="2:3" ht="12.75" x14ac:dyDescent="0.2">
      <c r="B219" s="854" t="s">
        <v>1023</v>
      </c>
      <c r="C219" s="1080" t="s">
        <v>864</v>
      </c>
    </row>
    <row r="220" spans="2:3" ht="12.75" x14ac:dyDescent="0.2">
      <c r="B220" s="854" t="s">
        <v>1024</v>
      </c>
      <c r="C220" s="1080" t="s">
        <v>864</v>
      </c>
    </row>
    <row r="221" spans="2:3" ht="12.75" x14ac:dyDescent="0.2">
      <c r="B221" s="854" t="s">
        <v>1025</v>
      </c>
      <c r="C221" s="1080" t="s">
        <v>864</v>
      </c>
    </row>
    <row r="222" spans="2:3" ht="12.75" x14ac:dyDescent="0.2">
      <c r="B222" s="854" t="s">
        <v>866</v>
      </c>
      <c r="C222" s="1080" t="s">
        <v>864</v>
      </c>
    </row>
    <row r="223" spans="2:3" ht="12.75" x14ac:dyDescent="0.2">
      <c r="B223" s="854" t="s">
        <v>1052</v>
      </c>
      <c r="C223" s="1080" t="s">
        <v>872</v>
      </c>
    </row>
    <row r="224" spans="2:3" ht="12.75" x14ac:dyDescent="0.2">
      <c r="B224" s="854" t="s">
        <v>1053</v>
      </c>
      <c r="C224" s="1080" t="s">
        <v>872</v>
      </c>
    </row>
    <row r="225" spans="2:3" ht="12.75" x14ac:dyDescent="0.2">
      <c r="B225" s="854" t="s">
        <v>1054</v>
      </c>
      <c r="C225" s="1080" t="s">
        <v>872</v>
      </c>
    </row>
    <row r="226" spans="2:3" ht="12.75" x14ac:dyDescent="0.2">
      <c r="B226" s="854" t="s">
        <v>1055</v>
      </c>
      <c r="C226" s="1080" t="s">
        <v>872</v>
      </c>
    </row>
    <row r="227" spans="2:3" ht="12.75" x14ac:dyDescent="0.2">
      <c r="B227" s="854" t="s">
        <v>1056</v>
      </c>
      <c r="C227" s="1080" t="s">
        <v>872</v>
      </c>
    </row>
    <row r="228" spans="2:3" ht="12.75" x14ac:dyDescent="0.2">
      <c r="B228" s="854" t="s">
        <v>871</v>
      </c>
      <c r="C228" s="1080" t="s">
        <v>872</v>
      </c>
    </row>
    <row r="229" spans="2:3" ht="12.75" x14ac:dyDescent="0.2">
      <c r="B229" s="854" t="s">
        <v>1057</v>
      </c>
      <c r="C229" s="1080" t="s">
        <v>872</v>
      </c>
    </row>
    <row r="230" spans="2:3" ht="12.75" x14ac:dyDescent="0.2">
      <c r="B230" s="854" t="s">
        <v>1058</v>
      </c>
      <c r="C230" s="1080" t="s">
        <v>872</v>
      </c>
    </row>
    <row r="231" spans="2:3" ht="12.75" x14ac:dyDescent="0.2">
      <c r="B231" s="854" t="s">
        <v>1059</v>
      </c>
      <c r="C231" s="1080" t="s">
        <v>872</v>
      </c>
    </row>
    <row r="232" spans="2:3" ht="12.75" x14ac:dyDescent="0.2">
      <c r="B232" s="854" t="s">
        <v>1060</v>
      </c>
      <c r="C232" s="1080" t="s">
        <v>872</v>
      </c>
    </row>
    <row r="233" spans="2:3" ht="12.75" x14ac:dyDescent="0.2">
      <c r="B233" s="854" t="s">
        <v>1061</v>
      </c>
      <c r="C233" s="1080" t="s">
        <v>872</v>
      </c>
    </row>
    <row r="234" spans="2:3" ht="12.75" x14ac:dyDescent="0.2">
      <c r="B234" s="854" t="s">
        <v>873</v>
      </c>
      <c r="C234" s="1080" t="s">
        <v>872</v>
      </c>
    </row>
    <row r="235" spans="2:3" ht="12.75" x14ac:dyDescent="0.2">
      <c r="B235" s="854" t="s">
        <v>1062</v>
      </c>
      <c r="C235" s="1080" t="s">
        <v>872</v>
      </c>
    </row>
    <row r="236" spans="2:3" ht="12.75" x14ac:dyDescent="0.2">
      <c r="B236" s="854" t="s">
        <v>1063</v>
      </c>
      <c r="C236" s="1080" t="s">
        <v>872</v>
      </c>
    </row>
    <row r="237" spans="2:3" ht="12.75" x14ac:dyDescent="0.2">
      <c r="B237" s="854" t="s">
        <v>1064</v>
      </c>
      <c r="C237" s="1080" t="s">
        <v>872</v>
      </c>
    </row>
    <row r="238" spans="2:3" ht="12.75" x14ac:dyDescent="0.2">
      <c r="B238" s="854" t="s">
        <v>1065</v>
      </c>
      <c r="C238" s="1080" t="s">
        <v>872</v>
      </c>
    </row>
    <row r="239" spans="2:3" ht="12.75" x14ac:dyDescent="0.2">
      <c r="B239" s="854" t="s">
        <v>1606</v>
      </c>
      <c r="C239" s="1080" t="s">
        <v>872</v>
      </c>
    </row>
    <row r="240" spans="2:3" ht="12.75" x14ac:dyDescent="0.2">
      <c r="B240" s="854" t="s">
        <v>874</v>
      </c>
      <c r="C240" s="1080" t="s">
        <v>872</v>
      </c>
    </row>
    <row r="241" spans="2:3" ht="12.75" x14ac:dyDescent="0.2">
      <c r="B241" s="854" t="s">
        <v>1066</v>
      </c>
      <c r="C241" s="1080" t="s">
        <v>872</v>
      </c>
    </row>
    <row r="242" spans="2:3" ht="12.75" x14ac:dyDescent="0.2">
      <c r="B242" s="854" t="s">
        <v>1067</v>
      </c>
      <c r="C242" s="1080" t="s">
        <v>872</v>
      </c>
    </row>
    <row r="243" spans="2:3" ht="12.75" x14ac:dyDescent="0.2">
      <c r="B243" s="854" t="s">
        <v>1068</v>
      </c>
      <c r="C243" s="1080" t="s">
        <v>872</v>
      </c>
    </row>
    <row r="244" spans="2:3" ht="12.75" x14ac:dyDescent="0.2">
      <c r="B244" s="854" t="s">
        <v>1069</v>
      </c>
      <c r="C244" s="1080" t="s">
        <v>872</v>
      </c>
    </row>
    <row r="245" spans="2:3" ht="12.75" x14ac:dyDescent="0.2">
      <c r="B245" s="854" t="s">
        <v>876</v>
      </c>
      <c r="C245" s="1080" t="s">
        <v>872</v>
      </c>
    </row>
    <row r="246" spans="2:3" ht="12.75" x14ac:dyDescent="0.2">
      <c r="B246" s="854" t="s">
        <v>1438</v>
      </c>
      <c r="C246" s="1080" t="s">
        <v>880</v>
      </c>
    </row>
    <row r="247" spans="2:3" ht="12.75" x14ac:dyDescent="0.2">
      <c r="B247" s="854" t="s">
        <v>1050</v>
      </c>
      <c r="C247" s="1080" t="s">
        <v>880</v>
      </c>
    </row>
    <row r="248" spans="2:3" ht="12.75" x14ac:dyDescent="0.2">
      <c r="B248" s="854" t="s">
        <v>1051</v>
      </c>
      <c r="C248" s="1080" t="s">
        <v>880</v>
      </c>
    </row>
    <row r="249" spans="2:3" ht="12.75" x14ac:dyDescent="0.2">
      <c r="B249" s="854" t="s">
        <v>1427</v>
      </c>
      <c r="C249" s="1080" t="s">
        <v>880</v>
      </c>
    </row>
    <row r="250" spans="2:3" ht="12.75" x14ac:dyDescent="0.2">
      <c r="B250" s="854" t="s">
        <v>1026</v>
      </c>
      <c r="C250" s="1080" t="s">
        <v>880</v>
      </c>
    </row>
    <row r="251" spans="2:3" ht="12.75" x14ac:dyDescent="0.2">
      <c r="B251" s="854" t="s">
        <v>1027</v>
      </c>
      <c r="C251" s="1080" t="s">
        <v>880</v>
      </c>
    </row>
    <row r="252" spans="2:3" ht="12.75" x14ac:dyDescent="0.2">
      <c r="B252" s="854" t="s">
        <v>1028</v>
      </c>
      <c r="C252" s="1080" t="s">
        <v>880</v>
      </c>
    </row>
    <row r="253" spans="2:3" ht="12.75" x14ac:dyDescent="0.2">
      <c r="B253" s="854" t="s">
        <v>1029</v>
      </c>
      <c r="C253" s="1080" t="s">
        <v>880</v>
      </c>
    </row>
    <row r="254" spans="2:3" ht="12.75" x14ac:dyDescent="0.2">
      <c r="B254" s="854" t="s">
        <v>1030</v>
      </c>
      <c r="C254" s="1080" t="s">
        <v>880</v>
      </c>
    </row>
    <row r="255" spans="2:3" ht="12.75" x14ac:dyDescent="0.2">
      <c r="B255" s="854" t="s">
        <v>1031</v>
      </c>
      <c r="C255" s="1080" t="s">
        <v>880</v>
      </c>
    </row>
    <row r="256" spans="2:3" ht="12.75" x14ac:dyDescent="0.2">
      <c r="B256" s="854" t="s">
        <v>883</v>
      </c>
      <c r="C256" s="1080" t="s">
        <v>880</v>
      </c>
    </row>
    <row r="257" spans="2:3" ht="12.75" x14ac:dyDescent="0.2">
      <c r="B257" s="854" t="s">
        <v>1032</v>
      </c>
      <c r="C257" s="1080" t="s">
        <v>880</v>
      </c>
    </row>
    <row r="258" spans="2:3" ht="12.75" x14ac:dyDescent="0.2">
      <c r="B258" s="854" t="s">
        <v>1033</v>
      </c>
      <c r="C258" s="1080" t="s">
        <v>880</v>
      </c>
    </row>
    <row r="259" spans="2:3" ht="12.75" x14ac:dyDescent="0.2">
      <c r="B259" s="854" t="s">
        <v>1034</v>
      </c>
      <c r="C259" s="1080" t="s">
        <v>880</v>
      </c>
    </row>
    <row r="260" spans="2:3" ht="12.75" x14ac:dyDescent="0.2">
      <c r="B260" s="854" t="s">
        <v>1035</v>
      </c>
      <c r="C260" s="1080" t="s">
        <v>880</v>
      </c>
    </row>
    <row r="261" spans="2:3" ht="12.75" x14ac:dyDescent="0.2">
      <c r="B261" s="854" t="s">
        <v>1036</v>
      </c>
      <c r="C261" s="1080" t="s">
        <v>880</v>
      </c>
    </row>
    <row r="262" spans="2:3" ht="12.75" x14ac:dyDescent="0.2">
      <c r="B262" s="854" t="s">
        <v>1037</v>
      </c>
      <c r="C262" s="1080" t="s">
        <v>880</v>
      </c>
    </row>
    <row r="263" spans="2:3" ht="12.75" x14ac:dyDescent="0.2">
      <c r="B263" s="854" t="s">
        <v>1038</v>
      </c>
      <c r="C263" s="1080" t="s">
        <v>880</v>
      </c>
    </row>
    <row r="264" spans="2:3" ht="12.75" x14ac:dyDescent="0.2">
      <c r="B264" s="854" t="s">
        <v>1039</v>
      </c>
      <c r="C264" s="1080" t="s">
        <v>880</v>
      </c>
    </row>
    <row r="265" spans="2:3" ht="12.75" x14ac:dyDescent="0.2">
      <c r="B265" s="854" t="s">
        <v>1564</v>
      </c>
      <c r="C265" s="1080" t="s">
        <v>880</v>
      </c>
    </row>
    <row r="266" spans="2:3" ht="12.75" x14ac:dyDescent="0.2">
      <c r="B266" s="854" t="s">
        <v>1040</v>
      </c>
      <c r="C266" s="1080" t="s">
        <v>880</v>
      </c>
    </row>
    <row r="267" spans="2:3" ht="12.75" x14ac:dyDescent="0.2">
      <c r="B267" s="854" t="s">
        <v>1041</v>
      </c>
      <c r="C267" s="1080" t="s">
        <v>880</v>
      </c>
    </row>
    <row r="268" spans="2:3" ht="12.75" x14ac:dyDescent="0.2">
      <c r="B268" s="854" t="s">
        <v>1042</v>
      </c>
      <c r="C268" s="1080" t="s">
        <v>880</v>
      </c>
    </row>
    <row r="269" spans="2:3" ht="12.75" x14ac:dyDescent="0.2">
      <c r="B269" s="854" t="s">
        <v>1043</v>
      </c>
      <c r="C269" s="1080" t="s">
        <v>880</v>
      </c>
    </row>
    <row r="270" spans="2:3" ht="12.75" x14ac:dyDescent="0.2">
      <c r="B270" s="854" t="s">
        <v>1044</v>
      </c>
      <c r="C270" s="1080" t="s">
        <v>880</v>
      </c>
    </row>
    <row r="271" spans="2:3" ht="12.75" x14ac:dyDescent="0.2">
      <c r="B271" s="854" t="s">
        <v>1045</v>
      </c>
      <c r="C271" s="1080" t="s">
        <v>880</v>
      </c>
    </row>
    <row r="272" spans="2:3" ht="12.75" x14ac:dyDescent="0.2">
      <c r="B272" s="854" t="s">
        <v>884</v>
      </c>
      <c r="C272" s="1080" t="s">
        <v>880</v>
      </c>
    </row>
    <row r="273" spans="2:3" ht="12.75" x14ac:dyDescent="0.2">
      <c r="B273" s="854" t="s">
        <v>1046</v>
      </c>
      <c r="C273" s="1080" t="s">
        <v>880</v>
      </c>
    </row>
    <row r="274" spans="2:3" ht="12.75" x14ac:dyDescent="0.2">
      <c r="B274" s="854" t="s">
        <v>1047</v>
      </c>
      <c r="C274" s="1080" t="s">
        <v>880</v>
      </c>
    </row>
    <row r="275" spans="2:3" ht="12.75" x14ac:dyDescent="0.2">
      <c r="B275" s="854" t="s">
        <v>1048</v>
      </c>
      <c r="C275" s="1080" t="s">
        <v>880</v>
      </c>
    </row>
    <row r="276" spans="2:3" ht="12.75" x14ac:dyDescent="0.2">
      <c r="B276" s="854" t="s">
        <v>1049</v>
      </c>
      <c r="C276" s="1080" t="s">
        <v>880</v>
      </c>
    </row>
    <row r="277" spans="2:3" ht="12.75" x14ac:dyDescent="0.2">
      <c r="B277" s="854" t="s">
        <v>885</v>
      </c>
      <c r="C277" s="1080" t="s">
        <v>880</v>
      </c>
    </row>
    <row r="278" spans="2:3" ht="12.75" x14ac:dyDescent="0.2">
      <c r="B278" s="854" t="s">
        <v>1579</v>
      </c>
      <c r="C278" s="1080" t="s">
        <v>843</v>
      </c>
    </row>
    <row r="279" spans="2:3" ht="12.75" x14ac:dyDescent="0.2">
      <c r="B279" s="854" t="s">
        <v>1070</v>
      </c>
      <c r="C279" s="1080" t="s">
        <v>843</v>
      </c>
    </row>
    <row r="280" spans="2:3" ht="12.75" x14ac:dyDescent="0.2">
      <c r="B280" s="854" t="s">
        <v>1071</v>
      </c>
      <c r="C280" s="1080" t="s">
        <v>843</v>
      </c>
    </row>
    <row r="281" spans="2:3" ht="12.75" x14ac:dyDescent="0.2">
      <c r="B281" s="854" t="s">
        <v>1072</v>
      </c>
      <c r="C281" s="1080" t="s">
        <v>843</v>
      </c>
    </row>
    <row r="282" spans="2:3" ht="12.75" x14ac:dyDescent="0.2">
      <c r="B282" s="854" t="s">
        <v>1073</v>
      </c>
      <c r="C282" s="1080" t="s">
        <v>843</v>
      </c>
    </row>
    <row r="283" spans="2:3" ht="12.75" x14ac:dyDescent="0.2">
      <c r="B283" s="854" t="s">
        <v>1074</v>
      </c>
      <c r="C283" s="1080" t="s">
        <v>843</v>
      </c>
    </row>
    <row r="284" spans="2:3" ht="12.75" x14ac:dyDescent="0.2">
      <c r="B284" s="854" t="s">
        <v>842</v>
      </c>
      <c r="C284" s="1080" t="s">
        <v>843</v>
      </c>
    </row>
    <row r="285" spans="2:3" ht="12.75" x14ac:dyDescent="0.2">
      <c r="B285" s="854" t="s">
        <v>1075</v>
      </c>
      <c r="C285" s="1080" t="s">
        <v>843</v>
      </c>
    </row>
    <row r="286" spans="2:3" ht="12.75" x14ac:dyDescent="0.2">
      <c r="B286" s="854" t="s">
        <v>1076</v>
      </c>
      <c r="C286" s="1080" t="s">
        <v>843</v>
      </c>
    </row>
    <row r="287" spans="2:3" ht="12.75" x14ac:dyDescent="0.2">
      <c r="B287" s="854" t="s">
        <v>1077</v>
      </c>
      <c r="C287" s="1080" t="s">
        <v>843</v>
      </c>
    </row>
    <row r="288" spans="2:3" ht="12.75" x14ac:dyDescent="0.2">
      <c r="B288" s="854" t="s">
        <v>1078</v>
      </c>
      <c r="C288" s="1080" t="s">
        <v>843</v>
      </c>
    </row>
    <row r="289" spans="2:3" ht="12.75" x14ac:dyDescent="0.2">
      <c r="B289" s="854" t="s">
        <v>1439</v>
      </c>
      <c r="C289" s="1080" t="s">
        <v>843</v>
      </c>
    </row>
    <row r="290" spans="2:3" ht="12.75" x14ac:dyDescent="0.2">
      <c r="B290" s="854" t="s">
        <v>1562</v>
      </c>
      <c r="C290" s="1080" t="s">
        <v>843</v>
      </c>
    </row>
    <row r="291" spans="2:3" ht="12.75" x14ac:dyDescent="0.2">
      <c r="B291" s="854" t="s">
        <v>1079</v>
      </c>
      <c r="C291" s="1080" t="s">
        <v>843</v>
      </c>
    </row>
    <row r="292" spans="2:3" ht="12.75" x14ac:dyDescent="0.2">
      <c r="B292" s="854" t="s">
        <v>1080</v>
      </c>
      <c r="C292" s="1080" t="s">
        <v>843</v>
      </c>
    </row>
    <row r="293" spans="2:3" ht="12.75" x14ac:dyDescent="0.2">
      <c r="B293" s="854" t="s">
        <v>1081</v>
      </c>
      <c r="C293" s="1080" t="s">
        <v>843</v>
      </c>
    </row>
    <row r="294" spans="2:3" ht="12.75" x14ac:dyDescent="0.2">
      <c r="B294" s="854" t="s">
        <v>1082</v>
      </c>
      <c r="C294" s="1080" t="s">
        <v>843</v>
      </c>
    </row>
    <row r="295" spans="2:3" ht="12.75" x14ac:dyDescent="0.2">
      <c r="B295" s="854" t="s">
        <v>862</v>
      </c>
      <c r="C295" s="1080" t="s">
        <v>843</v>
      </c>
    </row>
    <row r="296" spans="2:3" ht="12.75" x14ac:dyDescent="0.2">
      <c r="B296" s="854" t="s">
        <v>1083</v>
      </c>
      <c r="C296" s="1080" t="s">
        <v>843</v>
      </c>
    </row>
    <row r="297" spans="2:3" ht="12.75" x14ac:dyDescent="0.2">
      <c r="B297" s="854" t="s">
        <v>1084</v>
      </c>
      <c r="C297" s="1080" t="s">
        <v>843</v>
      </c>
    </row>
    <row r="298" spans="2:3" ht="12.75" x14ac:dyDescent="0.2">
      <c r="B298" s="854" t="s">
        <v>1085</v>
      </c>
      <c r="C298" s="1080" t="s">
        <v>843</v>
      </c>
    </row>
    <row r="299" spans="2:3" ht="12.75" x14ac:dyDescent="0.2">
      <c r="B299" s="854" t="s">
        <v>1086</v>
      </c>
      <c r="C299" s="1080" t="s">
        <v>843</v>
      </c>
    </row>
    <row r="300" spans="2:3" ht="12.75" x14ac:dyDescent="0.2">
      <c r="B300" s="854" t="s">
        <v>1087</v>
      </c>
      <c r="C300" s="1080" t="s">
        <v>843</v>
      </c>
    </row>
    <row r="301" spans="2:3" ht="12.75" x14ac:dyDescent="0.2">
      <c r="B301" s="854" t="s">
        <v>1088</v>
      </c>
      <c r="C301" s="1080" t="s">
        <v>843</v>
      </c>
    </row>
    <row r="302" spans="2:3" ht="12.75" x14ac:dyDescent="0.2">
      <c r="B302" s="854" t="s">
        <v>1089</v>
      </c>
      <c r="C302" s="1080" t="s">
        <v>843</v>
      </c>
    </row>
    <row r="303" spans="2:3" ht="12.75" x14ac:dyDescent="0.2">
      <c r="B303" s="854" t="s">
        <v>875</v>
      </c>
      <c r="C303" s="1080" t="s">
        <v>843</v>
      </c>
    </row>
    <row r="304" spans="2:3" ht="12.75" x14ac:dyDescent="0.2">
      <c r="B304" s="854" t="s">
        <v>1090</v>
      </c>
      <c r="C304" s="1080" t="s">
        <v>843</v>
      </c>
    </row>
    <row r="305" spans="2:3" ht="12.75" x14ac:dyDescent="0.2">
      <c r="B305" s="854" t="s">
        <v>1091</v>
      </c>
      <c r="C305" s="1080" t="s">
        <v>843</v>
      </c>
    </row>
    <row r="306" spans="2:3" ht="12.75" x14ac:dyDescent="0.2">
      <c r="B306" s="854" t="s">
        <v>1092</v>
      </c>
      <c r="C306" s="1080" t="s">
        <v>843</v>
      </c>
    </row>
    <row r="307" spans="2:3" ht="12.75" x14ac:dyDescent="0.2">
      <c r="B307" s="854" t="s">
        <v>882</v>
      </c>
      <c r="C307" s="1080" t="s">
        <v>843</v>
      </c>
    </row>
    <row r="308" spans="2:3" x14ac:dyDescent="0.2">
      <c r="C308" s="1082">
        <f>COUNTA(C30:C307)</f>
        <v>278</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142"/>
  <sheetViews>
    <sheetView showGridLines="0" workbookViewId="0">
      <pane xSplit="2" ySplit="5" topLeftCell="C6" activePane="bottomRight" state="frozen"/>
      <selection activeCell="C6" sqref="C6"/>
      <selection pane="topRight" activeCell="C6" sqref="C6"/>
      <selection pane="bottomLeft" activeCell="C6" sqref="C6"/>
      <selection pane="bottomRight" activeCell="J12" sqref="J12"/>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"&amp;ADJB18d&amp;" - "&amp;Date</f>
        <v>LIM354 Polokwane - Supporting Table SB18d Adjustments Budget - depreciation by asset class - 25 February 2016</v>
      </c>
      <c r="B1" s="5"/>
      <c r="C1" s="58"/>
    </row>
    <row r="2" spans="1:14" ht="25.5" x14ac:dyDescent="0.25">
      <c r="A2" s="1318" t="str">
        <f>desc</f>
        <v>Description</v>
      </c>
      <c r="B2" s="1318" t="str">
        <f>head27</f>
        <v>Ref</v>
      </c>
      <c r="C2" s="1315" t="str">
        <f>Head2</f>
        <v>Budget Year 2015/16</v>
      </c>
      <c r="D2" s="1316"/>
      <c r="E2" s="1316"/>
      <c r="F2" s="1316"/>
      <c r="G2" s="1316"/>
      <c r="H2" s="1316"/>
      <c r="I2" s="1316"/>
      <c r="J2" s="1316"/>
      <c r="K2" s="1317"/>
      <c r="L2" s="170" t="str">
        <f>Head10</f>
        <v>Budget Year +1 2016/17</v>
      </c>
      <c r="M2" s="171" t="str">
        <f>Head11</f>
        <v>Budget Year +2 2017/18</v>
      </c>
    </row>
    <row r="3" spans="1:14" ht="25.5" x14ac:dyDescent="0.25">
      <c r="A3" s="1319"/>
      <c r="B3" s="13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19"/>
      <c r="B4" s="1319"/>
      <c r="C4" s="65"/>
      <c r="D4" s="15">
        <v>7</v>
      </c>
      <c r="E4" s="15">
        <v>8</v>
      </c>
      <c r="F4" s="15">
        <v>9</v>
      </c>
      <c r="G4" s="15">
        <v>10</v>
      </c>
      <c r="H4" s="15">
        <v>11</v>
      </c>
      <c r="I4" s="15">
        <v>12</v>
      </c>
      <c r="J4" s="15">
        <v>13</v>
      </c>
      <c r="K4" s="15">
        <v>14</v>
      </c>
      <c r="L4" s="15"/>
      <c r="M4" s="17"/>
    </row>
    <row r="5" spans="1:14" x14ac:dyDescent="0.25">
      <c r="A5" s="66" t="s">
        <v>641</v>
      </c>
      <c r="B5" s="104"/>
      <c r="C5" s="67" t="s">
        <v>581</v>
      </c>
      <c r="D5" s="68" t="s">
        <v>582</v>
      </c>
      <c r="E5" s="68" t="s">
        <v>583</v>
      </c>
      <c r="F5" s="69" t="s">
        <v>584</v>
      </c>
      <c r="G5" s="69" t="s">
        <v>585</v>
      </c>
      <c r="H5" s="69" t="s">
        <v>586</v>
      </c>
      <c r="I5" s="70" t="s">
        <v>587</v>
      </c>
      <c r="J5" s="70" t="s">
        <v>588</v>
      </c>
      <c r="K5" s="70" t="s">
        <v>589</v>
      </c>
      <c r="L5" s="70"/>
      <c r="M5" s="71"/>
    </row>
    <row r="6" spans="1:14" ht="12.75" customHeight="1" x14ac:dyDescent="0.25">
      <c r="A6" s="873" t="s">
        <v>1597</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828</v>
      </c>
      <c r="B8" s="73"/>
      <c r="C8" s="707">
        <f t="shared" ref="C8:M8" si="0">C9+C12+C16+C20+C23</f>
        <v>96877257</v>
      </c>
      <c r="D8" s="707">
        <f t="shared" si="0"/>
        <v>0</v>
      </c>
      <c r="E8" s="707">
        <f t="shared" si="0"/>
        <v>0</v>
      </c>
      <c r="F8" s="707">
        <f t="shared" si="0"/>
        <v>0</v>
      </c>
      <c r="G8" s="707">
        <f t="shared" si="0"/>
        <v>0</v>
      </c>
      <c r="H8" s="707">
        <f t="shared" si="0"/>
        <v>0</v>
      </c>
      <c r="I8" s="707">
        <f t="shared" si="0"/>
        <v>0</v>
      </c>
      <c r="J8" s="708">
        <f>SUM(E8:I8)</f>
        <v>0</v>
      </c>
      <c r="K8" s="708">
        <f>IF(D8=0,C8+J8,D8+J8)</f>
        <v>96877257</v>
      </c>
      <c r="L8" s="707">
        <f t="shared" si="0"/>
        <v>104332220</v>
      </c>
      <c r="M8" s="709">
        <f t="shared" si="0"/>
        <v>109332220</v>
      </c>
      <c r="N8" s="863"/>
    </row>
    <row r="9" spans="1:14" ht="12.75" customHeight="1" x14ac:dyDescent="0.25">
      <c r="A9" s="597" t="s">
        <v>484</v>
      </c>
      <c r="B9" s="73"/>
      <c r="C9" s="266">
        <f t="shared" ref="C9:M9" si="1">SUM(C10:C11)</f>
        <v>26009123</v>
      </c>
      <c r="D9" s="266">
        <f t="shared" si="1"/>
        <v>0</v>
      </c>
      <c r="E9" s="266">
        <f t="shared" si="1"/>
        <v>0</v>
      </c>
      <c r="F9" s="266">
        <f t="shared" si="1"/>
        <v>0</v>
      </c>
      <c r="G9" s="266">
        <f t="shared" si="1"/>
        <v>0</v>
      </c>
      <c r="H9" s="266">
        <f t="shared" si="1"/>
        <v>0</v>
      </c>
      <c r="I9" s="266">
        <f t="shared" si="1"/>
        <v>0</v>
      </c>
      <c r="J9" s="75">
        <f t="shared" ref="J9:J41" si="2">SUM(E9:I9)</f>
        <v>0</v>
      </c>
      <c r="K9" s="75">
        <f t="shared" ref="K9:K41" si="3">IF(D9=0,C9+J9,D9+J9)</f>
        <v>26009123</v>
      </c>
      <c r="L9" s="266">
        <f t="shared" si="1"/>
        <v>26009123</v>
      </c>
      <c r="M9" s="267">
        <f t="shared" si="1"/>
        <v>26009123</v>
      </c>
      <c r="N9" s="128"/>
    </row>
    <row r="10" spans="1:14" ht="12.75" customHeight="1" x14ac:dyDescent="0.25">
      <c r="A10" s="598" t="s">
        <v>485</v>
      </c>
      <c r="B10" s="73"/>
      <c r="C10" s="109">
        <v>26009123</v>
      </c>
      <c r="D10" s="109"/>
      <c r="E10" s="109"/>
      <c r="F10" s="109"/>
      <c r="G10" s="109"/>
      <c r="H10" s="109"/>
      <c r="I10" s="109"/>
      <c r="J10" s="75">
        <f t="shared" si="2"/>
        <v>0</v>
      </c>
      <c r="K10" s="75">
        <f t="shared" si="3"/>
        <v>26009123</v>
      </c>
      <c r="L10" s="109">
        <v>26009123</v>
      </c>
      <c r="M10" s="110">
        <v>26009123</v>
      </c>
      <c r="N10" s="863"/>
    </row>
    <row r="11" spans="1:14" ht="12.75" customHeight="1" x14ac:dyDescent="0.25">
      <c r="A11" s="598" t="s">
        <v>486</v>
      </c>
      <c r="B11" s="73"/>
      <c r="C11" s="109">
        <v>0</v>
      </c>
      <c r="D11" s="109"/>
      <c r="E11" s="109"/>
      <c r="F11" s="109"/>
      <c r="G11" s="109"/>
      <c r="H11" s="109"/>
      <c r="I11" s="109"/>
      <c r="J11" s="75">
        <f t="shared" si="2"/>
        <v>0</v>
      </c>
      <c r="K11" s="75">
        <f t="shared" si="3"/>
        <v>0</v>
      </c>
      <c r="L11" s="109">
        <v>0</v>
      </c>
      <c r="M11" s="110">
        <v>0</v>
      </c>
      <c r="N11" s="868"/>
    </row>
    <row r="12" spans="1:14" ht="12.75" customHeight="1" x14ac:dyDescent="0.25">
      <c r="A12" s="597" t="s">
        <v>487</v>
      </c>
      <c r="B12" s="73"/>
      <c r="C12" s="132">
        <f t="shared" ref="C12:M12" si="4">SUM(C13:C15)</f>
        <v>20154847</v>
      </c>
      <c r="D12" s="132">
        <f t="shared" si="4"/>
        <v>0</v>
      </c>
      <c r="E12" s="132">
        <f t="shared" si="4"/>
        <v>0</v>
      </c>
      <c r="F12" s="132">
        <f t="shared" si="4"/>
        <v>0</v>
      </c>
      <c r="G12" s="132">
        <f t="shared" si="4"/>
        <v>0</v>
      </c>
      <c r="H12" s="132">
        <f t="shared" si="4"/>
        <v>0</v>
      </c>
      <c r="I12" s="132">
        <f t="shared" si="4"/>
        <v>0</v>
      </c>
      <c r="J12" s="75">
        <f t="shared" si="2"/>
        <v>0</v>
      </c>
      <c r="K12" s="75">
        <f t="shared" si="3"/>
        <v>20154847</v>
      </c>
      <c r="L12" s="132">
        <f t="shared" si="4"/>
        <v>20154847</v>
      </c>
      <c r="M12" s="133">
        <f t="shared" si="4"/>
        <v>20154847</v>
      </c>
      <c r="N12" s="868"/>
    </row>
    <row r="13" spans="1:14" ht="12.75" customHeight="1" x14ac:dyDescent="0.25">
      <c r="A13" s="598" t="s">
        <v>488</v>
      </c>
      <c r="B13" s="73"/>
      <c r="C13" s="109"/>
      <c r="D13" s="109"/>
      <c r="E13" s="109"/>
      <c r="F13" s="109"/>
      <c r="G13" s="109"/>
      <c r="H13" s="109"/>
      <c r="I13" s="109"/>
      <c r="J13" s="75">
        <f t="shared" si="2"/>
        <v>0</v>
      </c>
      <c r="K13" s="75">
        <f t="shared" si="3"/>
        <v>0</v>
      </c>
      <c r="L13" s="109"/>
      <c r="M13" s="110"/>
      <c r="N13" s="868"/>
    </row>
    <row r="14" spans="1:14" ht="12.75" customHeight="1" x14ac:dyDescent="0.25">
      <c r="A14" s="598" t="s">
        <v>489</v>
      </c>
      <c r="B14" s="73"/>
      <c r="C14" s="109">
        <v>20154847</v>
      </c>
      <c r="D14" s="109"/>
      <c r="E14" s="109"/>
      <c r="F14" s="109"/>
      <c r="G14" s="109"/>
      <c r="H14" s="109"/>
      <c r="I14" s="109"/>
      <c r="J14" s="75">
        <f t="shared" si="2"/>
        <v>0</v>
      </c>
      <c r="K14" s="75">
        <f t="shared" si="3"/>
        <v>20154847</v>
      </c>
      <c r="L14" s="109">
        <v>20154847</v>
      </c>
      <c r="M14" s="110">
        <v>20154847</v>
      </c>
      <c r="N14" s="868"/>
    </row>
    <row r="15" spans="1:14" ht="12.75" customHeight="1" x14ac:dyDescent="0.25">
      <c r="A15" s="598" t="s">
        <v>490</v>
      </c>
      <c r="B15" s="73"/>
      <c r="C15" s="109"/>
      <c r="D15" s="109"/>
      <c r="E15" s="109"/>
      <c r="F15" s="109"/>
      <c r="G15" s="109"/>
      <c r="H15" s="109"/>
      <c r="I15" s="109"/>
      <c r="J15" s="75">
        <f t="shared" si="2"/>
        <v>0</v>
      </c>
      <c r="K15" s="75">
        <f t="shared" si="3"/>
        <v>0</v>
      </c>
      <c r="L15" s="109"/>
      <c r="M15" s="110"/>
      <c r="N15" s="868"/>
    </row>
    <row r="16" spans="1:14" ht="12.75" customHeight="1" x14ac:dyDescent="0.25">
      <c r="A16" s="599" t="s">
        <v>491</v>
      </c>
      <c r="B16" s="73"/>
      <c r="C16" s="132">
        <f t="shared" ref="C16:M16" si="5">SUM(C17:C19)</f>
        <v>44344595</v>
      </c>
      <c r="D16" s="132">
        <f t="shared" si="5"/>
        <v>0</v>
      </c>
      <c r="E16" s="132">
        <f t="shared" si="5"/>
        <v>0</v>
      </c>
      <c r="F16" s="132">
        <f t="shared" si="5"/>
        <v>0</v>
      </c>
      <c r="G16" s="132">
        <f t="shared" si="5"/>
        <v>0</v>
      </c>
      <c r="H16" s="132">
        <f t="shared" si="5"/>
        <v>0</v>
      </c>
      <c r="I16" s="132">
        <f t="shared" si="5"/>
        <v>0</v>
      </c>
      <c r="J16" s="75">
        <f t="shared" si="2"/>
        <v>0</v>
      </c>
      <c r="K16" s="75">
        <f t="shared" si="3"/>
        <v>44344595</v>
      </c>
      <c r="L16" s="132">
        <f t="shared" si="5"/>
        <v>51799558</v>
      </c>
      <c r="M16" s="133">
        <f t="shared" si="5"/>
        <v>56799558</v>
      </c>
      <c r="N16" s="868"/>
    </row>
    <row r="17" spans="1:14" ht="12.75" customHeight="1" x14ac:dyDescent="0.25">
      <c r="A17" s="598" t="s">
        <v>492</v>
      </c>
      <c r="B17" s="73"/>
      <c r="C17" s="109"/>
      <c r="D17" s="109"/>
      <c r="E17" s="109"/>
      <c r="F17" s="109"/>
      <c r="G17" s="109"/>
      <c r="H17" s="109"/>
      <c r="I17" s="109"/>
      <c r="J17" s="75">
        <f t="shared" si="2"/>
        <v>0</v>
      </c>
      <c r="K17" s="75">
        <f t="shared" si="3"/>
        <v>0</v>
      </c>
      <c r="L17" s="109"/>
      <c r="M17" s="110"/>
      <c r="N17" s="868"/>
    </row>
    <row r="18" spans="1:14" ht="12.75" customHeight="1" x14ac:dyDescent="0.25">
      <c r="A18" s="598" t="s">
        <v>493</v>
      </c>
      <c r="B18" s="73"/>
      <c r="C18" s="109">
        <v>0</v>
      </c>
      <c r="D18" s="109"/>
      <c r="E18" s="109"/>
      <c r="F18" s="109"/>
      <c r="G18" s="109"/>
      <c r="H18" s="109"/>
      <c r="I18" s="109"/>
      <c r="J18" s="75">
        <f t="shared" si="2"/>
        <v>0</v>
      </c>
      <c r="K18" s="75">
        <f t="shared" si="3"/>
        <v>0</v>
      </c>
      <c r="L18" s="109">
        <v>0</v>
      </c>
      <c r="M18" s="110">
        <v>0</v>
      </c>
      <c r="N18" s="868"/>
    </row>
    <row r="19" spans="1:14" ht="12.75" customHeight="1" x14ac:dyDescent="0.25">
      <c r="A19" s="598" t="s">
        <v>494</v>
      </c>
      <c r="B19" s="73"/>
      <c r="C19" s="109">
        <v>44344595</v>
      </c>
      <c r="D19" s="109"/>
      <c r="E19" s="109"/>
      <c r="F19" s="109"/>
      <c r="G19" s="109"/>
      <c r="H19" s="109"/>
      <c r="I19" s="109"/>
      <c r="J19" s="75">
        <f t="shared" si="2"/>
        <v>0</v>
      </c>
      <c r="K19" s="75">
        <f t="shared" si="3"/>
        <v>44344595</v>
      </c>
      <c r="L19" s="109">
        <v>51799558</v>
      </c>
      <c r="M19" s="110">
        <v>56799558</v>
      </c>
      <c r="N19" s="868"/>
    </row>
    <row r="20" spans="1:14" ht="12.75" customHeight="1" x14ac:dyDescent="0.25">
      <c r="A20" s="599" t="s">
        <v>495</v>
      </c>
      <c r="B20" s="73"/>
      <c r="C20" s="132">
        <f t="shared" ref="C20:M20" si="6">SUM(C21:C22)</f>
        <v>6368692</v>
      </c>
      <c r="D20" s="132">
        <f t="shared" si="6"/>
        <v>0</v>
      </c>
      <c r="E20" s="132">
        <f t="shared" si="6"/>
        <v>0</v>
      </c>
      <c r="F20" s="132">
        <f t="shared" si="6"/>
        <v>0</v>
      </c>
      <c r="G20" s="132">
        <f t="shared" si="6"/>
        <v>0</v>
      </c>
      <c r="H20" s="132">
        <f t="shared" si="6"/>
        <v>0</v>
      </c>
      <c r="I20" s="132">
        <f t="shared" si="6"/>
        <v>0</v>
      </c>
      <c r="J20" s="75">
        <f t="shared" si="2"/>
        <v>0</v>
      </c>
      <c r="K20" s="75">
        <f t="shared" si="3"/>
        <v>6368692</v>
      </c>
      <c r="L20" s="132">
        <f t="shared" si="6"/>
        <v>6368692</v>
      </c>
      <c r="M20" s="133">
        <f t="shared" si="6"/>
        <v>6368692</v>
      </c>
      <c r="N20" s="868"/>
    </row>
    <row r="21" spans="1:14" ht="12.75" customHeight="1" x14ac:dyDescent="0.25">
      <c r="A21" s="598" t="s">
        <v>494</v>
      </c>
      <c r="B21" s="73"/>
      <c r="C21" s="109"/>
      <c r="D21" s="109"/>
      <c r="E21" s="109"/>
      <c r="F21" s="109"/>
      <c r="G21" s="109"/>
      <c r="H21" s="109"/>
      <c r="I21" s="109"/>
      <c r="J21" s="75">
        <f t="shared" si="2"/>
        <v>0</v>
      </c>
      <c r="K21" s="75">
        <f t="shared" si="3"/>
        <v>0</v>
      </c>
      <c r="L21" s="109"/>
      <c r="M21" s="110"/>
      <c r="N21" s="868"/>
    </row>
    <row r="22" spans="1:14" ht="12.75" customHeight="1" x14ac:dyDescent="0.25">
      <c r="A22" s="598" t="s">
        <v>496</v>
      </c>
      <c r="B22" s="73"/>
      <c r="C22" s="109">
        <v>6368692</v>
      </c>
      <c r="D22" s="109"/>
      <c r="E22" s="109"/>
      <c r="F22" s="109"/>
      <c r="G22" s="109"/>
      <c r="H22" s="109"/>
      <c r="I22" s="109"/>
      <c r="J22" s="75">
        <f t="shared" si="2"/>
        <v>0</v>
      </c>
      <c r="K22" s="75">
        <f t="shared" si="3"/>
        <v>6368692</v>
      </c>
      <c r="L22" s="109">
        <v>6368692</v>
      </c>
      <c r="M22" s="110">
        <v>6368692</v>
      </c>
      <c r="N22" s="868"/>
    </row>
    <row r="23" spans="1:14" ht="12.75" customHeight="1" x14ac:dyDescent="0.25">
      <c r="A23" s="597" t="s">
        <v>497</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68"/>
    </row>
    <row r="24" spans="1:14" ht="12.75" customHeight="1" x14ac:dyDescent="0.25">
      <c r="A24" s="600" t="s">
        <v>1233</v>
      </c>
      <c r="B24" s="73"/>
      <c r="C24" s="109"/>
      <c r="D24" s="109"/>
      <c r="E24" s="109"/>
      <c r="F24" s="109"/>
      <c r="G24" s="109"/>
      <c r="H24" s="109"/>
      <c r="I24" s="109"/>
      <c r="J24" s="75">
        <f t="shared" si="2"/>
        <v>0</v>
      </c>
      <c r="K24" s="75">
        <f t="shared" si="3"/>
        <v>0</v>
      </c>
      <c r="L24" s="109"/>
      <c r="M24" s="110"/>
      <c r="N24" s="868"/>
    </row>
    <row r="25" spans="1:14" ht="12.75" customHeight="1" x14ac:dyDescent="0.25">
      <c r="A25" s="600" t="s">
        <v>498</v>
      </c>
      <c r="B25" s="73">
        <v>2</v>
      </c>
      <c r="C25" s="109"/>
      <c r="D25" s="109"/>
      <c r="E25" s="109"/>
      <c r="F25" s="109"/>
      <c r="G25" s="109"/>
      <c r="H25" s="109"/>
      <c r="I25" s="109"/>
      <c r="J25" s="75">
        <f t="shared" si="2"/>
        <v>0</v>
      </c>
      <c r="K25" s="75">
        <f t="shared" si="3"/>
        <v>0</v>
      </c>
      <c r="L25" s="109"/>
      <c r="M25" s="110"/>
      <c r="N25" s="868"/>
    </row>
    <row r="26" spans="1:14" ht="12.75" customHeight="1" x14ac:dyDescent="0.25">
      <c r="A26" s="600" t="s">
        <v>499</v>
      </c>
      <c r="B26" s="73"/>
      <c r="C26" s="109"/>
      <c r="D26" s="109"/>
      <c r="E26" s="109"/>
      <c r="F26" s="109"/>
      <c r="G26" s="109"/>
      <c r="H26" s="109"/>
      <c r="I26" s="109"/>
      <c r="J26" s="75">
        <f t="shared" si="2"/>
        <v>0</v>
      </c>
      <c r="K26" s="75">
        <f t="shared" si="3"/>
        <v>0</v>
      </c>
      <c r="L26" s="109"/>
      <c r="M26" s="110"/>
      <c r="N26" s="868"/>
    </row>
    <row r="27" spans="1:14" ht="12.75" customHeight="1" x14ac:dyDescent="0.25">
      <c r="A27" s="600" t="s">
        <v>671</v>
      </c>
      <c r="B27" s="73">
        <v>3</v>
      </c>
      <c r="C27" s="109"/>
      <c r="D27" s="109"/>
      <c r="E27" s="109"/>
      <c r="F27" s="109"/>
      <c r="G27" s="109"/>
      <c r="H27" s="109"/>
      <c r="I27" s="109"/>
      <c r="J27" s="75">
        <f t="shared" si="2"/>
        <v>0</v>
      </c>
      <c r="K27" s="75">
        <f t="shared" si="3"/>
        <v>0</v>
      </c>
      <c r="L27" s="109"/>
      <c r="M27" s="110"/>
      <c r="N27" s="868"/>
    </row>
    <row r="28" spans="1:14" ht="5.0999999999999996" customHeight="1" x14ac:dyDescent="0.25">
      <c r="A28" s="136"/>
      <c r="B28" s="73"/>
      <c r="C28" s="74"/>
      <c r="D28" s="75"/>
      <c r="E28" s="75"/>
      <c r="F28" s="75"/>
      <c r="G28" s="75"/>
      <c r="H28" s="75"/>
      <c r="I28" s="75"/>
      <c r="J28" s="75">
        <f t="shared" si="2"/>
        <v>0</v>
      </c>
      <c r="K28" s="75">
        <f t="shared" si="3"/>
        <v>0</v>
      </c>
      <c r="L28" s="75"/>
      <c r="M28" s="76"/>
      <c r="N28" s="128"/>
    </row>
    <row r="29" spans="1:14" ht="12.75" customHeight="1" x14ac:dyDescent="0.25">
      <c r="A29" s="126" t="s">
        <v>829</v>
      </c>
      <c r="B29" s="73"/>
      <c r="C29" s="140">
        <f t="shared" ref="C29:M29" si="8">SUM(C30:C43)</f>
        <v>108122743</v>
      </c>
      <c r="D29" s="141">
        <f t="shared" si="8"/>
        <v>0</v>
      </c>
      <c r="E29" s="141">
        <f t="shared" si="8"/>
        <v>0</v>
      </c>
      <c r="F29" s="141">
        <f t="shared" si="8"/>
        <v>0</v>
      </c>
      <c r="G29" s="141">
        <f t="shared" si="8"/>
        <v>0</v>
      </c>
      <c r="H29" s="141">
        <f t="shared" si="8"/>
        <v>0</v>
      </c>
      <c r="I29" s="141">
        <f t="shared" si="8"/>
        <v>0</v>
      </c>
      <c r="J29" s="75">
        <f t="shared" si="2"/>
        <v>0</v>
      </c>
      <c r="K29" s="75">
        <f t="shared" si="3"/>
        <v>108122743</v>
      </c>
      <c r="L29" s="141">
        <f t="shared" si="8"/>
        <v>113992780</v>
      </c>
      <c r="M29" s="142">
        <f t="shared" si="8"/>
        <v>122747255</v>
      </c>
      <c r="N29" s="128"/>
    </row>
    <row r="30" spans="1:14" ht="12.75" customHeight="1" x14ac:dyDescent="0.25">
      <c r="A30" s="129" t="s">
        <v>500</v>
      </c>
      <c r="B30" s="73"/>
      <c r="C30" s="130">
        <v>500745</v>
      </c>
      <c r="D30" s="109"/>
      <c r="E30" s="109"/>
      <c r="F30" s="109"/>
      <c r="G30" s="109"/>
      <c r="H30" s="109"/>
      <c r="I30" s="109"/>
      <c r="J30" s="75">
        <f t="shared" si="2"/>
        <v>0</v>
      </c>
      <c r="K30" s="75">
        <f t="shared" si="3"/>
        <v>500745</v>
      </c>
      <c r="L30" s="109">
        <v>500745</v>
      </c>
      <c r="M30" s="110">
        <v>500745</v>
      </c>
      <c r="N30" s="128"/>
    </row>
    <row r="31" spans="1:14" ht="12.75" customHeight="1" x14ac:dyDescent="0.25">
      <c r="A31" s="129" t="s">
        <v>501</v>
      </c>
      <c r="B31" s="73"/>
      <c r="C31" s="130">
        <v>58301438</v>
      </c>
      <c r="D31" s="109"/>
      <c r="E31" s="109"/>
      <c r="F31" s="109"/>
      <c r="G31" s="109"/>
      <c r="H31" s="109"/>
      <c r="I31" s="109"/>
      <c r="J31" s="75">
        <f t="shared" si="2"/>
        <v>0</v>
      </c>
      <c r="K31" s="75">
        <f t="shared" si="3"/>
        <v>58301438</v>
      </c>
      <c r="L31" s="109">
        <v>63301472</v>
      </c>
      <c r="M31" s="110">
        <v>71301472</v>
      </c>
      <c r="N31" s="128"/>
    </row>
    <row r="32" spans="1:14" ht="12.75" customHeight="1" x14ac:dyDescent="0.25">
      <c r="A32" s="129" t="s">
        <v>502</v>
      </c>
      <c r="B32" s="73"/>
      <c r="C32" s="130">
        <v>86269</v>
      </c>
      <c r="D32" s="109"/>
      <c r="E32" s="109"/>
      <c r="F32" s="109"/>
      <c r="G32" s="109"/>
      <c r="H32" s="109"/>
      <c r="I32" s="109"/>
      <c r="J32" s="75">
        <f t="shared" si="2"/>
        <v>0</v>
      </c>
      <c r="K32" s="75">
        <f t="shared" si="3"/>
        <v>86269</v>
      </c>
      <c r="L32" s="109">
        <v>86269</v>
      </c>
      <c r="M32" s="110">
        <v>86269</v>
      </c>
      <c r="N32" s="128"/>
    </row>
    <row r="33" spans="1:14" ht="12.75" customHeight="1" x14ac:dyDescent="0.25">
      <c r="A33" s="129" t="s">
        <v>503</v>
      </c>
      <c r="B33" s="73"/>
      <c r="C33" s="130">
        <v>90865</v>
      </c>
      <c r="D33" s="109"/>
      <c r="E33" s="109"/>
      <c r="F33" s="109"/>
      <c r="G33" s="109"/>
      <c r="H33" s="109"/>
      <c r="I33" s="109"/>
      <c r="J33" s="75">
        <f t="shared" si="2"/>
        <v>0</v>
      </c>
      <c r="K33" s="75">
        <f t="shared" si="3"/>
        <v>90865</v>
      </c>
      <c r="L33" s="109">
        <v>90865</v>
      </c>
      <c r="M33" s="110">
        <v>90865</v>
      </c>
      <c r="N33" s="128"/>
    </row>
    <row r="34" spans="1:14" ht="12.75" customHeight="1" x14ac:dyDescent="0.25">
      <c r="A34" s="129" t="s">
        <v>504</v>
      </c>
      <c r="B34" s="73"/>
      <c r="C34" s="130">
        <v>578180</v>
      </c>
      <c r="D34" s="109"/>
      <c r="E34" s="109"/>
      <c r="F34" s="109"/>
      <c r="G34" s="109"/>
      <c r="H34" s="109"/>
      <c r="I34" s="109"/>
      <c r="J34" s="75">
        <f t="shared" si="2"/>
        <v>0</v>
      </c>
      <c r="K34" s="75">
        <f t="shared" si="3"/>
        <v>578180</v>
      </c>
      <c r="L34" s="109">
        <v>578180</v>
      </c>
      <c r="M34" s="110">
        <v>578180</v>
      </c>
      <c r="N34" s="128"/>
    </row>
    <row r="35" spans="1:14" ht="12.75" customHeight="1" x14ac:dyDescent="0.25">
      <c r="A35" s="129" t="s">
        <v>505</v>
      </c>
      <c r="B35" s="73"/>
      <c r="C35" s="130">
        <v>0</v>
      </c>
      <c r="D35" s="109"/>
      <c r="E35" s="109"/>
      <c r="F35" s="109"/>
      <c r="G35" s="109"/>
      <c r="H35" s="109"/>
      <c r="I35" s="109"/>
      <c r="J35" s="75">
        <f t="shared" si="2"/>
        <v>0</v>
      </c>
      <c r="K35" s="75">
        <f t="shared" si="3"/>
        <v>0</v>
      </c>
      <c r="L35" s="109">
        <v>0</v>
      </c>
      <c r="M35" s="110">
        <v>0</v>
      </c>
      <c r="N35" s="128"/>
    </row>
    <row r="36" spans="1:14" ht="12.75" customHeight="1" x14ac:dyDescent="0.25">
      <c r="A36" s="129" t="s">
        <v>506</v>
      </c>
      <c r="B36" s="73"/>
      <c r="C36" s="130">
        <v>2756934</v>
      </c>
      <c r="D36" s="109"/>
      <c r="E36" s="109"/>
      <c r="F36" s="109"/>
      <c r="G36" s="109"/>
      <c r="H36" s="109"/>
      <c r="I36" s="109"/>
      <c r="J36" s="75">
        <f t="shared" si="2"/>
        <v>0</v>
      </c>
      <c r="K36" s="75">
        <f t="shared" si="3"/>
        <v>2756934</v>
      </c>
      <c r="L36" s="109">
        <v>2756934</v>
      </c>
      <c r="M36" s="110">
        <v>2756934</v>
      </c>
      <c r="N36" s="128"/>
    </row>
    <row r="37" spans="1:14" ht="12.75" customHeight="1" x14ac:dyDescent="0.25">
      <c r="A37" s="129" t="s">
        <v>507</v>
      </c>
      <c r="B37" s="73"/>
      <c r="C37" s="130">
        <v>163618</v>
      </c>
      <c r="D37" s="109"/>
      <c r="E37" s="109"/>
      <c r="F37" s="109"/>
      <c r="G37" s="109"/>
      <c r="H37" s="109"/>
      <c r="I37" s="109"/>
      <c r="J37" s="75">
        <f t="shared" si="2"/>
        <v>0</v>
      </c>
      <c r="K37" s="75">
        <f t="shared" si="3"/>
        <v>163618</v>
      </c>
      <c r="L37" s="109">
        <v>163618</v>
      </c>
      <c r="M37" s="110">
        <v>163618</v>
      </c>
      <c r="N37" s="128"/>
    </row>
    <row r="38" spans="1:14" ht="12.75" customHeight="1" x14ac:dyDescent="0.25">
      <c r="A38" s="129" t="s">
        <v>508</v>
      </c>
      <c r="B38" s="73"/>
      <c r="C38" s="130">
        <v>0</v>
      </c>
      <c r="D38" s="109"/>
      <c r="E38" s="109"/>
      <c r="F38" s="109"/>
      <c r="G38" s="109"/>
      <c r="H38" s="109"/>
      <c r="I38" s="109"/>
      <c r="J38" s="75">
        <f t="shared" si="2"/>
        <v>0</v>
      </c>
      <c r="K38" s="75">
        <f t="shared" si="3"/>
        <v>0</v>
      </c>
      <c r="L38" s="109">
        <v>0</v>
      </c>
      <c r="M38" s="110">
        <v>0</v>
      </c>
      <c r="N38" s="128"/>
    </row>
    <row r="39" spans="1:14" ht="12.75" customHeight="1" x14ac:dyDescent="0.25">
      <c r="A39" s="129" t="s">
        <v>509</v>
      </c>
      <c r="B39" s="73"/>
      <c r="C39" s="130">
        <v>75888</v>
      </c>
      <c r="D39" s="109"/>
      <c r="E39" s="109"/>
      <c r="F39" s="109"/>
      <c r="G39" s="109"/>
      <c r="H39" s="109"/>
      <c r="I39" s="109"/>
      <c r="J39" s="75">
        <f t="shared" si="2"/>
        <v>0</v>
      </c>
      <c r="K39" s="75">
        <f t="shared" si="3"/>
        <v>75888</v>
      </c>
      <c r="L39" s="109">
        <v>75888</v>
      </c>
      <c r="M39" s="110">
        <v>75888</v>
      </c>
      <c r="N39" s="128"/>
    </row>
    <row r="40" spans="1:14" ht="12.75" customHeight="1" x14ac:dyDescent="0.25">
      <c r="A40" s="129" t="s">
        <v>510</v>
      </c>
      <c r="B40" s="73"/>
      <c r="C40" s="130">
        <v>135513</v>
      </c>
      <c r="D40" s="109"/>
      <c r="E40" s="109"/>
      <c r="F40" s="109"/>
      <c r="G40" s="109"/>
      <c r="H40" s="109"/>
      <c r="I40" s="109"/>
      <c r="J40" s="75">
        <f t="shared" si="2"/>
        <v>0</v>
      </c>
      <c r="K40" s="75">
        <f t="shared" si="3"/>
        <v>135513</v>
      </c>
      <c r="L40" s="109">
        <v>135513</v>
      </c>
      <c r="M40" s="110">
        <v>135513</v>
      </c>
      <c r="N40" s="128"/>
    </row>
    <row r="41" spans="1:14" ht="12.75" customHeight="1" x14ac:dyDescent="0.25">
      <c r="A41" s="129" t="s">
        <v>511</v>
      </c>
      <c r="B41" s="73"/>
      <c r="C41" s="130">
        <v>185030</v>
      </c>
      <c r="D41" s="109"/>
      <c r="E41" s="109"/>
      <c r="F41" s="109"/>
      <c r="G41" s="109"/>
      <c r="H41" s="109"/>
      <c r="I41" s="109"/>
      <c r="J41" s="75">
        <f t="shared" si="2"/>
        <v>0</v>
      </c>
      <c r="K41" s="75">
        <f t="shared" si="3"/>
        <v>185030</v>
      </c>
      <c r="L41" s="109">
        <v>185030</v>
      </c>
      <c r="M41" s="110">
        <v>185030</v>
      </c>
      <c r="N41" s="128"/>
    </row>
    <row r="42" spans="1:14" ht="12.75" customHeight="1" x14ac:dyDescent="0.25">
      <c r="A42" s="597" t="s">
        <v>512</v>
      </c>
      <c r="B42" s="73"/>
      <c r="C42" s="130">
        <v>0</v>
      </c>
      <c r="D42" s="109"/>
      <c r="E42" s="109"/>
      <c r="F42" s="109"/>
      <c r="G42" s="109"/>
      <c r="H42" s="109"/>
      <c r="I42" s="109"/>
      <c r="J42" s="75">
        <f>SUM(E42:I42)</f>
        <v>0</v>
      </c>
      <c r="K42" s="75">
        <f>IF(D42=0,C42+J42,D42+J42)</f>
        <v>0</v>
      </c>
      <c r="L42" s="109">
        <v>0</v>
      </c>
      <c r="M42" s="110">
        <v>0</v>
      </c>
      <c r="N42" s="128"/>
    </row>
    <row r="43" spans="1:14" ht="12.75" customHeight="1" x14ac:dyDescent="0.25">
      <c r="A43" s="129" t="s">
        <v>671</v>
      </c>
      <c r="B43" s="73"/>
      <c r="C43" s="130">
        <v>45248263</v>
      </c>
      <c r="D43" s="109"/>
      <c r="E43" s="109"/>
      <c r="F43" s="109"/>
      <c r="G43" s="109"/>
      <c r="H43" s="109"/>
      <c r="I43" s="109"/>
      <c r="J43" s="75">
        <f>SUM(E43:I43)</f>
        <v>0</v>
      </c>
      <c r="K43" s="75">
        <f>IF(D43=0,C43+J43,D43+J43)</f>
        <v>45248263</v>
      </c>
      <c r="L43" s="109">
        <v>46118266</v>
      </c>
      <c r="M43" s="110">
        <v>46872741</v>
      </c>
      <c r="N43" s="128"/>
    </row>
    <row r="44" spans="1:14" ht="5.0999999999999996" customHeight="1" x14ac:dyDescent="0.25">
      <c r="A44" s="136"/>
      <c r="B44" s="73"/>
      <c r="C44" s="74"/>
      <c r="D44" s="75"/>
      <c r="E44" s="75"/>
      <c r="F44" s="75"/>
      <c r="G44" s="75"/>
      <c r="H44" s="75"/>
      <c r="I44" s="75"/>
      <c r="J44" s="75"/>
      <c r="K44" s="75"/>
      <c r="L44" s="75"/>
      <c r="M44" s="76"/>
      <c r="N44" s="128"/>
    </row>
    <row r="45" spans="1:14" ht="12.75" customHeight="1" x14ac:dyDescent="0.25">
      <c r="A45" s="126" t="s">
        <v>830</v>
      </c>
      <c r="B45" s="73"/>
      <c r="C45" s="140">
        <f t="shared" ref="C45:M45" si="9">SUM(C46:C47)</f>
        <v>0</v>
      </c>
      <c r="D45" s="141">
        <f t="shared" si="9"/>
        <v>0</v>
      </c>
      <c r="E45" s="141">
        <f t="shared" si="9"/>
        <v>0</v>
      </c>
      <c r="F45" s="141">
        <f t="shared" si="9"/>
        <v>0</v>
      </c>
      <c r="G45" s="141">
        <f t="shared" si="9"/>
        <v>0</v>
      </c>
      <c r="H45" s="141">
        <f t="shared" si="9"/>
        <v>0</v>
      </c>
      <c r="I45" s="141">
        <f t="shared" si="9"/>
        <v>0</v>
      </c>
      <c r="J45" s="141">
        <f t="shared" si="9"/>
        <v>0</v>
      </c>
      <c r="K45" s="141">
        <f t="shared" si="9"/>
        <v>0</v>
      </c>
      <c r="L45" s="141">
        <f t="shared" si="9"/>
        <v>0</v>
      </c>
      <c r="M45" s="142">
        <f t="shared" si="9"/>
        <v>0</v>
      </c>
      <c r="N45" s="128"/>
    </row>
    <row r="46" spans="1:14" ht="12.75" customHeight="1" x14ac:dyDescent="0.25">
      <c r="A46" s="129" t="s">
        <v>513</v>
      </c>
      <c r="B46" s="73"/>
      <c r="C46" s="130"/>
      <c r="D46" s="109"/>
      <c r="E46" s="109"/>
      <c r="F46" s="109"/>
      <c r="G46" s="109"/>
      <c r="H46" s="109"/>
      <c r="I46" s="109"/>
      <c r="J46" s="75">
        <f>SUM(E46:I46)</f>
        <v>0</v>
      </c>
      <c r="K46" s="75">
        <f>IF(D46=0,C46+J46,D46+J46)</f>
        <v>0</v>
      </c>
      <c r="L46" s="109"/>
      <c r="M46" s="110"/>
      <c r="N46" s="128"/>
    </row>
    <row r="47" spans="1:14" ht="12.75" customHeight="1" x14ac:dyDescent="0.25">
      <c r="A47" s="599" t="s">
        <v>671</v>
      </c>
      <c r="B47" s="73"/>
      <c r="C47" s="130"/>
      <c r="D47" s="109"/>
      <c r="E47" s="109"/>
      <c r="F47" s="109"/>
      <c r="G47" s="109"/>
      <c r="H47" s="109"/>
      <c r="I47" s="109"/>
      <c r="J47" s="75">
        <f>SUM(E47:I47)</f>
        <v>0</v>
      </c>
      <c r="K47" s="75">
        <f>IF(D47=0,C47+J47,D47+J47)</f>
        <v>0</v>
      </c>
      <c r="L47" s="109"/>
      <c r="M47" s="110"/>
      <c r="N47" s="128"/>
    </row>
    <row r="48" spans="1:14" ht="5.0999999999999996" customHeight="1" x14ac:dyDescent="0.25">
      <c r="A48" s="136"/>
      <c r="B48" s="73"/>
      <c r="C48" s="127"/>
      <c r="D48" s="172"/>
      <c r="E48" s="172"/>
      <c r="F48" s="172"/>
      <c r="G48" s="172"/>
      <c r="H48" s="172"/>
      <c r="I48" s="172"/>
      <c r="J48" s="75"/>
      <c r="K48" s="75"/>
      <c r="L48" s="75"/>
      <c r="M48" s="76"/>
      <c r="N48" s="128"/>
    </row>
    <row r="49" spans="1:14" ht="12.75" customHeight="1" x14ac:dyDescent="0.25">
      <c r="A49" s="126" t="s">
        <v>831</v>
      </c>
      <c r="B49" s="73"/>
      <c r="C49" s="140">
        <f t="shared" ref="C49:M49" si="10">SUM(C50:C51)</f>
        <v>0</v>
      </c>
      <c r="D49" s="141">
        <f t="shared" si="10"/>
        <v>0</v>
      </c>
      <c r="E49" s="141">
        <f t="shared" si="10"/>
        <v>0</v>
      </c>
      <c r="F49" s="141">
        <f t="shared" si="10"/>
        <v>0</v>
      </c>
      <c r="G49" s="141">
        <f t="shared" si="10"/>
        <v>0</v>
      </c>
      <c r="H49" s="141">
        <f t="shared" si="10"/>
        <v>0</v>
      </c>
      <c r="I49" s="141">
        <f t="shared" si="10"/>
        <v>0</v>
      </c>
      <c r="J49" s="141">
        <f t="shared" si="10"/>
        <v>0</v>
      </c>
      <c r="K49" s="141">
        <f t="shared" si="10"/>
        <v>0</v>
      </c>
      <c r="L49" s="141">
        <f t="shared" si="10"/>
        <v>0</v>
      </c>
      <c r="M49" s="142">
        <f t="shared" si="10"/>
        <v>0</v>
      </c>
      <c r="N49" s="128"/>
    </row>
    <row r="50" spans="1:14" ht="12.75" customHeight="1" x14ac:dyDescent="0.25">
      <c r="A50" s="129" t="s">
        <v>514</v>
      </c>
      <c r="B50" s="73"/>
      <c r="C50" s="130"/>
      <c r="D50" s="109"/>
      <c r="E50" s="109"/>
      <c r="F50" s="109"/>
      <c r="G50" s="109"/>
      <c r="H50" s="109"/>
      <c r="I50" s="109"/>
      <c r="J50" s="75">
        <f>SUM(E50:I50)</f>
        <v>0</v>
      </c>
      <c r="K50" s="75">
        <f>IF(D50=0,C50+J50,D50+J50)</f>
        <v>0</v>
      </c>
      <c r="L50" s="109"/>
      <c r="M50" s="110"/>
      <c r="N50" s="128"/>
    </row>
    <row r="51" spans="1:14" ht="12.75" customHeight="1" x14ac:dyDescent="0.25">
      <c r="A51" s="129" t="s">
        <v>671</v>
      </c>
      <c r="B51" s="73"/>
      <c r="C51" s="130"/>
      <c r="D51" s="109"/>
      <c r="E51" s="109"/>
      <c r="F51" s="109"/>
      <c r="G51" s="109"/>
      <c r="H51" s="109"/>
      <c r="I51" s="109"/>
      <c r="J51" s="75">
        <f>SUM(E51:I51)</f>
        <v>0</v>
      </c>
      <c r="K51" s="75">
        <f>IF(D51=0,C51+J51,D51+J51)</f>
        <v>0</v>
      </c>
      <c r="L51" s="109"/>
      <c r="M51" s="110"/>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26" t="s">
        <v>832</v>
      </c>
      <c r="B53" s="73"/>
      <c r="C53" s="140">
        <f>SUM(C54:C65)</f>
        <v>0</v>
      </c>
      <c r="D53" s="141">
        <f t="shared" ref="D53:M53" si="11">SUM(D54:D65)</f>
        <v>0</v>
      </c>
      <c r="E53" s="141">
        <f t="shared" si="11"/>
        <v>0</v>
      </c>
      <c r="F53" s="141">
        <f t="shared" si="11"/>
        <v>0</v>
      </c>
      <c r="G53" s="141">
        <f t="shared" si="11"/>
        <v>0</v>
      </c>
      <c r="H53" s="141">
        <f t="shared" si="11"/>
        <v>0</v>
      </c>
      <c r="I53" s="141">
        <f t="shared" si="11"/>
        <v>0</v>
      </c>
      <c r="J53" s="141">
        <f>SUM(J54:J65)</f>
        <v>0</v>
      </c>
      <c r="K53" s="141">
        <f t="shared" si="11"/>
        <v>0</v>
      </c>
      <c r="L53" s="141">
        <f t="shared" si="11"/>
        <v>0</v>
      </c>
      <c r="M53" s="142">
        <f t="shared" si="11"/>
        <v>0</v>
      </c>
      <c r="N53" s="128"/>
    </row>
    <row r="54" spans="1:14" ht="12.75" customHeight="1" x14ac:dyDescent="0.25">
      <c r="A54" s="30" t="s">
        <v>516</v>
      </c>
      <c r="B54" s="73"/>
      <c r="C54" s="130"/>
      <c r="D54" s="109"/>
      <c r="E54" s="109"/>
      <c r="F54" s="109"/>
      <c r="G54" s="109"/>
      <c r="H54" s="109"/>
      <c r="I54" s="109"/>
      <c r="J54" s="75">
        <f>SUM(E54:I54)</f>
        <v>0</v>
      </c>
      <c r="K54" s="75">
        <f>IF(D54=0,C54+J54,D54+J54)</f>
        <v>0</v>
      </c>
      <c r="L54" s="109"/>
      <c r="M54" s="110"/>
      <c r="N54" s="128"/>
    </row>
    <row r="55" spans="1:14" ht="12.75" customHeight="1" x14ac:dyDescent="0.25">
      <c r="A55" s="599" t="s">
        <v>517</v>
      </c>
      <c r="B55" s="73">
        <v>18</v>
      </c>
      <c r="C55" s="131">
        <f>C81</f>
        <v>0</v>
      </c>
      <c r="D55" s="132">
        <f t="shared" ref="D55:I55" si="12">D81</f>
        <v>0</v>
      </c>
      <c r="E55" s="132">
        <f t="shared" si="12"/>
        <v>0</v>
      </c>
      <c r="F55" s="132">
        <f t="shared" si="12"/>
        <v>0</v>
      </c>
      <c r="G55" s="132">
        <f t="shared" si="12"/>
        <v>0</v>
      </c>
      <c r="H55" s="132">
        <f t="shared" si="12"/>
        <v>0</v>
      </c>
      <c r="I55" s="132">
        <f t="shared" si="12"/>
        <v>0</v>
      </c>
      <c r="J55" s="172">
        <f>SUM(E55:I55)</f>
        <v>0</v>
      </c>
      <c r="K55" s="172">
        <f>IF(D55=0,C55+J55,D55+J55)</f>
        <v>0</v>
      </c>
      <c r="L55" s="132">
        <f>L81</f>
        <v>0</v>
      </c>
      <c r="M55" s="133">
        <f>M81</f>
        <v>0</v>
      </c>
      <c r="N55" s="128"/>
    </row>
    <row r="56" spans="1:14" ht="12.75" customHeight="1" x14ac:dyDescent="0.25">
      <c r="A56" s="30" t="s">
        <v>518</v>
      </c>
      <c r="B56" s="137"/>
      <c r="C56" s="130"/>
      <c r="D56" s="109"/>
      <c r="E56" s="109"/>
      <c r="F56" s="109"/>
      <c r="G56" s="109"/>
      <c r="H56" s="109"/>
      <c r="I56" s="109"/>
      <c r="J56" s="75">
        <f t="shared" ref="J56:J65" si="13">SUM(E56:I56)</f>
        <v>0</v>
      </c>
      <c r="K56" s="75">
        <f t="shared" ref="K56:K65" si="14">IF(D56=0,C56+J56,D56+J56)</f>
        <v>0</v>
      </c>
      <c r="L56" s="109"/>
      <c r="M56" s="110"/>
      <c r="N56" s="128"/>
    </row>
    <row r="57" spans="1:14" ht="12.75" customHeight="1" x14ac:dyDescent="0.25">
      <c r="A57" s="30" t="s">
        <v>519</v>
      </c>
      <c r="B57" s="73"/>
      <c r="C57" s="130"/>
      <c r="D57" s="109"/>
      <c r="E57" s="109"/>
      <c r="F57" s="109"/>
      <c r="G57" s="109"/>
      <c r="H57" s="109"/>
      <c r="I57" s="109"/>
      <c r="J57" s="75">
        <f t="shared" si="13"/>
        <v>0</v>
      </c>
      <c r="K57" s="75">
        <f t="shared" si="14"/>
        <v>0</v>
      </c>
      <c r="L57" s="109"/>
      <c r="M57" s="110"/>
      <c r="N57" s="128"/>
    </row>
    <row r="58" spans="1:14" ht="12.75" customHeight="1" x14ac:dyDescent="0.25">
      <c r="A58" s="30" t="s">
        <v>520</v>
      </c>
      <c r="B58" s="73"/>
      <c r="C58" s="130"/>
      <c r="D58" s="109"/>
      <c r="E58" s="109"/>
      <c r="F58" s="109"/>
      <c r="G58" s="109"/>
      <c r="H58" s="109"/>
      <c r="I58" s="109"/>
      <c r="J58" s="75">
        <f t="shared" si="13"/>
        <v>0</v>
      </c>
      <c r="K58" s="75">
        <f t="shared" si="14"/>
        <v>0</v>
      </c>
      <c r="L58" s="109"/>
      <c r="M58" s="110"/>
      <c r="N58" s="128"/>
    </row>
    <row r="59" spans="1:14" ht="12.75" customHeight="1" x14ac:dyDescent="0.25">
      <c r="A59" s="30" t="s">
        <v>521</v>
      </c>
      <c r="B59" s="73"/>
      <c r="C59" s="130"/>
      <c r="D59" s="109"/>
      <c r="E59" s="109"/>
      <c r="F59" s="109"/>
      <c r="G59" s="109"/>
      <c r="H59" s="109"/>
      <c r="I59" s="109"/>
      <c r="J59" s="75">
        <f t="shared" si="13"/>
        <v>0</v>
      </c>
      <c r="K59" s="75">
        <f t="shared" si="14"/>
        <v>0</v>
      </c>
      <c r="L59" s="109"/>
      <c r="M59" s="110"/>
      <c r="N59" s="128"/>
    </row>
    <row r="60" spans="1:14" ht="12.75" customHeight="1" x14ac:dyDescent="0.25">
      <c r="A60" s="30" t="s">
        <v>522</v>
      </c>
      <c r="B60" s="73"/>
      <c r="C60" s="130"/>
      <c r="D60" s="109"/>
      <c r="E60" s="109"/>
      <c r="F60" s="109"/>
      <c r="G60" s="109"/>
      <c r="H60" s="109"/>
      <c r="I60" s="109"/>
      <c r="J60" s="75">
        <f t="shared" si="13"/>
        <v>0</v>
      </c>
      <c r="K60" s="75">
        <f t="shared" si="14"/>
        <v>0</v>
      </c>
      <c r="L60" s="109"/>
      <c r="M60" s="110"/>
      <c r="N60" s="128"/>
    </row>
    <row r="61" spans="1:14" ht="12.75" customHeight="1" x14ac:dyDescent="0.25">
      <c r="A61" s="30" t="s">
        <v>523</v>
      </c>
      <c r="B61" s="73"/>
      <c r="C61" s="130"/>
      <c r="D61" s="109"/>
      <c r="E61" s="109"/>
      <c r="F61" s="109"/>
      <c r="G61" s="109"/>
      <c r="H61" s="109"/>
      <c r="I61" s="109"/>
      <c r="J61" s="75">
        <f t="shared" si="13"/>
        <v>0</v>
      </c>
      <c r="K61" s="75">
        <f t="shared" si="14"/>
        <v>0</v>
      </c>
      <c r="L61" s="109"/>
      <c r="M61" s="110"/>
      <c r="N61" s="128"/>
    </row>
    <row r="62" spans="1:14" ht="12.75" customHeight="1" x14ac:dyDescent="0.25">
      <c r="A62" s="30" t="s">
        <v>524</v>
      </c>
      <c r="B62" s="73"/>
      <c r="C62" s="130"/>
      <c r="D62" s="109"/>
      <c r="E62" s="109"/>
      <c r="F62" s="109"/>
      <c r="G62" s="109"/>
      <c r="H62" s="109"/>
      <c r="I62" s="109"/>
      <c r="J62" s="75">
        <f t="shared" si="13"/>
        <v>0</v>
      </c>
      <c r="K62" s="75">
        <f t="shared" si="14"/>
        <v>0</v>
      </c>
      <c r="L62" s="109"/>
      <c r="M62" s="110"/>
      <c r="N62" s="128"/>
    </row>
    <row r="63" spans="1:14" ht="12.75" customHeight="1" x14ac:dyDescent="0.25">
      <c r="A63" s="30" t="s">
        <v>525</v>
      </c>
      <c r="B63" s="73"/>
      <c r="C63" s="130"/>
      <c r="D63" s="109"/>
      <c r="E63" s="109"/>
      <c r="F63" s="109"/>
      <c r="G63" s="109"/>
      <c r="H63" s="109"/>
      <c r="I63" s="109"/>
      <c r="J63" s="75">
        <f t="shared" si="13"/>
        <v>0</v>
      </c>
      <c r="K63" s="75">
        <f t="shared" si="14"/>
        <v>0</v>
      </c>
      <c r="L63" s="109"/>
      <c r="M63" s="110"/>
      <c r="N63" s="128"/>
    </row>
    <row r="64" spans="1:14" ht="12.75" customHeight="1" x14ac:dyDescent="0.25">
      <c r="A64" s="30" t="s">
        <v>526</v>
      </c>
      <c r="B64" s="73"/>
      <c r="C64" s="130"/>
      <c r="D64" s="109"/>
      <c r="E64" s="109"/>
      <c r="F64" s="109"/>
      <c r="G64" s="109"/>
      <c r="H64" s="109"/>
      <c r="I64" s="109"/>
      <c r="J64" s="75">
        <f t="shared" si="13"/>
        <v>0</v>
      </c>
      <c r="K64" s="75">
        <f t="shared" si="14"/>
        <v>0</v>
      </c>
      <c r="L64" s="109"/>
      <c r="M64" s="110"/>
      <c r="N64" s="128"/>
    </row>
    <row r="65" spans="1:14" ht="12.75" customHeight="1" x14ac:dyDescent="0.25">
      <c r="A65" s="129" t="s">
        <v>671</v>
      </c>
      <c r="B65" s="73"/>
      <c r="C65" s="130"/>
      <c r="D65" s="109"/>
      <c r="E65" s="109"/>
      <c r="F65" s="109"/>
      <c r="G65" s="109"/>
      <c r="H65" s="109"/>
      <c r="I65" s="109"/>
      <c r="J65" s="75">
        <f t="shared" si="13"/>
        <v>0</v>
      </c>
      <c r="K65" s="75">
        <f t="shared" si="14"/>
        <v>0</v>
      </c>
      <c r="L65" s="109"/>
      <c r="M65" s="110"/>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1342</v>
      </c>
      <c r="B67" s="73"/>
      <c r="C67" s="140">
        <f t="shared" ref="C67:M67" si="15">SUM(C68:C69)</f>
        <v>0</v>
      </c>
      <c r="D67" s="141">
        <f t="shared" si="15"/>
        <v>0</v>
      </c>
      <c r="E67" s="141">
        <f t="shared" si="15"/>
        <v>0</v>
      </c>
      <c r="F67" s="141">
        <f t="shared" si="15"/>
        <v>0</v>
      </c>
      <c r="G67" s="141">
        <f t="shared" si="15"/>
        <v>0</v>
      </c>
      <c r="H67" s="141">
        <f t="shared" si="15"/>
        <v>0</v>
      </c>
      <c r="I67" s="141">
        <f t="shared" si="15"/>
        <v>0</v>
      </c>
      <c r="J67" s="141">
        <f>SUM(J68:J69)</f>
        <v>0</v>
      </c>
      <c r="K67" s="141">
        <f t="shared" si="15"/>
        <v>0</v>
      </c>
      <c r="L67" s="141">
        <f t="shared" si="15"/>
        <v>0</v>
      </c>
      <c r="M67" s="142">
        <f t="shared" si="15"/>
        <v>0</v>
      </c>
      <c r="N67" s="128"/>
    </row>
    <row r="68" spans="1:14" ht="12.75" customHeight="1" x14ac:dyDescent="0.25">
      <c r="A68" s="828"/>
      <c r="B68" s="73"/>
      <c r="C68" s="130"/>
      <c r="D68" s="109"/>
      <c r="E68" s="109"/>
      <c r="F68" s="109"/>
      <c r="G68" s="109"/>
      <c r="H68" s="109"/>
      <c r="I68" s="109"/>
      <c r="J68" s="75">
        <f>SUM(E68:I68)</f>
        <v>0</v>
      </c>
      <c r="K68" s="75">
        <f>IF(D68=0,C68+J68,D68+J68)</f>
        <v>0</v>
      </c>
      <c r="L68" s="109"/>
      <c r="M68" s="110"/>
      <c r="N68" s="128"/>
    </row>
    <row r="69" spans="1:14" ht="12.75" customHeight="1" x14ac:dyDescent="0.25">
      <c r="A69" s="295" t="s">
        <v>529</v>
      </c>
      <c r="B69" s="73"/>
      <c r="C69" s="130"/>
      <c r="D69" s="109"/>
      <c r="E69" s="109"/>
      <c r="F69" s="109"/>
      <c r="G69" s="109"/>
      <c r="H69" s="109"/>
      <c r="I69" s="109"/>
      <c r="J69" s="75">
        <f>SUM(E69:I69)</f>
        <v>0</v>
      </c>
      <c r="K69" s="75">
        <f>IF(D69=0,C69+J69,D69+J69)</f>
        <v>0</v>
      </c>
      <c r="L69" s="109"/>
      <c r="M69" s="110"/>
      <c r="N69" s="128"/>
    </row>
    <row r="70" spans="1:14" ht="5.0999999999999996" customHeight="1" x14ac:dyDescent="0.25">
      <c r="A70" s="136"/>
      <c r="B70" s="73"/>
      <c r="C70" s="74"/>
      <c r="D70" s="75"/>
      <c r="E70" s="75"/>
      <c r="F70" s="75"/>
      <c r="G70" s="75"/>
      <c r="H70" s="75"/>
      <c r="I70" s="75"/>
      <c r="J70" s="75"/>
      <c r="K70" s="75"/>
      <c r="L70" s="75"/>
      <c r="M70" s="76"/>
      <c r="N70" s="128"/>
    </row>
    <row r="71" spans="1:14" ht="12.75" customHeight="1" x14ac:dyDescent="0.25">
      <c r="A71" s="126" t="s">
        <v>834</v>
      </c>
      <c r="B71" s="73"/>
      <c r="C71" s="140">
        <f t="shared" ref="C71:M71" si="16">SUM(C72:C73)</f>
        <v>0</v>
      </c>
      <c r="D71" s="141">
        <f t="shared" si="16"/>
        <v>0</v>
      </c>
      <c r="E71" s="141">
        <f t="shared" si="16"/>
        <v>0</v>
      </c>
      <c r="F71" s="141">
        <f t="shared" si="16"/>
        <v>0</v>
      </c>
      <c r="G71" s="141">
        <f t="shared" si="16"/>
        <v>0</v>
      </c>
      <c r="H71" s="141">
        <f t="shared" si="16"/>
        <v>0</v>
      </c>
      <c r="I71" s="141">
        <f t="shared" si="16"/>
        <v>0</v>
      </c>
      <c r="J71" s="141">
        <f t="shared" si="16"/>
        <v>0</v>
      </c>
      <c r="K71" s="141">
        <f t="shared" si="16"/>
        <v>0</v>
      </c>
      <c r="L71" s="141">
        <f t="shared" si="16"/>
        <v>0</v>
      </c>
      <c r="M71" s="142">
        <f t="shared" si="16"/>
        <v>0</v>
      </c>
      <c r="N71" s="128"/>
    </row>
    <row r="72" spans="1:14" ht="12.75" customHeight="1" x14ac:dyDescent="0.25">
      <c r="A72" s="828"/>
      <c r="B72" s="73"/>
      <c r="C72" s="130"/>
      <c r="D72" s="109"/>
      <c r="E72" s="109"/>
      <c r="F72" s="109"/>
      <c r="G72" s="109"/>
      <c r="H72" s="109"/>
      <c r="I72" s="109"/>
      <c r="J72" s="75">
        <f>SUM(E72:I72)</f>
        <v>0</v>
      </c>
      <c r="K72" s="75">
        <f>IF(D72=0,C72+J72,D72+J72)</f>
        <v>0</v>
      </c>
      <c r="L72" s="109"/>
      <c r="M72" s="110"/>
      <c r="N72" s="128"/>
    </row>
    <row r="73" spans="1:14" ht="12.75" customHeight="1" x14ac:dyDescent="0.25">
      <c r="A73" s="295" t="s">
        <v>529</v>
      </c>
      <c r="B73" s="73"/>
      <c r="C73" s="130"/>
      <c r="D73" s="109"/>
      <c r="E73" s="109"/>
      <c r="F73" s="109"/>
      <c r="G73" s="109"/>
      <c r="H73" s="109"/>
      <c r="I73" s="109"/>
      <c r="J73" s="75">
        <f>SUM(E73:I73)</f>
        <v>0</v>
      </c>
      <c r="K73" s="75">
        <f>IF(D73=0,C73+J73,D73+J73)</f>
        <v>0</v>
      </c>
      <c r="L73" s="109"/>
      <c r="M73" s="110"/>
      <c r="N73" s="128"/>
    </row>
    <row r="74" spans="1:14" ht="5.0999999999999996" customHeight="1" x14ac:dyDescent="0.25">
      <c r="A74" s="136"/>
      <c r="B74" s="73"/>
      <c r="C74" s="74"/>
      <c r="D74" s="75"/>
      <c r="E74" s="75"/>
      <c r="F74" s="75"/>
      <c r="G74" s="75"/>
      <c r="H74" s="75"/>
      <c r="I74" s="75"/>
      <c r="J74" s="75"/>
      <c r="K74" s="75"/>
      <c r="L74" s="75"/>
      <c r="M74" s="76"/>
      <c r="N74" s="128"/>
    </row>
    <row r="75" spans="1:14" ht="12.75" customHeight="1" x14ac:dyDescent="0.25">
      <c r="A75" s="126" t="s">
        <v>833</v>
      </c>
      <c r="B75" s="73"/>
      <c r="C75" s="140">
        <f t="shared" ref="C75:M75" si="17">SUM(C76:C77)</f>
        <v>0</v>
      </c>
      <c r="D75" s="141">
        <f t="shared" si="17"/>
        <v>0</v>
      </c>
      <c r="E75" s="141">
        <f t="shared" si="17"/>
        <v>0</v>
      </c>
      <c r="F75" s="141">
        <f t="shared" si="17"/>
        <v>0</v>
      </c>
      <c r="G75" s="141">
        <f t="shared" si="17"/>
        <v>0</v>
      </c>
      <c r="H75" s="141">
        <f t="shared" si="17"/>
        <v>0</v>
      </c>
      <c r="I75" s="141">
        <f t="shared" si="17"/>
        <v>0</v>
      </c>
      <c r="J75" s="141">
        <f>SUM(J76:J77)</f>
        <v>0</v>
      </c>
      <c r="K75" s="141">
        <f t="shared" si="17"/>
        <v>0</v>
      </c>
      <c r="L75" s="141">
        <f t="shared" si="17"/>
        <v>0</v>
      </c>
      <c r="M75" s="142">
        <f t="shared" si="17"/>
        <v>0</v>
      </c>
      <c r="N75" s="128"/>
    </row>
    <row r="76" spans="1:14" ht="12.75" customHeight="1" x14ac:dyDescent="0.25">
      <c r="A76" s="30" t="s">
        <v>527</v>
      </c>
      <c r="B76" s="73"/>
      <c r="C76" s="829"/>
      <c r="D76" s="830"/>
      <c r="E76" s="830"/>
      <c r="F76" s="830"/>
      <c r="G76" s="830"/>
      <c r="H76" s="830"/>
      <c r="I76" s="830"/>
      <c r="J76" s="141">
        <f>SUM(E76:I76)</f>
        <v>0</v>
      </c>
      <c r="K76" s="141">
        <f>IF(D76=0,C76+J76,D76+J76)</f>
        <v>0</v>
      </c>
      <c r="L76" s="830"/>
      <c r="M76" s="831"/>
      <c r="N76" s="128"/>
    </row>
    <row r="77" spans="1:14" ht="12.75" customHeight="1" x14ac:dyDescent="0.25">
      <c r="A77" s="486" t="s">
        <v>528</v>
      </c>
      <c r="B77" s="73"/>
      <c r="C77" s="130"/>
      <c r="D77" s="109"/>
      <c r="E77" s="109"/>
      <c r="F77" s="109"/>
      <c r="G77" s="109"/>
      <c r="H77" s="109"/>
      <c r="I77" s="109"/>
      <c r="J77" s="75">
        <f>SUM(E77:I77)</f>
        <v>0</v>
      </c>
      <c r="K77" s="75">
        <f>IF(D77=0,C77+J77,D77+J77)</f>
        <v>0</v>
      </c>
      <c r="L77" s="109"/>
      <c r="M77" s="110"/>
      <c r="N77" s="128"/>
    </row>
    <row r="78" spans="1:14" ht="5.0999999999999996" customHeight="1" x14ac:dyDescent="0.25">
      <c r="A78" s="136"/>
      <c r="B78" s="73"/>
      <c r="C78" s="74"/>
      <c r="D78" s="75"/>
      <c r="E78" s="75"/>
      <c r="F78" s="75"/>
      <c r="G78" s="75"/>
      <c r="H78" s="75"/>
      <c r="I78" s="75"/>
      <c r="J78" s="75"/>
      <c r="K78" s="75"/>
      <c r="L78" s="75"/>
      <c r="M78" s="76"/>
      <c r="N78" s="128"/>
    </row>
    <row r="79" spans="1:14" ht="25.5" customHeight="1" x14ac:dyDescent="0.25">
      <c r="A79" s="880" t="s">
        <v>1598</v>
      </c>
      <c r="B79" s="156">
        <v>1</v>
      </c>
      <c r="C79" s="877">
        <f t="shared" ref="C79:I79" si="18">C8+C29+C45+C49+C53+C75+C67+C71</f>
        <v>205000000</v>
      </c>
      <c r="D79" s="878">
        <f t="shared" si="18"/>
        <v>0</v>
      </c>
      <c r="E79" s="878">
        <f t="shared" si="18"/>
        <v>0</v>
      </c>
      <c r="F79" s="878">
        <f t="shared" si="18"/>
        <v>0</v>
      </c>
      <c r="G79" s="878">
        <f t="shared" si="18"/>
        <v>0</v>
      </c>
      <c r="H79" s="878">
        <f t="shared" si="18"/>
        <v>0</v>
      </c>
      <c r="I79" s="878">
        <f t="shared" si="18"/>
        <v>0</v>
      </c>
      <c r="J79" s="878">
        <f>J8+J29+J45+J49+J53+J71+J75</f>
        <v>0</v>
      </c>
      <c r="K79" s="878">
        <f>K8+K29+K45+K49+K53+K71+K75</f>
        <v>205000000</v>
      </c>
      <c r="L79" s="878">
        <f>L8+L29+L45+L49+L53+L75+L67+L71</f>
        <v>218325000</v>
      </c>
      <c r="M79" s="879">
        <f>M8+M29+M45+M49+M53+M75+M67+M71</f>
        <v>232079475</v>
      </c>
      <c r="N79" s="128"/>
    </row>
    <row r="80" spans="1:14" ht="12.75" customHeight="1" x14ac:dyDescent="0.25">
      <c r="A80" s="509"/>
      <c r="B80" s="121"/>
      <c r="C80" s="510"/>
      <c r="D80" s="510"/>
      <c r="E80" s="510"/>
      <c r="F80" s="510"/>
      <c r="G80" s="510"/>
      <c r="H80" s="510"/>
      <c r="I80" s="510"/>
      <c r="J80" s="510"/>
      <c r="K80" s="510"/>
      <c r="L80" s="510"/>
      <c r="M80" s="510"/>
      <c r="N80" s="128"/>
    </row>
    <row r="81" spans="1:14" ht="12.75" customHeight="1" x14ac:dyDescent="0.25">
      <c r="A81" s="869" t="s">
        <v>517</v>
      </c>
      <c r="B81" s="312">
        <v>18</v>
      </c>
      <c r="C81" s="870">
        <f t="shared" ref="C81:I81" si="19">SUM(C82:C85)</f>
        <v>0</v>
      </c>
      <c r="D81" s="871">
        <f t="shared" si="19"/>
        <v>0</v>
      </c>
      <c r="E81" s="871">
        <f t="shared" si="19"/>
        <v>0</v>
      </c>
      <c r="F81" s="871">
        <f t="shared" si="19"/>
        <v>0</v>
      </c>
      <c r="G81" s="871">
        <f t="shared" si="19"/>
        <v>0</v>
      </c>
      <c r="H81" s="871">
        <f t="shared" si="19"/>
        <v>0</v>
      </c>
      <c r="I81" s="871">
        <f t="shared" si="19"/>
        <v>0</v>
      </c>
      <c r="J81" s="871">
        <f>SUM(E81:I81)</f>
        <v>0</v>
      </c>
      <c r="K81" s="871">
        <f>IF(D81=0,C81+J81,D81+J81)</f>
        <v>0</v>
      </c>
      <c r="L81" s="871">
        <f>SUM(L82:L85)</f>
        <v>0</v>
      </c>
      <c r="M81" s="872">
        <f>SUM(M82:M85)</f>
        <v>0</v>
      </c>
      <c r="N81" s="128"/>
    </row>
    <row r="82" spans="1:14" ht="12.75" customHeight="1" x14ac:dyDescent="0.25">
      <c r="A82" s="129" t="s">
        <v>1233</v>
      </c>
      <c r="B82" s="73"/>
      <c r="C82" s="391"/>
      <c r="D82" s="109"/>
      <c r="E82" s="109"/>
      <c r="F82" s="109"/>
      <c r="G82" s="109"/>
      <c r="H82" s="109"/>
      <c r="I82" s="109"/>
      <c r="J82" s="141">
        <f>SUM(E82:I82)</f>
        <v>0</v>
      </c>
      <c r="K82" s="141">
        <f>IF(D82=0,C82+J82,D82+J82)</f>
        <v>0</v>
      </c>
      <c r="L82" s="109"/>
      <c r="M82" s="110"/>
      <c r="N82" s="128"/>
    </row>
    <row r="83" spans="1:14" ht="12.75" customHeight="1" x14ac:dyDescent="0.25">
      <c r="A83" s="129" t="s">
        <v>1121</v>
      </c>
      <c r="B83" s="73"/>
      <c r="C83" s="391"/>
      <c r="D83" s="109"/>
      <c r="E83" s="109"/>
      <c r="F83" s="109"/>
      <c r="G83" s="109"/>
      <c r="H83" s="109"/>
      <c r="I83" s="109"/>
      <c r="J83" s="141">
        <f>SUM(E83:I83)</f>
        <v>0</v>
      </c>
      <c r="K83" s="141">
        <f>IF(D83=0,C83+J83,D83+J83)</f>
        <v>0</v>
      </c>
      <c r="L83" s="109"/>
      <c r="M83" s="110"/>
      <c r="N83" s="128"/>
    </row>
    <row r="84" spans="1:14" ht="12.75" customHeight="1" x14ac:dyDescent="0.25">
      <c r="A84" s="129" t="s">
        <v>577</v>
      </c>
      <c r="B84" s="73"/>
      <c r="C84" s="391"/>
      <c r="D84" s="109"/>
      <c r="E84" s="109"/>
      <c r="F84" s="109"/>
      <c r="G84" s="109"/>
      <c r="H84" s="109"/>
      <c r="I84" s="109"/>
      <c r="J84" s="141">
        <f>SUM(E84:I84)</f>
        <v>0</v>
      </c>
      <c r="K84" s="141">
        <f>IF(D84=0,C84+J84,D84+J84)</f>
        <v>0</v>
      </c>
      <c r="L84" s="109"/>
      <c r="M84" s="110"/>
      <c r="N84" s="128"/>
    </row>
    <row r="85" spans="1:14" ht="12.75" customHeight="1" x14ac:dyDescent="0.25">
      <c r="A85" s="176" t="s">
        <v>578</v>
      </c>
      <c r="B85" s="88"/>
      <c r="C85" s="317"/>
      <c r="D85" s="318"/>
      <c r="E85" s="318"/>
      <c r="F85" s="318"/>
      <c r="G85" s="318"/>
      <c r="H85" s="318"/>
      <c r="I85" s="318"/>
      <c r="J85" s="90">
        <f>SUM(E85:I85)</f>
        <v>0</v>
      </c>
      <c r="K85" s="90">
        <f>IF(D85=0,C85+J85,D85+J85)</f>
        <v>0</v>
      </c>
      <c r="L85" s="318"/>
      <c r="M85" s="319"/>
      <c r="N85" s="128"/>
    </row>
    <row r="86" spans="1:14" ht="12.75" customHeight="1" x14ac:dyDescent="0.25">
      <c r="A86" s="601" t="str">
        <f>head27a</f>
        <v>References</v>
      </c>
      <c r="B86" s="121"/>
      <c r="C86" s="53"/>
      <c r="D86" s="53"/>
      <c r="E86" s="53"/>
      <c r="F86" s="53"/>
      <c r="G86" s="53"/>
      <c r="H86" s="53"/>
      <c r="I86" s="53"/>
      <c r="J86" s="53"/>
      <c r="K86" s="53"/>
      <c r="L86" s="53"/>
      <c r="M86" s="53"/>
      <c r="N86" s="128"/>
    </row>
    <row r="87" spans="1:14" ht="12.75" customHeight="1" x14ac:dyDescent="0.25">
      <c r="A87" s="875" t="s">
        <v>1352</v>
      </c>
      <c r="B87" s="768"/>
      <c r="C87" s="771"/>
      <c r="D87" s="771"/>
      <c r="E87" s="772"/>
      <c r="F87" s="772"/>
      <c r="G87" s="772"/>
      <c r="H87" s="772"/>
      <c r="I87" s="772"/>
      <c r="J87" s="53"/>
      <c r="K87" s="53"/>
      <c r="L87" s="53"/>
      <c r="M87" s="53"/>
      <c r="N87" s="128"/>
    </row>
    <row r="88" spans="1:14" ht="12.75" customHeight="1" x14ac:dyDescent="0.25">
      <c r="A88" s="99" t="s">
        <v>530</v>
      </c>
      <c r="B88" s="93"/>
      <c r="C88" s="96"/>
      <c r="D88" s="96"/>
      <c r="E88" s="96"/>
      <c r="F88" s="96"/>
      <c r="G88" s="96"/>
      <c r="H88" s="96"/>
      <c r="I88" s="96"/>
      <c r="J88" s="96"/>
      <c r="K88" s="96"/>
      <c r="L88" s="96"/>
      <c r="M88" s="96"/>
      <c r="N88" s="128"/>
    </row>
    <row r="89" spans="1:14" ht="12.75" customHeight="1" x14ac:dyDescent="0.25">
      <c r="A89" s="99" t="s">
        <v>531</v>
      </c>
      <c r="B89" s="93"/>
      <c r="C89" s="96"/>
      <c r="D89" s="96"/>
      <c r="E89" s="96"/>
      <c r="F89" s="96"/>
      <c r="G89" s="96"/>
      <c r="H89" s="96"/>
      <c r="I89" s="96"/>
      <c r="J89" s="96"/>
      <c r="K89" s="96"/>
      <c r="L89" s="96"/>
      <c r="M89" s="96"/>
      <c r="N89" s="128"/>
    </row>
    <row r="90" spans="1:14" ht="12.75" customHeight="1" x14ac:dyDescent="0.25">
      <c r="A90" s="159" t="s">
        <v>532</v>
      </c>
      <c r="B90" s="160"/>
      <c r="C90" s="94"/>
      <c r="D90" s="94"/>
      <c r="E90" s="94"/>
      <c r="F90" s="94"/>
      <c r="G90" s="94"/>
      <c r="H90" s="94"/>
      <c r="I90" s="94"/>
      <c r="J90" s="94"/>
      <c r="K90" s="94"/>
      <c r="L90" s="94"/>
      <c r="M90" s="94"/>
      <c r="N90" s="128"/>
    </row>
    <row r="91" spans="1:14" ht="12.75" customHeight="1" x14ac:dyDescent="0.25">
      <c r="A91" s="159" t="s">
        <v>533</v>
      </c>
      <c r="B91" s="160"/>
      <c r="C91" s="94"/>
      <c r="D91" s="94"/>
      <c r="E91" s="94"/>
      <c r="F91" s="94"/>
      <c r="G91" s="94"/>
      <c r="H91" s="94"/>
      <c r="I91" s="94"/>
      <c r="J91" s="94"/>
      <c r="K91" s="94"/>
      <c r="L91" s="94"/>
      <c r="M91" s="94"/>
      <c r="N91" s="128"/>
    </row>
    <row r="92" spans="1:14" ht="12.75" customHeight="1" x14ac:dyDescent="0.25">
      <c r="A92" s="159" t="s">
        <v>534</v>
      </c>
      <c r="B92" s="160"/>
      <c r="C92" s="94"/>
      <c r="D92" s="94"/>
      <c r="E92" s="94"/>
      <c r="F92" s="94"/>
      <c r="G92" s="94"/>
      <c r="H92" s="94"/>
      <c r="I92" s="94"/>
      <c r="J92" s="94"/>
      <c r="K92" s="94"/>
      <c r="L92" s="94"/>
      <c r="M92" s="94"/>
      <c r="N92" s="128"/>
    </row>
    <row r="93" spans="1:14" ht="12.75" customHeight="1" x14ac:dyDescent="0.25">
      <c r="A93" s="1320" t="s">
        <v>1097</v>
      </c>
      <c r="B93" s="1320"/>
      <c r="C93" s="1320"/>
      <c r="D93" s="1320"/>
      <c r="E93" s="1320"/>
      <c r="F93" s="1320"/>
      <c r="G93" s="1320"/>
      <c r="H93" s="1320"/>
      <c r="I93" s="1320"/>
      <c r="J93" s="1320"/>
      <c r="K93" s="1320"/>
      <c r="L93" s="1320"/>
      <c r="M93" s="1320"/>
      <c r="N93" s="128"/>
    </row>
    <row r="94" spans="1:14" ht="12.75" customHeight="1" x14ac:dyDescent="0.25">
      <c r="A94" s="1320" t="s">
        <v>1103</v>
      </c>
      <c r="B94" s="1320"/>
      <c r="C94" s="1320"/>
      <c r="D94" s="1320"/>
      <c r="E94" s="1320"/>
      <c r="F94" s="1320"/>
      <c r="G94" s="1320"/>
      <c r="H94" s="1320"/>
      <c r="I94" s="1320"/>
      <c r="J94" s="1320"/>
      <c r="K94" s="845"/>
      <c r="L94" s="845"/>
      <c r="M94" s="845"/>
      <c r="N94" s="128"/>
    </row>
    <row r="95" spans="1:14" ht="12.75" customHeight="1" x14ac:dyDescent="0.25">
      <c r="A95" s="1320" t="s">
        <v>1104</v>
      </c>
      <c r="B95" s="1320"/>
      <c r="C95" s="1320"/>
      <c r="D95" s="1320"/>
      <c r="E95" s="1320"/>
      <c r="F95" s="1320"/>
      <c r="G95" s="1320"/>
      <c r="H95" s="1320"/>
      <c r="I95" s="1320"/>
      <c r="J95" s="1320"/>
      <c r="K95" s="845"/>
      <c r="L95" s="845"/>
      <c r="M95" s="845"/>
      <c r="N95" s="128"/>
    </row>
    <row r="96" spans="1:14" ht="12.75" customHeight="1" x14ac:dyDescent="0.25">
      <c r="A96" s="1320" t="s">
        <v>1152</v>
      </c>
      <c r="B96" s="1320"/>
      <c r="C96" s="1320"/>
      <c r="D96" s="1320"/>
      <c r="E96" s="1320"/>
      <c r="F96" s="1320"/>
      <c r="G96" s="1320"/>
      <c r="H96" s="1320"/>
      <c r="I96" s="1320"/>
      <c r="J96" s="1320"/>
      <c r="K96" s="1320"/>
      <c r="L96" s="1320"/>
      <c r="M96" s="1320"/>
      <c r="N96" s="128"/>
    </row>
    <row r="97" spans="1:14" ht="12.75" customHeight="1" x14ac:dyDescent="0.25">
      <c r="A97" s="159" t="s">
        <v>1153</v>
      </c>
      <c r="B97" s="160"/>
      <c r="C97" s="94"/>
      <c r="D97" s="94"/>
      <c r="E97" s="94"/>
      <c r="F97" s="94"/>
      <c r="G97" s="94"/>
      <c r="H97" s="94"/>
      <c r="I97" s="94"/>
      <c r="J97" s="94"/>
      <c r="K97" s="94"/>
      <c r="L97" s="94"/>
      <c r="M97" s="94"/>
      <c r="N97" s="128"/>
    </row>
    <row r="98" spans="1:14" ht="12.75" customHeight="1" x14ac:dyDescent="0.25">
      <c r="A98" s="1320" t="s">
        <v>1154</v>
      </c>
      <c r="B98" s="1320"/>
      <c r="C98" s="1320"/>
      <c r="D98" s="1320"/>
      <c r="E98" s="1320"/>
      <c r="F98" s="1320"/>
      <c r="G98" s="1320"/>
      <c r="H98" s="1320"/>
      <c r="I98" s="1320"/>
      <c r="J98" s="1320"/>
      <c r="K98" s="1320"/>
      <c r="L98" s="1320"/>
      <c r="M98" s="1320"/>
      <c r="N98" s="128"/>
    </row>
    <row r="99" spans="1:14" ht="12.75" customHeight="1" x14ac:dyDescent="0.25">
      <c r="A99" s="159" t="s">
        <v>1155</v>
      </c>
      <c r="B99" s="160"/>
      <c r="C99" s="94"/>
      <c r="D99" s="94"/>
      <c r="E99" s="94"/>
      <c r="F99" s="94"/>
      <c r="G99" s="94"/>
      <c r="H99" s="94"/>
      <c r="I99" s="94"/>
      <c r="J99" s="94"/>
      <c r="K99" s="94"/>
      <c r="L99" s="94"/>
      <c r="M99" s="94"/>
      <c r="N99" s="128"/>
    </row>
    <row r="100" spans="1:14" ht="12.75" customHeight="1" x14ac:dyDescent="0.25">
      <c r="A100" s="1320" t="s">
        <v>1156</v>
      </c>
      <c r="B100" s="1320"/>
      <c r="C100" s="1320"/>
      <c r="D100" s="1320"/>
      <c r="E100" s="1320"/>
      <c r="F100" s="1320"/>
      <c r="G100" s="1320"/>
      <c r="H100" s="1320"/>
      <c r="I100" s="1320"/>
      <c r="J100" s="1320"/>
      <c r="K100" s="1320"/>
      <c r="L100" s="1320"/>
      <c r="M100" s="1320"/>
      <c r="N100" s="128"/>
    </row>
    <row r="101" spans="1:14" ht="12.75" customHeight="1" x14ac:dyDescent="0.25">
      <c r="A101" s="846" t="s">
        <v>1444</v>
      </c>
      <c r="B101" s="800"/>
      <c r="C101" s="800"/>
      <c r="D101" s="800"/>
      <c r="E101" s="800"/>
      <c r="F101" s="800"/>
      <c r="G101" s="800"/>
      <c r="H101" s="800"/>
      <c r="I101" s="800"/>
      <c r="J101" s="800"/>
      <c r="K101" s="800"/>
      <c r="L101" s="800"/>
      <c r="M101" s="800"/>
      <c r="N101" s="128"/>
    </row>
    <row r="102" spans="1:14" ht="12.75" customHeight="1" x14ac:dyDescent="0.25">
      <c r="A102" s="846" t="s">
        <v>1441</v>
      </c>
      <c r="B102" s="800"/>
      <c r="C102" s="800"/>
      <c r="D102" s="800"/>
      <c r="E102" s="800"/>
      <c r="F102" s="800"/>
      <c r="G102" s="800"/>
      <c r="H102" s="800"/>
      <c r="I102" s="800"/>
      <c r="J102" s="800"/>
      <c r="K102" s="800"/>
      <c r="L102" s="800"/>
      <c r="M102" s="800"/>
      <c r="N102" s="128"/>
    </row>
    <row r="103" spans="1:14" ht="12.75" customHeight="1" x14ac:dyDescent="0.25">
      <c r="A103" s="846" t="s">
        <v>1442</v>
      </c>
      <c r="B103" s="800"/>
      <c r="C103" s="800"/>
      <c r="D103" s="800"/>
      <c r="E103" s="800"/>
      <c r="F103" s="800"/>
      <c r="G103" s="800"/>
      <c r="H103" s="800"/>
      <c r="I103" s="800"/>
      <c r="J103" s="800"/>
      <c r="K103" s="800"/>
      <c r="L103" s="800"/>
      <c r="M103" s="800"/>
      <c r="N103" s="128"/>
    </row>
    <row r="104" spans="1:14" ht="12.75" customHeight="1" x14ac:dyDescent="0.25">
      <c r="A104" s="846" t="s">
        <v>1446</v>
      </c>
      <c r="B104" s="800"/>
      <c r="C104" s="800"/>
      <c r="D104" s="800"/>
      <c r="E104" s="800"/>
      <c r="F104" s="800"/>
      <c r="G104" s="800"/>
      <c r="H104" s="800"/>
      <c r="I104" s="800"/>
      <c r="J104" s="800"/>
      <c r="K104" s="800"/>
      <c r="L104" s="800"/>
      <c r="M104" s="800"/>
      <c r="N104" s="128"/>
    </row>
    <row r="105" spans="1:14" ht="11.25" customHeight="1" x14ac:dyDescent="0.25">
      <c r="A105" s="347"/>
      <c r="B105" s="799"/>
      <c r="C105" s="554"/>
      <c r="D105" s="554"/>
      <c r="E105" s="554"/>
      <c r="F105" s="554"/>
      <c r="G105" s="554"/>
      <c r="H105" s="554"/>
      <c r="I105" s="554"/>
      <c r="J105" s="554"/>
      <c r="K105" s="554"/>
      <c r="L105" s="554"/>
      <c r="M105" s="554"/>
      <c r="N105" s="128"/>
    </row>
    <row r="106" spans="1:14" ht="11.25" customHeight="1" x14ac:dyDescent="0.25">
      <c r="A106" s="48"/>
      <c r="B106" s="121"/>
      <c r="C106" s="53"/>
      <c r="D106" s="53"/>
      <c r="E106" s="53"/>
      <c r="F106" s="53"/>
      <c r="G106" s="53"/>
      <c r="H106" s="53"/>
      <c r="I106" s="53"/>
      <c r="J106" s="53"/>
      <c r="K106" s="53"/>
      <c r="L106" s="53"/>
      <c r="M106" s="53"/>
      <c r="N106" s="128"/>
    </row>
    <row r="107" spans="1:14" ht="11.25" customHeight="1" x14ac:dyDescent="0.25">
      <c r="A107" s="801" t="s">
        <v>724</v>
      </c>
      <c r="B107" s="160"/>
      <c r="C107" s="802">
        <f>C79-'B4-FinPerf RE'!C30</f>
        <v>0</v>
      </c>
      <c r="D107" s="802"/>
      <c r="E107" s="802"/>
      <c r="F107" s="802"/>
      <c r="G107" s="802"/>
      <c r="H107" s="802"/>
      <c r="I107" s="802"/>
      <c r="J107" s="802"/>
      <c r="K107" s="802"/>
      <c r="L107" s="802"/>
      <c r="M107" s="802">
        <f>M79-'B4-FinPerf RE'!M30</f>
        <v>0</v>
      </c>
      <c r="N107" s="128"/>
    </row>
    <row r="108" spans="1:14" ht="11.25" customHeight="1" x14ac:dyDescent="0.25">
      <c r="N108" s="128"/>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96:M96"/>
    <mergeCell ref="A98:M98"/>
    <mergeCell ref="A100:M100"/>
    <mergeCell ref="A2:A4"/>
    <mergeCell ref="B2:B4"/>
    <mergeCell ref="C2:K2"/>
    <mergeCell ref="A93:M93"/>
    <mergeCell ref="A94:J94"/>
    <mergeCell ref="A95:J95"/>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N2175"/>
  <sheetViews>
    <sheetView showGridLines="0" zoomScaleNormal="100" workbookViewId="0">
      <pane xSplit="2" ySplit="4" topLeftCell="F135" activePane="bottomRight" state="frozen"/>
      <selection activeCell="C6" sqref="C6"/>
      <selection pane="topRight" activeCell="C6" sqref="C6"/>
      <selection pane="bottomLeft" activeCell="C6" sqref="C6"/>
      <selection pane="bottomRight" activeCell="K157" sqref="K157"/>
    </sheetView>
  </sheetViews>
  <sheetFormatPr defaultRowHeight="12.75" x14ac:dyDescent="0.25"/>
  <cols>
    <col min="1" max="1" width="26.42578125" style="5" customWidth="1"/>
    <col min="2" max="2" width="23.5703125" style="5" customWidth="1"/>
    <col min="3" max="3" width="6.5703125" style="5" customWidth="1"/>
    <col min="4" max="4" width="4.42578125" style="58" customWidth="1"/>
    <col min="5" max="5" width="13.7109375" style="58" customWidth="1"/>
    <col min="6" max="8" width="26.42578125" style="5" customWidth="1"/>
    <col min="9" max="14" width="9.28515625" style="5" customWidth="1"/>
    <col min="15" max="15" width="7.42578125" style="5" bestFit="1" customWidth="1"/>
    <col min="16" max="16" width="9.85546875" style="5" customWidth="1"/>
    <col min="17" max="17" width="9.5703125" style="5" customWidth="1"/>
    <col min="18" max="18" width="9.85546875" style="5" customWidth="1"/>
    <col min="19" max="21" width="9.5703125" style="5" customWidth="1"/>
    <col min="22" max="22" width="9.85546875" style="5" customWidth="1"/>
    <col min="23" max="25" width="9.5703125" style="5" customWidth="1"/>
    <col min="26" max="27" width="9.85546875" style="5" customWidth="1"/>
    <col min="28" max="16384" width="9.140625" style="5"/>
  </cols>
  <sheetData>
    <row r="1" spans="1:14" ht="13.5" customHeight="1" x14ac:dyDescent="0.25">
      <c r="A1" s="602" t="str">
        <f>muni&amp;" - "&amp;ADJB19&amp;" - "&amp;Date</f>
        <v>LIM354 Polokwane - Supporting Table SB19 List of capital programmes and projects affected by Adjustments Budget - 25 February 2016</v>
      </c>
      <c r="B1" s="602"/>
      <c r="C1" s="602"/>
      <c r="D1" s="603"/>
      <c r="E1" s="603"/>
      <c r="F1" s="602"/>
      <c r="G1" s="602"/>
      <c r="H1" s="602"/>
      <c r="I1" s="602"/>
      <c r="J1" s="602"/>
      <c r="K1" s="602"/>
      <c r="L1" s="602"/>
      <c r="M1" s="602"/>
      <c r="N1" s="602"/>
    </row>
    <row r="2" spans="1:14" ht="38.25" customHeight="1" x14ac:dyDescent="0.25">
      <c r="A2" s="1368" t="s">
        <v>535</v>
      </c>
      <c r="B2" s="1370" t="s">
        <v>536</v>
      </c>
      <c r="C2" s="1370" t="s">
        <v>537</v>
      </c>
      <c r="D2" s="1062" t="s">
        <v>1553</v>
      </c>
      <c r="E2" s="1041" t="s">
        <v>1549</v>
      </c>
      <c r="F2" s="1041" t="s">
        <v>1537</v>
      </c>
      <c r="G2" s="1064" t="s">
        <v>1560</v>
      </c>
      <c r="H2" s="1066" t="s">
        <v>1548</v>
      </c>
      <c r="I2" s="1315" t="str">
        <f>Head3a</f>
        <v>Medium Term Revenue and Expenditure Framework</v>
      </c>
      <c r="J2" s="1316"/>
      <c r="K2" s="1316"/>
      <c r="L2" s="1316"/>
      <c r="M2" s="1316"/>
      <c r="N2" s="1365"/>
    </row>
    <row r="3" spans="1:14" x14ac:dyDescent="0.25">
      <c r="A3" s="1369"/>
      <c r="B3" s="1371"/>
      <c r="C3" s="1371" t="s">
        <v>538</v>
      </c>
      <c r="D3" s="1063"/>
      <c r="F3" s="1063"/>
      <c r="G3" s="1065"/>
      <c r="H3" s="466"/>
      <c r="I3" s="1366" t="str">
        <f>Head9</f>
        <v>Budget Year 2015/16</v>
      </c>
      <c r="J3" s="1367"/>
      <c r="K3" s="1366" t="str">
        <f>Head10</f>
        <v>Budget Year +1 2016/17</v>
      </c>
      <c r="L3" s="1367"/>
      <c r="M3" s="1366" t="str">
        <f>Head11</f>
        <v>Budget Year +2 2017/18</v>
      </c>
      <c r="N3" s="1367"/>
    </row>
    <row r="4" spans="1:14" ht="25.5" x14ac:dyDescent="0.25">
      <c r="A4" s="18" t="s">
        <v>539</v>
      </c>
      <c r="B4" s="1372"/>
      <c r="C4" s="1372" t="s">
        <v>540</v>
      </c>
      <c r="D4" s="1042">
        <v>3</v>
      </c>
      <c r="E4" s="1042">
        <v>6</v>
      </c>
      <c r="F4" s="1042">
        <v>4</v>
      </c>
      <c r="G4" s="1073">
        <v>4</v>
      </c>
      <c r="H4" s="1067">
        <v>5</v>
      </c>
      <c r="I4" s="604" t="str">
        <f>Head6</f>
        <v>Original Budget</v>
      </c>
      <c r="J4" s="605" t="str">
        <f>Head7</f>
        <v>Adjusted Budget</v>
      </c>
      <c r="K4" s="604" t="str">
        <f>Head6</f>
        <v>Original Budget</v>
      </c>
      <c r="L4" s="605" t="str">
        <f>Head7</f>
        <v>Adjusted Budget</v>
      </c>
      <c r="M4" s="604" t="str">
        <f>Head6</f>
        <v>Original Budget</v>
      </c>
      <c r="N4" s="606" t="str">
        <f>Head7</f>
        <v>Adjusted Budget</v>
      </c>
    </row>
    <row r="5" spans="1:14" ht="11.25" customHeight="1" x14ac:dyDescent="0.25">
      <c r="A5" s="607" t="s">
        <v>541</v>
      </c>
      <c r="B5" s="608"/>
      <c r="C5" s="609"/>
      <c r="D5" s="609"/>
      <c r="E5" s="609"/>
      <c r="F5" s="610"/>
      <c r="G5" s="1060"/>
      <c r="H5" s="1068"/>
      <c r="I5" s="611"/>
      <c r="J5" s="612"/>
      <c r="K5" s="611"/>
      <c r="L5" s="613"/>
      <c r="M5" s="614"/>
      <c r="N5" s="613"/>
    </row>
    <row r="6" spans="1:14" ht="11.25" customHeight="1" x14ac:dyDescent="0.25">
      <c r="A6" s="615" t="s">
        <v>542</v>
      </c>
      <c r="B6" s="616"/>
      <c r="C6" s="617"/>
      <c r="D6" s="617"/>
      <c r="E6" s="617"/>
      <c r="F6" s="1083"/>
      <c r="G6" s="1084"/>
      <c r="H6" s="1069"/>
      <c r="I6" s="618">
        <v>0</v>
      </c>
      <c r="J6" s="619">
        <v>0</v>
      </c>
      <c r="K6" s="618">
        <v>0</v>
      </c>
      <c r="L6" s="620">
        <v>0</v>
      </c>
      <c r="M6" s="621">
        <v>0</v>
      </c>
      <c r="N6" s="620">
        <v>0</v>
      </c>
    </row>
    <row r="7" spans="1:14" ht="11.25" customHeight="1" x14ac:dyDescent="0.25">
      <c r="A7" s="615" t="s">
        <v>1853</v>
      </c>
      <c r="B7" s="616"/>
      <c r="C7" s="617"/>
      <c r="D7" s="617"/>
      <c r="E7" s="617"/>
      <c r="F7" s="1083"/>
      <c r="G7" s="1084"/>
      <c r="H7" s="1069"/>
      <c r="I7" s="618">
        <v>1200000</v>
      </c>
      <c r="J7" s="619">
        <v>906157</v>
      </c>
      <c r="K7" s="618">
        <v>0</v>
      </c>
      <c r="L7" s="620">
        <v>0</v>
      </c>
      <c r="M7" s="621">
        <v>0</v>
      </c>
      <c r="N7" s="620">
        <v>0</v>
      </c>
    </row>
    <row r="8" spans="1:14" ht="11.25" customHeight="1" x14ac:dyDescent="0.25">
      <c r="A8" s="615" t="s">
        <v>1967</v>
      </c>
      <c r="B8" s="616"/>
      <c r="C8" s="617"/>
      <c r="D8" s="617"/>
      <c r="E8" s="617"/>
      <c r="F8" s="1083"/>
      <c r="G8" s="1084"/>
      <c r="H8" s="1069"/>
      <c r="I8" s="618">
        <v>0</v>
      </c>
      <c r="J8" s="619">
        <v>0</v>
      </c>
      <c r="K8" s="618">
        <v>0</v>
      </c>
      <c r="L8" s="620">
        <v>0</v>
      </c>
      <c r="M8" s="621">
        <v>0</v>
      </c>
      <c r="N8" s="620">
        <v>0</v>
      </c>
    </row>
    <row r="9" spans="1:14" ht="11.25" customHeight="1" x14ac:dyDescent="0.25">
      <c r="A9" s="615" t="s">
        <v>1968</v>
      </c>
      <c r="B9" s="616"/>
      <c r="C9" s="617"/>
      <c r="D9" s="617"/>
      <c r="E9" s="617"/>
      <c r="F9" s="1083"/>
      <c r="G9" s="1084"/>
      <c r="H9" s="1069"/>
      <c r="I9" s="618">
        <v>0</v>
      </c>
      <c r="J9" s="619">
        <v>0</v>
      </c>
      <c r="K9" s="618">
        <v>0</v>
      </c>
      <c r="L9" s="620">
        <v>0</v>
      </c>
      <c r="M9" s="621">
        <v>0</v>
      </c>
      <c r="N9" s="620">
        <v>0</v>
      </c>
    </row>
    <row r="10" spans="1:14" ht="11.25" customHeight="1" x14ac:dyDescent="0.25">
      <c r="A10" s="615" t="s">
        <v>1969</v>
      </c>
      <c r="B10" s="616"/>
      <c r="C10" s="617"/>
      <c r="D10" s="617"/>
      <c r="E10" s="617"/>
      <c r="F10" s="1083"/>
      <c r="G10" s="1084"/>
      <c r="H10" s="1069"/>
      <c r="I10" s="618">
        <v>0</v>
      </c>
      <c r="J10" s="619">
        <v>0</v>
      </c>
      <c r="K10" s="618">
        <v>0</v>
      </c>
      <c r="L10" s="620">
        <v>0</v>
      </c>
      <c r="M10" s="621">
        <v>0</v>
      </c>
      <c r="N10" s="620">
        <v>0</v>
      </c>
    </row>
    <row r="11" spans="1:14" ht="11.25" customHeight="1" x14ac:dyDescent="0.25">
      <c r="A11" s="615" t="s">
        <v>1854</v>
      </c>
      <c r="B11" s="616"/>
      <c r="C11" s="617"/>
      <c r="D11" s="617"/>
      <c r="E11" s="617"/>
      <c r="F11" s="1083"/>
      <c r="G11" s="1084"/>
      <c r="H11" s="1069"/>
      <c r="I11" s="618">
        <v>2000000</v>
      </c>
      <c r="J11" s="619">
        <v>2000000</v>
      </c>
      <c r="K11" s="618">
        <v>0</v>
      </c>
      <c r="L11" s="620">
        <v>0</v>
      </c>
      <c r="M11" s="621">
        <v>0</v>
      </c>
      <c r="N11" s="620">
        <v>0</v>
      </c>
    </row>
    <row r="12" spans="1:14" ht="11.25" customHeight="1" x14ac:dyDescent="0.25">
      <c r="A12" s="615" t="s">
        <v>1855</v>
      </c>
      <c r="B12" s="616"/>
      <c r="C12" s="617"/>
      <c r="D12" s="617"/>
      <c r="E12" s="617"/>
      <c r="F12" s="1083"/>
      <c r="G12" s="1084"/>
      <c r="H12" s="1069"/>
      <c r="I12" s="618">
        <v>3500000</v>
      </c>
      <c r="J12" s="619">
        <v>5000000</v>
      </c>
      <c r="K12" s="618">
        <v>0</v>
      </c>
      <c r="L12" s="620">
        <v>0</v>
      </c>
      <c r="M12" s="621">
        <v>0</v>
      </c>
      <c r="N12" s="620">
        <v>0</v>
      </c>
    </row>
    <row r="13" spans="1:14" ht="11.25" customHeight="1" x14ac:dyDescent="0.25">
      <c r="A13" s="615" t="s">
        <v>1856</v>
      </c>
      <c r="B13" s="616"/>
      <c r="C13" s="617"/>
      <c r="D13" s="617"/>
      <c r="E13" s="617"/>
      <c r="F13" s="1083"/>
      <c r="G13" s="1084"/>
      <c r="H13" s="1069"/>
      <c r="I13" s="618">
        <v>3000000</v>
      </c>
      <c r="J13" s="619">
        <v>2500000</v>
      </c>
      <c r="K13" s="618">
        <v>0</v>
      </c>
      <c r="L13" s="620">
        <v>0</v>
      </c>
      <c r="M13" s="621">
        <v>0</v>
      </c>
      <c r="N13" s="620">
        <v>0</v>
      </c>
    </row>
    <row r="14" spans="1:14" ht="11.25" customHeight="1" x14ac:dyDescent="0.25">
      <c r="A14" s="615" t="s">
        <v>1857</v>
      </c>
      <c r="B14" s="616"/>
      <c r="C14" s="617"/>
      <c r="D14" s="617"/>
      <c r="E14" s="617"/>
      <c r="F14" s="1083"/>
      <c r="G14" s="1084"/>
      <c r="H14" s="1069"/>
      <c r="I14" s="618">
        <v>1000000</v>
      </c>
      <c r="J14" s="619">
        <v>1000000</v>
      </c>
      <c r="K14" s="618">
        <v>0</v>
      </c>
      <c r="L14" s="620">
        <v>0</v>
      </c>
      <c r="M14" s="621">
        <v>0</v>
      </c>
      <c r="N14" s="620">
        <v>0</v>
      </c>
    </row>
    <row r="15" spans="1:14" ht="11.25" customHeight="1" x14ac:dyDescent="0.25">
      <c r="A15" s="615" t="s">
        <v>1858</v>
      </c>
      <c r="B15" s="616"/>
      <c r="C15" s="617"/>
      <c r="D15" s="617"/>
      <c r="E15" s="617"/>
      <c r="F15" s="1083"/>
      <c r="G15" s="1084"/>
      <c r="H15" s="1069"/>
      <c r="I15" s="618">
        <v>10000000</v>
      </c>
      <c r="J15" s="619">
        <v>10000000</v>
      </c>
      <c r="K15" s="618">
        <v>0</v>
      </c>
      <c r="L15" s="620">
        <v>0</v>
      </c>
      <c r="M15" s="621">
        <v>0</v>
      </c>
      <c r="N15" s="620">
        <v>0</v>
      </c>
    </row>
    <row r="16" spans="1:14" ht="11.25" customHeight="1" x14ac:dyDescent="0.25">
      <c r="A16" s="615" t="s">
        <v>1970</v>
      </c>
      <c r="B16" s="616"/>
      <c r="C16" s="617"/>
      <c r="D16" s="617"/>
      <c r="E16" s="617"/>
      <c r="F16" s="1083"/>
      <c r="G16" s="1084"/>
      <c r="H16" s="1069"/>
      <c r="I16" s="618">
        <v>0</v>
      </c>
      <c r="J16" s="619">
        <v>0</v>
      </c>
      <c r="K16" s="618">
        <v>0</v>
      </c>
      <c r="L16" s="620">
        <v>0</v>
      </c>
      <c r="M16" s="621">
        <v>0</v>
      </c>
      <c r="N16" s="620">
        <v>0</v>
      </c>
    </row>
    <row r="17" spans="1:14" ht="11.25" customHeight="1" x14ac:dyDescent="0.25">
      <c r="A17" s="615" t="s">
        <v>1971</v>
      </c>
      <c r="B17" s="616"/>
      <c r="C17" s="617"/>
      <c r="D17" s="617"/>
      <c r="E17" s="617"/>
      <c r="F17" s="1083"/>
      <c r="G17" s="1084"/>
      <c r="H17" s="1069"/>
      <c r="I17" s="618">
        <v>0</v>
      </c>
      <c r="J17" s="619">
        <v>0</v>
      </c>
      <c r="K17" s="618">
        <v>0</v>
      </c>
      <c r="L17" s="620">
        <v>0</v>
      </c>
      <c r="M17" s="621">
        <v>0</v>
      </c>
      <c r="N17" s="620">
        <v>0</v>
      </c>
    </row>
    <row r="18" spans="1:14" ht="11.25" customHeight="1" x14ac:dyDescent="0.25">
      <c r="A18" s="615" t="s">
        <v>1972</v>
      </c>
      <c r="B18" s="616"/>
      <c r="C18" s="617"/>
      <c r="D18" s="617"/>
      <c r="E18" s="617"/>
      <c r="F18" s="1083"/>
      <c r="G18" s="1084"/>
      <c r="H18" s="1069"/>
      <c r="I18" s="618">
        <v>0</v>
      </c>
      <c r="J18" s="619">
        <v>0</v>
      </c>
      <c r="K18" s="618">
        <v>0</v>
      </c>
      <c r="L18" s="620">
        <v>0</v>
      </c>
      <c r="M18" s="621">
        <v>0</v>
      </c>
      <c r="N18" s="620">
        <v>0</v>
      </c>
    </row>
    <row r="19" spans="1:14" ht="11.25" customHeight="1" x14ac:dyDescent="0.25">
      <c r="A19" s="615" t="s">
        <v>1973</v>
      </c>
      <c r="B19" s="616"/>
      <c r="C19" s="617"/>
      <c r="D19" s="617"/>
      <c r="E19" s="617"/>
      <c r="F19" s="1083"/>
      <c r="G19" s="1084"/>
      <c r="H19" s="1069"/>
      <c r="I19" s="618">
        <v>0</v>
      </c>
      <c r="J19" s="619">
        <v>0</v>
      </c>
      <c r="K19" s="618">
        <v>0</v>
      </c>
      <c r="L19" s="620">
        <v>0</v>
      </c>
      <c r="M19" s="621">
        <v>0</v>
      </c>
      <c r="N19" s="620">
        <v>0</v>
      </c>
    </row>
    <row r="20" spans="1:14" ht="11.25" customHeight="1" x14ac:dyDescent="0.25">
      <c r="A20" s="615" t="s">
        <v>1974</v>
      </c>
      <c r="B20" s="616"/>
      <c r="C20" s="617"/>
      <c r="D20" s="617"/>
      <c r="E20" s="617"/>
      <c r="F20" s="1083"/>
      <c r="G20" s="1084"/>
      <c r="H20" s="1069"/>
      <c r="I20" s="618">
        <v>0</v>
      </c>
      <c r="J20" s="619">
        <v>0</v>
      </c>
      <c r="K20" s="618">
        <v>0</v>
      </c>
      <c r="L20" s="620">
        <v>0</v>
      </c>
      <c r="M20" s="621">
        <v>0</v>
      </c>
      <c r="N20" s="620">
        <v>0</v>
      </c>
    </row>
    <row r="21" spans="1:14" ht="11.25" customHeight="1" x14ac:dyDescent="0.25">
      <c r="A21" s="615" t="s">
        <v>1975</v>
      </c>
      <c r="B21" s="616"/>
      <c r="C21" s="617"/>
      <c r="D21" s="617"/>
      <c r="E21" s="617"/>
      <c r="F21" s="1083"/>
      <c r="G21" s="1084"/>
      <c r="H21" s="1069"/>
      <c r="I21" s="618">
        <v>0</v>
      </c>
      <c r="J21" s="619">
        <v>0</v>
      </c>
      <c r="K21" s="618">
        <v>0</v>
      </c>
      <c r="L21" s="620">
        <v>0</v>
      </c>
      <c r="M21" s="621">
        <v>0</v>
      </c>
      <c r="N21" s="620">
        <v>0</v>
      </c>
    </row>
    <row r="22" spans="1:14" ht="11.25" customHeight="1" x14ac:dyDescent="0.25">
      <c r="A22" s="615" t="s">
        <v>1976</v>
      </c>
      <c r="B22" s="616"/>
      <c r="C22" s="617"/>
      <c r="D22" s="617"/>
      <c r="E22" s="617"/>
      <c r="F22" s="1083"/>
      <c r="G22" s="1084"/>
      <c r="H22" s="1069"/>
      <c r="I22" s="618">
        <v>0</v>
      </c>
      <c r="J22" s="619">
        <v>0</v>
      </c>
      <c r="K22" s="618">
        <v>0</v>
      </c>
      <c r="L22" s="620">
        <v>0</v>
      </c>
      <c r="M22" s="621">
        <v>0</v>
      </c>
      <c r="N22" s="620">
        <v>0</v>
      </c>
    </row>
    <row r="23" spans="1:14" ht="11.25" customHeight="1" x14ac:dyDescent="0.25">
      <c r="A23" s="615" t="s">
        <v>1977</v>
      </c>
      <c r="B23" s="616"/>
      <c r="C23" s="617"/>
      <c r="D23" s="617"/>
      <c r="E23" s="617"/>
      <c r="F23" s="1083"/>
      <c r="G23" s="1084"/>
      <c r="H23" s="1069"/>
      <c r="I23" s="618">
        <v>0</v>
      </c>
      <c r="J23" s="619">
        <v>0</v>
      </c>
      <c r="K23" s="618">
        <v>0</v>
      </c>
      <c r="L23" s="620">
        <v>0</v>
      </c>
      <c r="M23" s="621">
        <v>0</v>
      </c>
      <c r="N23" s="620">
        <v>0</v>
      </c>
    </row>
    <row r="24" spans="1:14" ht="11.25" customHeight="1" x14ac:dyDescent="0.25">
      <c r="A24" s="615" t="s">
        <v>1978</v>
      </c>
      <c r="B24" s="616"/>
      <c r="C24" s="617"/>
      <c r="D24" s="617"/>
      <c r="E24" s="617"/>
      <c r="F24" s="1083"/>
      <c r="G24" s="1084"/>
      <c r="H24" s="1069"/>
      <c r="I24" s="618">
        <v>0</v>
      </c>
      <c r="J24" s="619">
        <v>0</v>
      </c>
      <c r="K24" s="618">
        <v>0</v>
      </c>
      <c r="L24" s="620">
        <v>0</v>
      </c>
      <c r="M24" s="621">
        <v>0</v>
      </c>
      <c r="N24" s="620">
        <v>0</v>
      </c>
    </row>
    <row r="25" spans="1:14" ht="11.25" customHeight="1" x14ac:dyDescent="0.25">
      <c r="A25" s="615" t="s">
        <v>1979</v>
      </c>
      <c r="B25" s="616"/>
      <c r="C25" s="617"/>
      <c r="D25" s="617"/>
      <c r="E25" s="617"/>
      <c r="F25" s="1083"/>
      <c r="G25" s="1084"/>
      <c r="H25" s="1069"/>
      <c r="I25" s="618">
        <v>0</v>
      </c>
      <c r="J25" s="619">
        <v>0</v>
      </c>
      <c r="K25" s="618">
        <v>0</v>
      </c>
      <c r="L25" s="620">
        <v>0</v>
      </c>
      <c r="M25" s="621">
        <v>0</v>
      </c>
      <c r="N25" s="620">
        <v>0</v>
      </c>
    </row>
    <row r="26" spans="1:14" ht="11.25" customHeight="1" x14ac:dyDescent="0.25">
      <c r="A26" s="615" t="s">
        <v>1980</v>
      </c>
      <c r="B26" s="616"/>
      <c r="C26" s="617"/>
      <c r="D26" s="617"/>
      <c r="E26" s="617"/>
      <c r="F26" s="1083"/>
      <c r="G26" s="1084"/>
      <c r="H26" s="1069"/>
      <c r="I26" s="618">
        <v>0</v>
      </c>
      <c r="J26" s="619">
        <v>0</v>
      </c>
      <c r="K26" s="618">
        <v>0</v>
      </c>
      <c r="L26" s="620">
        <v>0</v>
      </c>
      <c r="M26" s="621">
        <v>0</v>
      </c>
      <c r="N26" s="620">
        <v>0</v>
      </c>
    </row>
    <row r="27" spans="1:14" ht="11.25" customHeight="1" x14ac:dyDescent="0.25">
      <c r="A27" s="615" t="s">
        <v>1981</v>
      </c>
      <c r="B27" s="616"/>
      <c r="C27" s="617"/>
      <c r="D27" s="617"/>
      <c r="E27" s="617"/>
      <c r="F27" s="1083"/>
      <c r="G27" s="1084"/>
      <c r="H27" s="1069"/>
      <c r="I27" s="618">
        <v>0</v>
      </c>
      <c r="J27" s="619">
        <v>0</v>
      </c>
      <c r="K27" s="618">
        <v>0</v>
      </c>
      <c r="L27" s="620">
        <v>0</v>
      </c>
      <c r="M27" s="621">
        <v>0</v>
      </c>
      <c r="N27" s="620">
        <v>0</v>
      </c>
    </row>
    <row r="28" spans="1:14" ht="11.25" customHeight="1" x14ac:dyDescent="0.25">
      <c r="A28" s="615" t="s">
        <v>1982</v>
      </c>
      <c r="B28" s="616"/>
      <c r="C28" s="617"/>
      <c r="D28" s="617"/>
      <c r="E28" s="617"/>
      <c r="F28" s="1083"/>
      <c r="G28" s="1084"/>
      <c r="H28" s="1069"/>
      <c r="I28" s="618">
        <v>0</v>
      </c>
      <c r="J28" s="619">
        <v>0</v>
      </c>
      <c r="K28" s="618">
        <v>0</v>
      </c>
      <c r="L28" s="620">
        <v>0</v>
      </c>
      <c r="M28" s="621">
        <v>0</v>
      </c>
      <c r="N28" s="620">
        <v>0</v>
      </c>
    </row>
    <row r="29" spans="1:14" ht="11.25" customHeight="1" x14ac:dyDescent="0.25">
      <c r="A29" s="615" t="s">
        <v>1983</v>
      </c>
      <c r="B29" s="616"/>
      <c r="C29" s="617"/>
      <c r="D29" s="617"/>
      <c r="E29" s="617"/>
      <c r="F29" s="1083"/>
      <c r="G29" s="1084"/>
      <c r="H29" s="1069"/>
      <c r="I29" s="618">
        <v>0</v>
      </c>
      <c r="J29" s="619">
        <v>0</v>
      </c>
      <c r="K29" s="618">
        <v>0</v>
      </c>
      <c r="L29" s="620">
        <v>0</v>
      </c>
      <c r="M29" s="621">
        <v>0</v>
      </c>
      <c r="N29" s="620">
        <v>0</v>
      </c>
    </row>
    <row r="30" spans="1:14" ht="11.25" customHeight="1" x14ac:dyDescent="0.25">
      <c r="A30" s="615" t="s">
        <v>1984</v>
      </c>
      <c r="B30" s="616"/>
      <c r="C30" s="617"/>
      <c r="D30" s="617"/>
      <c r="E30" s="617"/>
      <c r="F30" s="1083"/>
      <c r="G30" s="1084"/>
      <c r="H30" s="1069"/>
      <c r="I30" s="618">
        <v>0</v>
      </c>
      <c r="J30" s="619">
        <v>0</v>
      </c>
      <c r="K30" s="618">
        <v>0</v>
      </c>
      <c r="L30" s="620">
        <v>0</v>
      </c>
      <c r="M30" s="621">
        <v>0</v>
      </c>
      <c r="N30" s="620">
        <v>0</v>
      </c>
    </row>
    <row r="31" spans="1:14" ht="11.25" customHeight="1" x14ac:dyDescent="0.25">
      <c r="A31" s="615" t="s">
        <v>1985</v>
      </c>
      <c r="B31" s="616"/>
      <c r="C31" s="617"/>
      <c r="D31" s="617"/>
      <c r="E31" s="617"/>
      <c r="F31" s="1083"/>
      <c r="G31" s="1084"/>
      <c r="H31" s="1069"/>
      <c r="I31" s="618">
        <v>0</v>
      </c>
      <c r="J31" s="619">
        <v>0</v>
      </c>
      <c r="K31" s="618">
        <v>0</v>
      </c>
      <c r="L31" s="620">
        <v>0</v>
      </c>
      <c r="M31" s="621">
        <v>0</v>
      </c>
      <c r="N31" s="620">
        <v>0</v>
      </c>
    </row>
    <row r="32" spans="1:14" ht="11.25" customHeight="1" x14ac:dyDescent="0.25">
      <c r="A32" s="615" t="s">
        <v>1986</v>
      </c>
      <c r="B32" s="616"/>
      <c r="C32" s="617"/>
      <c r="D32" s="617"/>
      <c r="E32" s="617"/>
      <c r="F32" s="1083"/>
      <c r="G32" s="1084"/>
      <c r="H32" s="1069"/>
      <c r="I32" s="618">
        <v>0</v>
      </c>
      <c r="J32" s="619">
        <v>0</v>
      </c>
      <c r="K32" s="618">
        <v>0</v>
      </c>
      <c r="L32" s="620">
        <v>0</v>
      </c>
      <c r="M32" s="621">
        <v>0</v>
      </c>
      <c r="N32" s="620">
        <v>0</v>
      </c>
    </row>
    <row r="33" spans="1:14" ht="11.25" customHeight="1" x14ac:dyDescent="0.25">
      <c r="A33" s="615" t="s">
        <v>1987</v>
      </c>
      <c r="B33" s="616"/>
      <c r="C33" s="617"/>
      <c r="D33" s="617"/>
      <c r="E33" s="617"/>
      <c r="F33" s="1083"/>
      <c r="G33" s="1084"/>
      <c r="H33" s="1069"/>
      <c r="I33" s="618">
        <v>0</v>
      </c>
      <c r="J33" s="619">
        <v>0</v>
      </c>
      <c r="K33" s="618">
        <v>0</v>
      </c>
      <c r="L33" s="620">
        <v>0</v>
      </c>
      <c r="M33" s="621">
        <v>0</v>
      </c>
      <c r="N33" s="620">
        <v>0</v>
      </c>
    </row>
    <row r="34" spans="1:14" ht="11.25" customHeight="1" x14ac:dyDescent="0.25">
      <c r="A34" s="615" t="s">
        <v>1988</v>
      </c>
      <c r="B34" s="616"/>
      <c r="C34" s="617"/>
      <c r="D34" s="617"/>
      <c r="E34" s="617"/>
      <c r="F34" s="1083"/>
      <c r="G34" s="1084"/>
      <c r="H34" s="1069"/>
      <c r="I34" s="618">
        <v>0</v>
      </c>
      <c r="J34" s="619">
        <v>0</v>
      </c>
      <c r="K34" s="618">
        <v>0</v>
      </c>
      <c r="L34" s="620">
        <v>0</v>
      </c>
      <c r="M34" s="621">
        <v>0</v>
      </c>
      <c r="N34" s="620">
        <v>0</v>
      </c>
    </row>
    <row r="35" spans="1:14" ht="11.25" customHeight="1" x14ac:dyDescent="0.25">
      <c r="A35" s="615" t="s">
        <v>1989</v>
      </c>
      <c r="B35" s="616"/>
      <c r="C35" s="617"/>
      <c r="D35" s="617"/>
      <c r="E35" s="617"/>
      <c r="F35" s="1083"/>
      <c r="G35" s="1084"/>
      <c r="H35" s="1069"/>
      <c r="I35" s="618">
        <v>0</v>
      </c>
      <c r="J35" s="619">
        <v>0</v>
      </c>
      <c r="K35" s="618">
        <v>0</v>
      </c>
      <c r="L35" s="620">
        <v>0</v>
      </c>
      <c r="M35" s="621">
        <v>0</v>
      </c>
      <c r="N35" s="620">
        <v>0</v>
      </c>
    </row>
    <row r="36" spans="1:14" ht="11.25" customHeight="1" x14ac:dyDescent="0.25">
      <c r="A36" s="615" t="s">
        <v>1990</v>
      </c>
      <c r="B36" s="616"/>
      <c r="C36" s="617"/>
      <c r="D36" s="617"/>
      <c r="E36" s="617"/>
      <c r="F36" s="1083"/>
      <c r="G36" s="1084"/>
      <c r="H36" s="1069"/>
      <c r="I36" s="618">
        <v>0</v>
      </c>
      <c r="J36" s="619">
        <v>0</v>
      </c>
      <c r="K36" s="618">
        <v>0</v>
      </c>
      <c r="L36" s="620">
        <v>0</v>
      </c>
      <c r="M36" s="621">
        <v>0</v>
      </c>
      <c r="N36" s="620">
        <v>0</v>
      </c>
    </row>
    <row r="37" spans="1:14" ht="11.25" customHeight="1" x14ac:dyDescent="0.25">
      <c r="A37" s="615" t="s">
        <v>1859</v>
      </c>
      <c r="B37" s="616"/>
      <c r="C37" s="617"/>
      <c r="D37" s="617"/>
      <c r="E37" s="617"/>
      <c r="F37" s="1083"/>
      <c r="G37" s="1084"/>
      <c r="H37" s="1069"/>
      <c r="I37" s="618">
        <v>2000000</v>
      </c>
      <c r="J37" s="619">
        <v>1350036</v>
      </c>
      <c r="K37" s="618">
        <v>0</v>
      </c>
      <c r="L37" s="620">
        <v>0</v>
      </c>
      <c r="M37" s="621">
        <v>0</v>
      </c>
      <c r="N37" s="620">
        <v>0</v>
      </c>
    </row>
    <row r="38" spans="1:14" ht="11.25" customHeight="1" x14ac:dyDescent="0.25">
      <c r="A38" s="615" t="s">
        <v>1860</v>
      </c>
      <c r="B38" s="616"/>
      <c r="C38" s="617"/>
      <c r="D38" s="617"/>
      <c r="E38" s="617"/>
      <c r="F38" s="1083"/>
      <c r="G38" s="1084"/>
      <c r="H38" s="1069"/>
      <c r="I38" s="618">
        <v>2000000</v>
      </c>
      <c r="J38" s="619">
        <v>158493</v>
      </c>
      <c r="K38" s="618">
        <v>0</v>
      </c>
      <c r="L38" s="620">
        <v>0</v>
      </c>
      <c r="M38" s="621">
        <v>0</v>
      </c>
      <c r="N38" s="620">
        <v>0</v>
      </c>
    </row>
    <row r="39" spans="1:14" ht="11.25" customHeight="1" x14ac:dyDescent="0.25">
      <c r="A39" s="615" t="s">
        <v>1861</v>
      </c>
      <c r="B39" s="616"/>
      <c r="C39" s="617"/>
      <c r="D39" s="617"/>
      <c r="E39" s="617"/>
      <c r="F39" s="1083"/>
      <c r="G39" s="1084"/>
      <c r="H39" s="1069"/>
      <c r="I39" s="618">
        <v>4000000</v>
      </c>
      <c r="J39" s="619">
        <v>2000000</v>
      </c>
      <c r="K39" s="618">
        <v>0</v>
      </c>
      <c r="L39" s="620">
        <v>0</v>
      </c>
      <c r="M39" s="621">
        <v>0</v>
      </c>
      <c r="N39" s="620">
        <v>0</v>
      </c>
    </row>
    <row r="40" spans="1:14" ht="11.25" customHeight="1" x14ac:dyDescent="0.25">
      <c r="A40" s="615" t="s">
        <v>1862</v>
      </c>
      <c r="B40" s="616"/>
      <c r="C40" s="617"/>
      <c r="D40" s="617"/>
      <c r="E40" s="617"/>
      <c r="F40" s="1083"/>
      <c r="G40" s="1084"/>
      <c r="H40" s="1069"/>
      <c r="I40" s="618">
        <v>1000000</v>
      </c>
      <c r="J40" s="619">
        <v>337960</v>
      </c>
      <c r="K40" s="618">
        <v>0</v>
      </c>
      <c r="L40" s="620">
        <v>0</v>
      </c>
      <c r="M40" s="621">
        <v>0</v>
      </c>
      <c r="N40" s="620">
        <v>0</v>
      </c>
    </row>
    <row r="41" spans="1:14" ht="11.25" customHeight="1" x14ac:dyDescent="0.25">
      <c r="A41" s="615" t="s">
        <v>1863</v>
      </c>
      <c r="B41" s="616"/>
      <c r="C41" s="617"/>
      <c r="D41" s="617"/>
      <c r="E41" s="617"/>
      <c r="F41" s="1083"/>
      <c r="G41" s="1084"/>
      <c r="H41" s="1069"/>
      <c r="I41" s="618">
        <v>2000000</v>
      </c>
      <c r="J41" s="619">
        <v>256457</v>
      </c>
      <c r="K41" s="618">
        <v>0</v>
      </c>
      <c r="L41" s="620">
        <v>0</v>
      </c>
      <c r="M41" s="621">
        <v>0</v>
      </c>
      <c r="N41" s="620">
        <v>0</v>
      </c>
    </row>
    <row r="42" spans="1:14" ht="11.25" customHeight="1" x14ac:dyDescent="0.25">
      <c r="A42" s="615" t="s">
        <v>1864</v>
      </c>
      <c r="B42" s="616"/>
      <c r="C42" s="617"/>
      <c r="D42" s="617"/>
      <c r="E42" s="617"/>
      <c r="F42" s="1083"/>
      <c r="G42" s="1084"/>
      <c r="H42" s="1069"/>
      <c r="I42" s="618">
        <v>1000000</v>
      </c>
      <c r="J42" s="619">
        <v>200000</v>
      </c>
      <c r="K42" s="618">
        <v>0</v>
      </c>
      <c r="L42" s="620">
        <v>0</v>
      </c>
      <c r="M42" s="621">
        <v>0</v>
      </c>
      <c r="N42" s="620">
        <v>0</v>
      </c>
    </row>
    <row r="43" spans="1:14" ht="11.25" customHeight="1" x14ac:dyDescent="0.25">
      <c r="A43" s="615" t="s">
        <v>1865</v>
      </c>
      <c r="B43" s="616"/>
      <c r="C43" s="617"/>
      <c r="D43" s="617"/>
      <c r="E43" s="617"/>
      <c r="F43" s="1083"/>
      <c r="G43" s="1084"/>
      <c r="H43" s="1069"/>
      <c r="I43" s="618">
        <v>3500000</v>
      </c>
      <c r="J43" s="619">
        <v>796001</v>
      </c>
      <c r="K43" s="618">
        <v>0</v>
      </c>
      <c r="L43" s="620">
        <v>0</v>
      </c>
      <c r="M43" s="621">
        <v>0</v>
      </c>
      <c r="N43" s="620">
        <v>0</v>
      </c>
    </row>
    <row r="44" spans="1:14" ht="11.25" customHeight="1" x14ac:dyDescent="0.25">
      <c r="A44" s="615" t="s">
        <v>1866</v>
      </c>
      <c r="B44" s="616"/>
      <c r="C44" s="617"/>
      <c r="D44" s="617"/>
      <c r="E44" s="617"/>
      <c r="F44" s="1083"/>
      <c r="G44" s="1084"/>
      <c r="H44" s="1069"/>
      <c r="I44" s="618">
        <v>750000</v>
      </c>
      <c r="J44" s="619">
        <v>0</v>
      </c>
      <c r="K44" s="618">
        <v>0</v>
      </c>
      <c r="L44" s="620">
        <v>0</v>
      </c>
      <c r="M44" s="621">
        <v>0</v>
      </c>
      <c r="N44" s="620">
        <v>0</v>
      </c>
    </row>
    <row r="45" spans="1:14" ht="11.25" customHeight="1" x14ac:dyDescent="0.25">
      <c r="A45" s="615" t="s">
        <v>1866</v>
      </c>
      <c r="B45" s="616"/>
      <c r="C45" s="617"/>
      <c r="D45" s="617"/>
      <c r="E45" s="617"/>
      <c r="F45" s="1083"/>
      <c r="G45" s="1084"/>
      <c r="H45" s="1069"/>
      <c r="I45" s="618">
        <v>2000000</v>
      </c>
      <c r="J45" s="619">
        <v>994090</v>
      </c>
      <c r="K45" s="618">
        <v>0</v>
      </c>
      <c r="L45" s="620">
        <v>0</v>
      </c>
      <c r="M45" s="621">
        <v>0</v>
      </c>
      <c r="N45" s="620">
        <v>0</v>
      </c>
    </row>
    <row r="46" spans="1:14" ht="11.25" customHeight="1" x14ac:dyDescent="0.25">
      <c r="A46" s="615" t="s">
        <v>1866</v>
      </c>
      <c r="B46" s="616"/>
      <c r="C46" s="617"/>
      <c r="D46" s="617"/>
      <c r="E46" s="617"/>
      <c r="F46" s="1083"/>
      <c r="G46" s="1084"/>
      <c r="H46" s="1069"/>
      <c r="I46" s="618">
        <v>3500000</v>
      </c>
      <c r="J46" s="619">
        <v>2160889</v>
      </c>
      <c r="K46" s="618">
        <v>0</v>
      </c>
      <c r="L46" s="620">
        <v>0</v>
      </c>
      <c r="M46" s="621">
        <v>0</v>
      </c>
      <c r="N46" s="620">
        <v>0</v>
      </c>
    </row>
    <row r="47" spans="1:14" ht="11.25" customHeight="1" x14ac:dyDescent="0.25">
      <c r="A47" s="615" t="s">
        <v>1866</v>
      </c>
      <c r="B47" s="616"/>
      <c r="C47" s="617"/>
      <c r="D47" s="617"/>
      <c r="E47" s="617"/>
      <c r="F47" s="1083"/>
      <c r="G47" s="1084"/>
      <c r="H47" s="1069"/>
      <c r="I47" s="618">
        <v>3000000</v>
      </c>
      <c r="J47" s="619">
        <v>841593</v>
      </c>
      <c r="K47" s="618">
        <v>0</v>
      </c>
      <c r="L47" s="620">
        <v>0</v>
      </c>
      <c r="M47" s="621">
        <v>0</v>
      </c>
      <c r="N47" s="620">
        <v>0</v>
      </c>
    </row>
    <row r="48" spans="1:14" ht="11.25" customHeight="1" x14ac:dyDescent="0.25">
      <c r="A48" s="615" t="s">
        <v>1867</v>
      </c>
      <c r="B48" s="616"/>
      <c r="C48" s="617"/>
      <c r="D48" s="617"/>
      <c r="E48" s="617"/>
      <c r="F48" s="1083"/>
      <c r="G48" s="1084"/>
      <c r="H48" s="1069"/>
      <c r="I48" s="618">
        <v>800000</v>
      </c>
      <c r="J48" s="619">
        <v>2800000</v>
      </c>
      <c r="K48" s="618">
        <v>0</v>
      </c>
      <c r="L48" s="620">
        <v>0</v>
      </c>
      <c r="M48" s="621">
        <v>0</v>
      </c>
      <c r="N48" s="620">
        <v>0</v>
      </c>
    </row>
    <row r="49" spans="1:14" ht="11.25" customHeight="1" x14ac:dyDescent="0.25">
      <c r="A49" s="615" t="s">
        <v>1867</v>
      </c>
      <c r="B49" s="616"/>
      <c r="C49" s="617"/>
      <c r="D49" s="617"/>
      <c r="E49" s="617"/>
      <c r="F49" s="1083"/>
      <c r="G49" s="1084"/>
      <c r="H49" s="1069"/>
      <c r="I49" s="618">
        <v>156000</v>
      </c>
      <c r="J49" s="619">
        <v>156000</v>
      </c>
      <c r="K49" s="618">
        <v>0</v>
      </c>
      <c r="L49" s="620">
        <v>0</v>
      </c>
      <c r="M49" s="621">
        <v>0</v>
      </c>
      <c r="N49" s="620">
        <v>0</v>
      </c>
    </row>
    <row r="50" spans="1:14" ht="11.25" customHeight="1" x14ac:dyDescent="0.25">
      <c r="A50" s="615" t="s">
        <v>1868</v>
      </c>
      <c r="B50" s="616"/>
      <c r="C50" s="617"/>
      <c r="D50" s="617"/>
      <c r="E50" s="617"/>
      <c r="F50" s="1083"/>
      <c r="G50" s="1084"/>
      <c r="H50" s="1069"/>
      <c r="I50" s="618">
        <v>2000000</v>
      </c>
      <c r="J50" s="619">
        <v>2000000</v>
      </c>
      <c r="K50" s="618">
        <v>0</v>
      </c>
      <c r="L50" s="620">
        <v>0</v>
      </c>
      <c r="M50" s="621">
        <v>0</v>
      </c>
      <c r="N50" s="620">
        <v>0</v>
      </c>
    </row>
    <row r="51" spans="1:14" ht="11.25" customHeight="1" x14ac:dyDescent="0.25">
      <c r="A51" s="615" t="s">
        <v>1868</v>
      </c>
      <c r="B51" s="616"/>
      <c r="C51" s="617"/>
      <c r="D51" s="617"/>
      <c r="E51" s="617"/>
      <c r="F51" s="1083"/>
      <c r="G51" s="1084"/>
      <c r="H51" s="1069"/>
      <c r="I51" s="618">
        <v>1000000</v>
      </c>
      <c r="J51" s="619">
        <v>1000000</v>
      </c>
      <c r="K51" s="618">
        <v>0</v>
      </c>
      <c r="L51" s="620">
        <v>0</v>
      </c>
      <c r="M51" s="621">
        <v>0</v>
      </c>
      <c r="N51" s="620">
        <v>0</v>
      </c>
    </row>
    <row r="52" spans="1:14" ht="11.25" customHeight="1" x14ac:dyDescent="0.25">
      <c r="A52" s="615" t="s">
        <v>1869</v>
      </c>
      <c r="B52" s="616"/>
      <c r="C52" s="617"/>
      <c r="D52" s="617"/>
      <c r="E52" s="617"/>
      <c r="F52" s="1083"/>
      <c r="G52" s="1084"/>
      <c r="H52" s="1069"/>
      <c r="I52" s="618">
        <v>6000000</v>
      </c>
      <c r="J52" s="619">
        <v>6000000</v>
      </c>
      <c r="K52" s="618">
        <v>0</v>
      </c>
      <c r="L52" s="620">
        <v>0</v>
      </c>
      <c r="M52" s="621">
        <v>0</v>
      </c>
      <c r="N52" s="620">
        <v>0</v>
      </c>
    </row>
    <row r="53" spans="1:14" ht="11.25" customHeight="1" x14ac:dyDescent="0.25">
      <c r="A53" s="615" t="s">
        <v>1870</v>
      </c>
      <c r="B53" s="616"/>
      <c r="C53" s="617"/>
      <c r="D53" s="617"/>
      <c r="E53" s="617"/>
      <c r="F53" s="1083"/>
      <c r="G53" s="1084"/>
      <c r="H53" s="1069"/>
      <c r="I53" s="618">
        <v>9243000</v>
      </c>
      <c r="J53" s="619">
        <v>2454121</v>
      </c>
      <c r="K53" s="618">
        <v>0</v>
      </c>
      <c r="L53" s="620">
        <v>0</v>
      </c>
      <c r="M53" s="621">
        <v>0</v>
      </c>
      <c r="N53" s="620">
        <v>0</v>
      </c>
    </row>
    <row r="54" spans="1:14" ht="11.25" customHeight="1" x14ac:dyDescent="0.25">
      <c r="A54" s="615" t="s">
        <v>1871</v>
      </c>
      <c r="B54" s="616"/>
      <c r="C54" s="617"/>
      <c r="D54" s="617"/>
      <c r="E54" s="617"/>
      <c r="F54" s="1083"/>
      <c r="G54" s="1084"/>
      <c r="H54" s="1069"/>
      <c r="I54" s="618">
        <v>9500000</v>
      </c>
      <c r="J54" s="619">
        <v>10700000</v>
      </c>
      <c r="K54" s="618">
        <v>0</v>
      </c>
      <c r="L54" s="620">
        <v>0</v>
      </c>
      <c r="M54" s="621">
        <v>0</v>
      </c>
      <c r="N54" s="620">
        <v>0</v>
      </c>
    </row>
    <row r="55" spans="1:14" ht="11.25" customHeight="1" x14ac:dyDescent="0.25">
      <c r="A55" s="615" t="s">
        <v>1872</v>
      </c>
      <c r="B55" s="616"/>
      <c r="C55" s="617"/>
      <c r="D55" s="617"/>
      <c r="E55" s="617"/>
      <c r="F55" s="1083"/>
      <c r="G55" s="1084"/>
      <c r="H55" s="1069"/>
      <c r="I55" s="618">
        <v>6000000</v>
      </c>
      <c r="J55" s="619">
        <v>6700000</v>
      </c>
      <c r="K55" s="618">
        <v>0</v>
      </c>
      <c r="L55" s="620">
        <v>0</v>
      </c>
      <c r="M55" s="621">
        <v>0</v>
      </c>
      <c r="N55" s="620">
        <v>0</v>
      </c>
    </row>
    <row r="56" spans="1:14" ht="11.25" customHeight="1" x14ac:dyDescent="0.25">
      <c r="A56" s="615" t="s">
        <v>1873</v>
      </c>
      <c r="B56" s="616"/>
      <c r="C56" s="617"/>
      <c r="D56" s="617"/>
      <c r="E56" s="617"/>
      <c r="F56" s="1083"/>
      <c r="G56" s="1084"/>
      <c r="H56" s="1069"/>
      <c r="I56" s="618">
        <v>6000000</v>
      </c>
      <c r="J56" s="619">
        <v>7500000</v>
      </c>
      <c r="K56" s="618">
        <v>0</v>
      </c>
      <c r="L56" s="620">
        <v>0</v>
      </c>
      <c r="M56" s="621">
        <v>0</v>
      </c>
      <c r="N56" s="620">
        <v>0</v>
      </c>
    </row>
    <row r="57" spans="1:14" ht="11.25" customHeight="1" x14ac:dyDescent="0.25">
      <c r="A57" s="615" t="s">
        <v>1874</v>
      </c>
      <c r="B57" s="616"/>
      <c r="C57" s="617"/>
      <c r="D57" s="617"/>
      <c r="E57" s="617"/>
      <c r="F57" s="1083"/>
      <c r="G57" s="1084"/>
      <c r="H57" s="1069"/>
      <c r="I57" s="618">
        <v>6000000</v>
      </c>
      <c r="J57" s="619">
        <v>9320000</v>
      </c>
      <c r="K57" s="618">
        <v>0</v>
      </c>
      <c r="L57" s="620">
        <v>0</v>
      </c>
      <c r="M57" s="621">
        <v>0</v>
      </c>
      <c r="N57" s="620">
        <v>0</v>
      </c>
    </row>
    <row r="58" spans="1:14" ht="11.25" customHeight="1" x14ac:dyDescent="0.25">
      <c r="A58" s="615" t="s">
        <v>1875</v>
      </c>
      <c r="B58" s="616"/>
      <c r="C58" s="617"/>
      <c r="D58" s="617"/>
      <c r="E58" s="617"/>
      <c r="F58" s="1083"/>
      <c r="G58" s="1084"/>
      <c r="H58" s="1069"/>
      <c r="I58" s="618">
        <v>6000000</v>
      </c>
      <c r="J58" s="619">
        <v>6752288</v>
      </c>
      <c r="K58" s="618">
        <v>0</v>
      </c>
      <c r="L58" s="620">
        <v>0</v>
      </c>
      <c r="M58" s="621">
        <v>0</v>
      </c>
      <c r="N58" s="620">
        <v>0</v>
      </c>
    </row>
    <row r="59" spans="1:14" ht="11.25" customHeight="1" x14ac:dyDescent="0.25">
      <c r="A59" s="615" t="s">
        <v>1876</v>
      </c>
      <c r="B59" s="616"/>
      <c r="C59" s="617"/>
      <c r="D59" s="617"/>
      <c r="E59" s="617"/>
      <c r="F59" s="1083"/>
      <c r="G59" s="1084"/>
      <c r="H59" s="1069"/>
      <c r="I59" s="618">
        <v>6000000</v>
      </c>
      <c r="J59" s="619">
        <v>7534511</v>
      </c>
      <c r="K59" s="618">
        <v>0</v>
      </c>
      <c r="L59" s="620">
        <v>0</v>
      </c>
      <c r="M59" s="621">
        <v>0</v>
      </c>
      <c r="N59" s="620">
        <v>0</v>
      </c>
    </row>
    <row r="60" spans="1:14" ht="11.25" customHeight="1" x14ac:dyDescent="0.25">
      <c r="A60" s="615" t="s">
        <v>1877</v>
      </c>
      <c r="B60" s="616"/>
      <c r="C60" s="617"/>
      <c r="D60" s="617"/>
      <c r="E60" s="617"/>
      <c r="F60" s="1083"/>
      <c r="G60" s="1084"/>
      <c r="H60" s="1069"/>
      <c r="I60" s="618">
        <v>6000000</v>
      </c>
      <c r="J60" s="619">
        <v>7082080</v>
      </c>
      <c r="K60" s="618">
        <v>0</v>
      </c>
      <c r="L60" s="620">
        <v>0</v>
      </c>
      <c r="M60" s="621">
        <v>0</v>
      </c>
      <c r="N60" s="620">
        <v>0</v>
      </c>
    </row>
    <row r="61" spans="1:14" ht="11.25" customHeight="1" x14ac:dyDescent="0.25">
      <c r="A61" s="615" t="s">
        <v>1878</v>
      </c>
      <c r="B61" s="616"/>
      <c r="C61" s="617"/>
      <c r="D61" s="617"/>
      <c r="E61" s="617"/>
      <c r="F61" s="1083"/>
      <c r="G61" s="1084"/>
      <c r="H61" s="1069"/>
      <c r="I61" s="618">
        <v>20000000</v>
      </c>
      <c r="J61" s="619">
        <v>25366300</v>
      </c>
      <c r="K61" s="618">
        <v>0</v>
      </c>
      <c r="L61" s="620">
        <v>0</v>
      </c>
      <c r="M61" s="621">
        <v>0</v>
      </c>
      <c r="N61" s="620">
        <v>0</v>
      </c>
    </row>
    <row r="62" spans="1:14" ht="11.25" customHeight="1" x14ac:dyDescent="0.25">
      <c r="A62" s="615" t="s">
        <v>1879</v>
      </c>
      <c r="B62" s="616"/>
      <c r="C62" s="617"/>
      <c r="D62" s="617"/>
      <c r="E62" s="617"/>
      <c r="F62" s="1083"/>
      <c r="G62" s="1084"/>
      <c r="H62" s="1069"/>
      <c r="I62" s="618">
        <v>4000000</v>
      </c>
      <c r="J62" s="619">
        <v>800000</v>
      </c>
      <c r="K62" s="618">
        <v>0</v>
      </c>
      <c r="L62" s="620">
        <v>0</v>
      </c>
      <c r="M62" s="621">
        <v>0</v>
      </c>
      <c r="N62" s="620">
        <v>0</v>
      </c>
    </row>
    <row r="63" spans="1:14" ht="11.25" customHeight="1" x14ac:dyDescent="0.25">
      <c r="A63" s="615" t="s">
        <v>1880</v>
      </c>
      <c r="B63" s="616"/>
      <c r="C63" s="617"/>
      <c r="D63" s="617"/>
      <c r="E63" s="617"/>
      <c r="F63" s="1083"/>
      <c r="G63" s="1084"/>
      <c r="H63" s="1069"/>
      <c r="I63" s="618">
        <v>4000000</v>
      </c>
      <c r="J63" s="619">
        <v>800000</v>
      </c>
      <c r="K63" s="618">
        <v>0</v>
      </c>
      <c r="L63" s="620">
        <v>0</v>
      </c>
      <c r="M63" s="621">
        <v>0</v>
      </c>
      <c r="N63" s="620">
        <v>0</v>
      </c>
    </row>
    <row r="64" spans="1:14" ht="11.25" customHeight="1" x14ac:dyDescent="0.25">
      <c r="A64" s="615" t="s">
        <v>1881</v>
      </c>
      <c r="B64" s="616"/>
      <c r="C64" s="617"/>
      <c r="D64" s="617"/>
      <c r="E64" s="617"/>
      <c r="F64" s="1083"/>
      <c r="G64" s="1084"/>
      <c r="H64" s="1069"/>
      <c r="I64" s="618">
        <v>250000</v>
      </c>
      <c r="J64" s="619">
        <v>800000</v>
      </c>
      <c r="K64" s="618">
        <v>0</v>
      </c>
      <c r="L64" s="620">
        <v>0</v>
      </c>
      <c r="M64" s="621">
        <v>0</v>
      </c>
      <c r="N64" s="620">
        <v>0</v>
      </c>
    </row>
    <row r="65" spans="1:14" ht="11.25" customHeight="1" x14ac:dyDescent="0.25">
      <c r="A65" s="615" t="s">
        <v>1882</v>
      </c>
      <c r="B65" s="616"/>
      <c r="C65" s="617"/>
      <c r="D65" s="617"/>
      <c r="E65" s="617"/>
      <c r="F65" s="1083"/>
      <c r="G65" s="1084"/>
      <c r="H65" s="1069"/>
      <c r="I65" s="618">
        <v>250000</v>
      </c>
      <c r="J65" s="619">
        <v>800000</v>
      </c>
      <c r="K65" s="618">
        <v>0</v>
      </c>
      <c r="L65" s="620">
        <v>0</v>
      </c>
      <c r="M65" s="621">
        <v>0</v>
      </c>
      <c r="N65" s="620">
        <v>0</v>
      </c>
    </row>
    <row r="66" spans="1:14" ht="11.25" customHeight="1" x14ac:dyDescent="0.25">
      <c r="A66" s="615" t="s">
        <v>1883</v>
      </c>
      <c r="B66" s="616"/>
      <c r="C66" s="617"/>
      <c r="D66" s="617"/>
      <c r="E66" s="617"/>
      <c r="F66" s="1083"/>
      <c r="G66" s="1084"/>
      <c r="H66" s="1069"/>
      <c r="I66" s="618">
        <v>250000</v>
      </c>
      <c r="J66" s="619">
        <v>800000</v>
      </c>
      <c r="K66" s="618">
        <v>0</v>
      </c>
      <c r="L66" s="620">
        <v>0</v>
      </c>
      <c r="M66" s="621">
        <v>0</v>
      </c>
      <c r="N66" s="620">
        <v>0</v>
      </c>
    </row>
    <row r="67" spans="1:14" ht="11.25" customHeight="1" x14ac:dyDescent="0.25">
      <c r="A67" s="615" t="s">
        <v>1884</v>
      </c>
      <c r="B67" s="616"/>
      <c r="C67" s="617"/>
      <c r="D67" s="617"/>
      <c r="E67" s="617"/>
      <c r="F67" s="1083"/>
      <c r="G67" s="1084"/>
      <c r="H67" s="1069"/>
      <c r="I67" s="618">
        <v>250000</v>
      </c>
      <c r="J67" s="619">
        <v>800000</v>
      </c>
      <c r="K67" s="618">
        <v>0</v>
      </c>
      <c r="L67" s="620">
        <v>0</v>
      </c>
      <c r="M67" s="621">
        <v>0</v>
      </c>
      <c r="N67" s="620">
        <v>0</v>
      </c>
    </row>
    <row r="68" spans="1:14" ht="11.25" customHeight="1" x14ac:dyDescent="0.25">
      <c r="A68" s="615" t="s">
        <v>1885</v>
      </c>
      <c r="B68" s="616"/>
      <c r="C68" s="617"/>
      <c r="D68" s="617"/>
      <c r="E68" s="617"/>
      <c r="F68" s="1083"/>
      <c r="G68" s="1084"/>
      <c r="H68" s="1069"/>
      <c r="I68" s="618">
        <v>250000</v>
      </c>
      <c r="J68" s="619">
        <v>800000</v>
      </c>
      <c r="K68" s="618">
        <v>0</v>
      </c>
      <c r="L68" s="620">
        <v>0</v>
      </c>
      <c r="M68" s="621">
        <v>0</v>
      </c>
      <c r="N68" s="620">
        <v>0</v>
      </c>
    </row>
    <row r="69" spans="1:14" ht="11.25" customHeight="1" x14ac:dyDescent="0.25">
      <c r="A69" s="615" t="s">
        <v>1886</v>
      </c>
      <c r="B69" s="616"/>
      <c r="C69" s="617"/>
      <c r="D69" s="617"/>
      <c r="E69" s="617"/>
      <c r="F69" s="1083"/>
      <c r="G69" s="1084"/>
      <c r="H69" s="1069"/>
      <c r="I69" s="618">
        <v>250000</v>
      </c>
      <c r="J69" s="619">
        <v>800000</v>
      </c>
      <c r="K69" s="618">
        <v>0</v>
      </c>
      <c r="L69" s="620">
        <v>0</v>
      </c>
      <c r="M69" s="621">
        <v>0</v>
      </c>
      <c r="N69" s="620">
        <v>0</v>
      </c>
    </row>
    <row r="70" spans="1:14" ht="11.25" customHeight="1" x14ac:dyDescent="0.25">
      <c r="A70" s="615" t="s">
        <v>1887</v>
      </c>
      <c r="B70" s="616"/>
      <c r="C70" s="617"/>
      <c r="D70" s="617"/>
      <c r="E70" s="617"/>
      <c r="F70" s="1083"/>
      <c r="G70" s="1084"/>
      <c r="H70" s="1069"/>
      <c r="I70" s="618">
        <v>4000000</v>
      </c>
      <c r="J70" s="619">
        <v>800000</v>
      </c>
      <c r="K70" s="618">
        <v>0</v>
      </c>
      <c r="L70" s="620">
        <v>0</v>
      </c>
      <c r="M70" s="621">
        <v>0</v>
      </c>
      <c r="N70" s="620">
        <v>0</v>
      </c>
    </row>
    <row r="71" spans="1:14" ht="11.25" customHeight="1" x14ac:dyDescent="0.25">
      <c r="A71" s="615" t="s">
        <v>1861</v>
      </c>
      <c r="B71" s="616"/>
      <c r="C71" s="617"/>
      <c r="D71" s="617"/>
      <c r="E71" s="617"/>
      <c r="F71" s="1083"/>
      <c r="G71" s="1084"/>
      <c r="H71" s="1069"/>
      <c r="I71" s="618">
        <v>0</v>
      </c>
      <c r="J71" s="619">
        <v>0</v>
      </c>
      <c r="K71" s="618">
        <v>0</v>
      </c>
      <c r="L71" s="620">
        <v>0</v>
      </c>
      <c r="M71" s="621">
        <v>0</v>
      </c>
      <c r="N71" s="620">
        <v>0</v>
      </c>
    </row>
    <row r="72" spans="1:14" ht="11.25" customHeight="1" x14ac:dyDescent="0.25">
      <c r="A72" s="615" t="s">
        <v>1991</v>
      </c>
      <c r="B72" s="616"/>
      <c r="C72" s="617"/>
      <c r="D72" s="617"/>
      <c r="E72" s="617"/>
      <c r="F72" s="1083"/>
      <c r="G72" s="1084"/>
      <c r="H72" s="1069"/>
      <c r="I72" s="618">
        <v>0</v>
      </c>
      <c r="J72" s="619">
        <v>0</v>
      </c>
      <c r="K72" s="618">
        <v>0</v>
      </c>
      <c r="L72" s="620">
        <v>0</v>
      </c>
      <c r="M72" s="621">
        <v>0</v>
      </c>
      <c r="N72" s="620">
        <v>0</v>
      </c>
    </row>
    <row r="73" spans="1:14" ht="11.25" customHeight="1" x14ac:dyDescent="0.25">
      <c r="A73" s="615" t="s">
        <v>1992</v>
      </c>
      <c r="B73" s="616"/>
      <c r="C73" s="617"/>
      <c r="D73" s="617"/>
      <c r="E73" s="617"/>
      <c r="F73" s="1083"/>
      <c r="G73" s="1084"/>
      <c r="H73" s="1069"/>
      <c r="I73" s="618">
        <v>0</v>
      </c>
      <c r="J73" s="619">
        <v>0</v>
      </c>
      <c r="K73" s="618">
        <v>0</v>
      </c>
      <c r="L73" s="620">
        <v>0</v>
      </c>
      <c r="M73" s="621">
        <v>0</v>
      </c>
      <c r="N73" s="620">
        <v>0</v>
      </c>
    </row>
    <row r="74" spans="1:14" ht="11.25" customHeight="1" x14ac:dyDescent="0.25">
      <c r="A74" s="615" t="s">
        <v>1993</v>
      </c>
      <c r="B74" s="616"/>
      <c r="C74" s="617"/>
      <c r="D74" s="617"/>
      <c r="E74" s="617"/>
      <c r="F74" s="1083"/>
      <c r="G74" s="1084"/>
      <c r="H74" s="1069"/>
      <c r="I74" s="618">
        <v>0</v>
      </c>
      <c r="J74" s="619">
        <v>0</v>
      </c>
      <c r="K74" s="618">
        <v>0</v>
      </c>
      <c r="L74" s="620">
        <v>0</v>
      </c>
      <c r="M74" s="621">
        <v>0</v>
      </c>
      <c r="N74" s="620">
        <v>0</v>
      </c>
    </row>
    <row r="75" spans="1:14" ht="11.25" customHeight="1" x14ac:dyDescent="0.25">
      <c r="A75" s="615" t="s">
        <v>1994</v>
      </c>
      <c r="B75" s="616"/>
      <c r="C75" s="617"/>
      <c r="D75" s="617"/>
      <c r="E75" s="617"/>
      <c r="F75" s="1083"/>
      <c r="G75" s="1084"/>
      <c r="H75" s="1069"/>
      <c r="I75" s="618">
        <v>0</v>
      </c>
      <c r="J75" s="619">
        <v>0</v>
      </c>
      <c r="K75" s="618">
        <v>0</v>
      </c>
      <c r="L75" s="620">
        <v>0</v>
      </c>
      <c r="M75" s="621">
        <v>0</v>
      </c>
      <c r="N75" s="620">
        <v>0</v>
      </c>
    </row>
    <row r="76" spans="1:14" ht="11.25" customHeight="1" x14ac:dyDescent="0.25">
      <c r="A76" s="615" t="s">
        <v>1888</v>
      </c>
      <c r="B76" s="616"/>
      <c r="C76" s="617"/>
      <c r="D76" s="617"/>
      <c r="E76" s="617"/>
      <c r="F76" s="1083"/>
      <c r="G76" s="1084"/>
      <c r="H76" s="1069"/>
      <c r="I76" s="618">
        <v>500000</v>
      </c>
      <c r="J76" s="619">
        <v>0</v>
      </c>
      <c r="K76" s="618">
        <v>0</v>
      </c>
      <c r="L76" s="620">
        <v>0</v>
      </c>
      <c r="M76" s="621">
        <v>0</v>
      </c>
      <c r="N76" s="620">
        <v>0</v>
      </c>
    </row>
    <row r="77" spans="1:14" ht="11.25" customHeight="1" x14ac:dyDescent="0.25">
      <c r="A77" s="615" t="s">
        <v>1995</v>
      </c>
      <c r="B77" s="616"/>
      <c r="C77" s="617"/>
      <c r="D77" s="617"/>
      <c r="E77" s="617"/>
      <c r="F77" s="1083"/>
      <c r="G77" s="1084"/>
      <c r="H77" s="1069"/>
      <c r="I77" s="618">
        <v>0</v>
      </c>
      <c r="J77" s="619">
        <v>0</v>
      </c>
      <c r="K77" s="618">
        <v>0</v>
      </c>
      <c r="L77" s="620">
        <v>0</v>
      </c>
      <c r="M77" s="621">
        <v>0</v>
      </c>
      <c r="N77" s="620">
        <v>0</v>
      </c>
    </row>
    <row r="78" spans="1:14" ht="11.25" customHeight="1" x14ac:dyDescent="0.25">
      <c r="A78" s="615" t="s">
        <v>1996</v>
      </c>
      <c r="B78" s="616"/>
      <c r="C78" s="617"/>
      <c r="D78" s="617"/>
      <c r="E78" s="617"/>
      <c r="F78" s="1083"/>
      <c r="G78" s="1084"/>
      <c r="H78" s="1069"/>
      <c r="I78" s="618">
        <v>0</v>
      </c>
      <c r="J78" s="619">
        <v>0</v>
      </c>
      <c r="K78" s="618">
        <v>0</v>
      </c>
      <c r="L78" s="620">
        <v>0</v>
      </c>
      <c r="M78" s="621">
        <v>0</v>
      </c>
      <c r="N78" s="620">
        <v>0</v>
      </c>
    </row>
    <row r="79" spans="1:14" ht="11.25" customHeight="1" x14ac:dyDescent="0.25">
      <c r="A79" s="615" t="s">
        <v>1997</v>
      </c>
      <c r="B79" s="616"/>
      <c r="C79" s="617"/>
      <c r="D79" s="617"/>
      <c r="E79" s="617"/>
      <c r="F79" s="1083"/>
      <c r="G79" s="1084"/>
      <c r="H79" s="1069"/>
      <c r="I79" s="618">
        <v>0</v>
      </c>
      <c r="J79" s="619">
        <v>0</v>
      </c>
      <c r="K79" s="618">
        <v>0</v>
      </c>
      <c r="L79" s="620">
        <v>0</v>
      </c>
      <c r="M79" s="621">
        <v>0</v>
      </c>
      <c r="N79" s="620">
        <v>0</v>
      </c>
    </row>
    <row r="80" spans="1:14" ht="11.25" customHeight="1" x14ac:dyDescent="0.25">
      <c r="A80" s="615" t="s">
        <v>1998</v>
      </c>
      <c r="B80" s="616"/>
      <c r="C80" s="617"/>
      <c r="D80" s="617"/>
      <c r="E80" s="617"/>
      <c r="F80" s="1083"/>
      <c r="G80" s="1084"/>
      <c r="H80" s="1069"/>
      <c r="I80" s="618">
        <v>0</v>
      </c>
      <c r="J80" s="619">
        <v>0</v>
      </c>
      <c r="K80" s="618">
        <v>0</v>
      </c>
      <c r="L80" s="620">
        <v>0</v>
      </c>
      <c r="M80" s="621">
        <v>0</v>
      </c>
      <c r="N80" s="620">
        <v>0</v>
      </c>
    </row>
    <row r="81" spans="1:14" ht="11.25" customHeight="1" x14ac:dyDescent="0.25">
      <c r="A81" s="615" t="s">
        <v>1999</v>
      </c>
      <c r="B81" s="616"/>
      <c r="C81" s="617"/>
      <c r="D81" s="617"/>
      <c r="E81" s="617"/>
      <c r="F81" s="1083"/>
      <c r="G81" s="1084"/>
      <c r="H81" s="1069"/>
      <c r="I81" s="618">
        <v>0</v>
      </c>
      <c r="J81" s="619">
        <v>0</v>
      </c>
      <c r="K81" s="618">
        <v>0</v>
      </c>
      <c r="L81" s="620">
        <v>0</v>
      </c>
      <c r="M81" s="621">
        <v>0</v>
      </c>
      <c r="N81" s="620">
        <v>0</v>
      </c>
    </row>
    <row r="82" spans="1:14" ht="11.25" customHeight="1" x14ac:dyDescent="0.25">
      <c r="A82" s="615" t="s">
        <v>2000</v>
      </c>
      <c r="B82" s="616"/>
      <c r="C82" s="617"/>
      <c r="D82" s="617"/>
      <c r="E82" s="617"/>
      <c r="F82" s="1083"/>
      <c r="G82" s="1084"/>
      <c r="H82" s="1069"/>
      <c r="I82" s="618">
        <v>0</v>
      </c>
      <c r="J82" s="619">
        <v>0</v>
      </c>
      <c r="K82" s="618">
        <v>0</v>
      </c>
      <c r="L82" s="620">
        <v>0</v>
      </c>
      <c r="M82" s="621">
        <v>0</v>
      </c>
      <c r="N82" s="620">
        <v>0</v>
      </c>
    </row>
    <row r="83" spans="1:14" ht="11.25" customHeight="1" x14ac:dyDescent="0.25">
      <c r="A83" s="615" t="s">
        <v>2001</v>
      </c>
      <c r="B83" s="616"/>
      <c r="C83" s="617"/>
      <c r="D83" s="617"/>
      <c r="E83" s="617"/>
      <c r="F83" s="1083"/>
      <c r="G83" s="1084"/>
      <c r="H83" s="1069"/>
      <c r="I83" s="618">
        <v>0</v>
      </c>
      <c r="J83" s="619">
        <v>0</v>
      </c>
      <c r="K83" s="618">
        <v>0</v>
      </c>
      <c r="L83" s="620">
        <v>0</v>
      </c>
      <c r="M83" s="621">
        <v>0</v>
      </c>
      <c r="N83" s="620">
        <v>0</v>
      </c>
    </row>
    <row r="84" spans="1:14" ht="11.25" customHeight="1" x14ac:dyDescent="0.25">
      <c r="A84" s="615" t="s">
        <v>2002</v>
      </c>
      <c r="B84" s="616"/>
      <c r="C84" s="617"/>
      <c r="D84" s="617"/>
      <c r="E84" s="617"/>
      <c r="F84" s="1083"/>
      <c r="G84" s="1084"/>
      <c r="H84" s="1069"/>
      <c r="I84" s="618">
        <v>0</v>
      </c>
      <c r="J84" s="619">
        <v>0</v>
      </c>
      <c r="K84" s="618">
        <v>0</v>
      </c>
      <c r="L84" s="620">
        <v>0</v>
      </c>
      <c r="M84" s="621">
        <v>0</v>
      </c>
      <c r="N84" s="620">
        <v>0</v>
      </c>
    </row>
    <row r="85" spans="1:14" ht="11.25" customHeight="1" x14ac:dyDescent="0.25">
      <c r="A85" s="615" t="s">
        <v>2003</v>
      </c>
      <c r="B85" s="616"/>
      <c r="C85" s="617"/>
      <c r="D85" s="617"/>
      <c r="E85" s="617"/>
      <c r="F85" s="1083"/>
      <c r="G85" s="1084"/>
      <c r="H85" s="1069"/>
      <c r="I85" s="618">
        <v>0</v>
      </c>
      <c r="J85" s="619">
        <v>0</v>
      </c>
      <c r="K85" s="618">
        <v>0</v>
      </c>
      <c r="L85" s="620">
        <v>0</v>
      </c>
      <c r="M85" s="621">
        <v>0</v>
      </c>
      <c r="N85" s="620">
        <v>0</v>
      </c>
    </row>
    <row r="86" spans="1:14" ht="11.25" customHeight="1" x14ac:dyDescent="0.25">
      <c r="A86" s="615" t="s">
        <v>2004</v>
      </c>
      <c r="B86" s="616"/>
      <c r="C86" s="617"/>
      <c r="D86" s="617"/>
      <c r="E86" s="617"/>
      <c r="F86" s="1083"/>
      <c r="G86" s="1084"/>
      <c r="H86" s="1069"/>
      <c r="I86" s="618">
        <v>0</v>
      </c>
      <c r="J86" s="619">
        <v>0</v>
      </c>
      <c r="K86" s="618">
        <v>0</v>
      </c>
      <c r="L86" s="620">
        <v>0</v>
      </c>
      <c r="M86" s="621">
        <v>0</v>
      </c>
      <c r="N86" s="620">
        <v>0</v>
      </c>
    </row>
    <row r="87" spans="1:14" ht="11.25" customHeight="1" x14ac:dyDescent="0.25">
      <c r="A87" s="615" t="s">
        <v>2005</v>
      </c>
      <c r="B87" s="616"/>
      <c r="C87" s="617"/>
      <c r="D87" s="617"/>
      <c r="E87" s="617"/>
      <c r="F87" s="1083"/>
      <c r="G87" s="1084"/>
      <c r="H87" s="1069"/>
      <c r="I87" s="618">
        <v>0</v>
      </c>
      <c r="J87" s="619">
        <v>0</v>
      </c>
      <c r="K87" s="618">
        <v>0</v>
      </c>
      <c r="L87" s="620">
        <v>0</v>
      </c>
      <c r="M87" s="621">
        <v>0</v>
      </c>
      <c r="N87" s="620">
        <v>0</v>
      </c>
    </row>
    <row r="88" spans="1:14" ht="11.25" customHeight="1" x14ac:dyDescent="0.25">
      <c r="A88" s="615" t="s">
        <v>2006</v>
      </c>
      <c r="B88" s="616"/>
      <c r="C88" s="617"/>
      <c r="D88" s="617"/>
      <c r="E88" s="617"/>
      <c r="F88" s="1083"/>
      <c r="G88" s="1084"/>
      <c r="H88" s="1069"/>
      <c r="I88" s="618">
        <v>0</v>
      </c>
      <c r="J88" s="619">
        <v>0</v>
      </c>
      <c r="K88" s="618">
        <v>0</v>
      </c>
      <c r="L88" s="620">
        <v>0</v>
      </c>
      <c r="M88" s="621">
        <v>0</v>
      </c>
      <c r="N88" s="620">
        <v>0</v>
      </c>
    </row>
    <row r="89" spans="1:14" ht="11.25" customHeight="1" x14ac:dyDescent="0.25">
      <c r="A89" s="615" t="s">
        <v>2007</v>
      </c>
      <c r="B89" s="616"/>
      <c r="C89" s="617"/>
      <c r="D89" s="617"/>
      <c r="E89" s="617"/>
      <c r="F89" s="1083"/>
      <c r="G89" s="1084"/>
      <c r="H89" s="1069"/>
      <c r="I89" s="618">
        <v>0</v>
      </c>
      <c r="J89" s="619">
        <v>0</v>
      </c>
      <c r="K89" s="618">
        <v>0</v>
      </c>
      <c r="L89" s="620">
        <v>0</v>
      </c>
      <c r="M89" s="621">
        <v>0</v>
      </c>
      <c r="N89" s="620">
        <v>0</v>
      </c>
    </row>
    <row r="90" spans="1:14" ht="11.25" customHeight="1" x14ac:dyDescent="0.25">
      <c r="A90" s="615" t="s">
        <v>2008</v>
      </c>
      <c r="B90" s="616"/>
      <c r="C90" s="617"/>
      <c r="D90" s="617"/>
      <c r="E90" s="617"/>
      <c r="F90" s="1083"/>
      <c r="G90" s="1084"/>
      <c r="H90" s="1069"/>
      <c r="I90" s="618">
        <v>0</v>
      </c>
      <c r="J90" s="619">
        <v>0</v>
      </c>
      <c r="K90" s="618">
        <v>0</v>
      </c>
      <c r="L90" s="620">
        <v>0</v>
      </c>
      <c r="M90" s="621">
        <v>0</v>
      </c>
      <c r="N90" s="620">
        <v>0</v>
      </c>
    </row>
    <row r="91" spans="1:14" ht="11.25" customHeight="1" x14ac:dyDescent="0.25">
      <c r="A91" s="615" t="s">
        <v>2009</v>
      </c>
      <c r="B91" s="616"/>
      <c r="C91" s="617"/>
      <c r="D91" s="617"/>
      <c r="E91" s="617"/>
      <c r="F91" s="1083"/>
      <c r="G91" s="1084"/>
      <c r="H91" s="1069"/>
      <c r="I91" s="618">
        <v>0</v>
      </c>
      <c r="J91" s="619">
        <v>0</v>
      </c>
      <c r="K91" s="618">
        <v>0</v>
      </c>
      <c r="L91" s="620">
        <v>0</v>
      </c>
      <c r="M91" s="621">
        <v>0</v>
      </c>
      <c r="N91" s="620">
        <v>0</v>
      </c>
    </row>
    <row r="92" spans="1:14" ht="11.25" customHeight="1" x14ac:dyDescent="0.25">
      <c r="A92" s="615" t="s">
        <v>2010</v>
      </c>
      <c r="B92" s="616"/>
      <c r="C92" s="617"/>
      <c r="D92" s="617"/>
      <c r="E92" s="617"/>
      <c r="F92" s="1083"/>
      <c r="G92" s="1084"/>
      <c r="H92" s="1069"/>
      <c r="I92" s="618">
        <v>0</v>
      </c>
      <c r="J92" s="619">
        <v>0</v>
      </c>
      <c r="K92" s="618">
        <v>0</v>
      </c>
      <c r="L92" s="620">
        <v>0</v>
      </c>
      <c r="M92" s="621">
        <v>0</v>
      </c>
      <c r="N92" s="620">
        <v>0</v>
      </c>
    </row>
    <row r="93" spans="1:14" ht="11.25" customHeight="1" x14ac:dyDescent="0.25">
      <c r="A93" s="615" t="s">
        <v>2011</v>
      </c>
      <c r="B93" s="616"/>
      <c r="C93" s="617"/>
      <c r="D93" s="617"/>
      <c r="E93" s="617"/>
      <c r="F93" s="1083"/>
      <c r="G93" s="1084"/>
      <c r="H93" s="1069"/>
      <c r="I93" s="618">
        <v>0</v>
      </c>
      <c r="J93" s="619">
        <v>0</v>
      </c>
      <c r="K93" s="618">
        <v>0</v>
      </c>
      <c r="L93" s="620">
        <v>0</v>
      </c>
      <c r="M93" s="621">
        <v>0</v>
      </c>
      <c r="N93" s="620">
        <v>0</v>
      </c>
    </row>
    <row r="94" spans="1:14" ht="11.25" customHeight="1" x14ac:dyDescent="0.25">
      <c r="A94" s="615" t="s">
        <v>2012</v>
      </c>
      <c r="B94" s="616"/>
      <c r="C94" s="617"/>
      <c r="D94" s="617"/>
      <c r="E94" s="617"/>
      <c r="F94" s="1083"/>
      <c r="G94" s="1084"/>
      <c r="H94" s="1069"/>
      <c r="I94" s="618">
        <v>0</v>
      </c>
      <c r="J94" s="619">
        <v>0</v>
      </c>
      <c r="K94" s="618">
        <v>0</v>
      </c>
      <c r="L94" s="620">
        <v>0</v>
      </c>
      <c r="M94" s="621">
        <v>0</v>
      </c>
      <c r="N94" s="620">
        <v>0</v>
      </c>
    </row>
    <row r="95" spans="1:14" ht="11.25" customHeight="1" x14ac:dyDescent="0.25">
      <c r="A95" s="615" t="s">
        <v>2013</v>
      </c>
      <c r="B95" s="616"/>
      <c r="C95" s="617"/>
      <c r="D95" s="617"/>
      <c r="E95" s="617"/>
      <c r="F95" s="1083"/>
      <c r="G95" s="1084"/>
      <c r="H95" s="1069"/>
      <c r="I95" s="618">
        <v>0</v>
      </c>
      <c r="J95" s="619">
        <v>0</v>
      </c>
      <c r="K95" s="618">
        <v>0</v>
      </c>
      <c r="L95" s="620">
        <v>0</v>
      </c>
      <c r="M95" s="621">
        <v>0</v>
      </c>
      <c r="N95" s="620">
        <v>0</v>
      </c>
    </row>
    <row r="96" spans="1:14" ht="11.25" customHeight="1" x14ac:dyDescent="0.25">
      <c r="A96" s="615" t="s">
        <v>2014</v>
      </c>
      <c r="B96" s="616"/>
      <c r="C96" s="617"/>
      <c r="D96" s="617"/>
      <c r="E96" s="617"/>
      <c r="F96" s="1083"/>
      <c r="G96" s="1084"/>
      <c r="H96" s="1069"/>
      <c r="I96" s="618">
        <v>0</v>
      </c>
      <c r="J96" s="619">
        <v>0</v>
      </c>
      <c r="K96" s="618">
        <v>0</v>
      </c>
      <c r="L96" s="620">
        <v>0</v>
      </c>
      <c r="M96" s="621">
        <v>0</v>
      </c>
      <c r="N96" s="620">
        <v>0</v>
      </c>
    </row>
    <row r="97" spans="1:14" ht="11.25" customHeight="1" x14ac:dyDescent="0.25">
      <c r="A97" s="615" t="s">
        <v>1889</v>
      </c>
      <c r="B97" s="616"/>
      <c r="C97" s="617"/>
      <c r="D97" s="617"/>
      <c r="E97" s="617"/>
      <c r="F97" s="1083"/>
      <c r="G97" s="1084"/>
      <c r="H97" s="1069"/>
      <c r="I97" s="618">
        <v>10000000</v>
      </c>
      <c r="J97" s="619">
        <v>10000000</v>
      </c>
      <c r="K97" s="618">
        <v>0</v>
      </c>
      <c r="L97" s="620">
        <v>0</v>
      </c>
      <c r="M97" s="621">
        <v>0</v>
      </c>
      <c r="N97" s="620">
        <v>0</v>
      </c>
    </row>
    <row r="98" spans="1:14" ht="11.25" customHeight="1" x14ac:dyDescent="0.25">
      <c r="A98" s="615" t="s">
        <v>1890</v>
      </c>
      <c r="B98" s="616"/>
      <c r="C98" s="617"/>
      <c r="D98" s="617"/>
      <c r="E98" s="617"/>
      <c r="F98" s="1083"/>
      <c r="G98" s="1084"/>
      <c r="H98" s="1069"/>
      <c r="I98" s="618">
        <v>1500000</v>
      </c>
      <c r="J98" s="619">
        <v>1000000</v>
      </c>
      <c r="K98" s="618">
        <v>0</v>
      </c>
      <c r="L98" s="620">
        <v>0</v>
      </c>
      <c r="M98" s="621">
        <v>0</v>
      </c>
      <c r="N98" s="620">
        <v>0</v>
      </c>
    </row>
    <row r="99" spans="1:14" ht="11.25" customHeight="1" x14ac:dyDescent="0.25">
      <c r="A99" s="615" t="s">
        <v>1891</v>
      </c>
      <c r="B99" s="616"/>
      <c r="C99" s="617"/>
      <c r="D99" s="617"/>
      <c r="E99" s="617"/>
      <c r="F99" s="1083"/>
      <c r="G99" s="1084"/>
      <c r="H99" s="1069"/>
      <c r="I99" s="618">
        <v>7000000</v>
      </c>
      <c r="J99" s="619">
        <v>5000000</v>
      </c>
      <c r="K99" s="618">
        <v>0</v>
      </c>
      <c r="L99" s="620">
        <v>0</v>
      </c>
      <c r="M99" s="621">
        <v>0</v>
      </c>
      <c r="N99" s="620">
        <v>0</v>
      </c>
    </row>
    <row r="100" spans="1:14" ht="11.25" customHeight="1" x14ac:dyDescent="0.25">
      <c r="A100" s="615" t="s">
        <v>1892</v>
      </c>
      <c r="B100" s="616"/>
      <c r="C100" s="617"/>
      <c r="D100" s="617"/>
      <c r="E100" s="617"/>
      <c r="F100" s="1083"/>
      <c r="G100" s="1084"/>
      <c r="H100" s="1069"/>
      <c r="I100" s="618">
        <v>8500000</v>
      </c>
      <c r="J100" s="619">
        <v>8500000</v>
      </c>
      <c r="K100" s="618">
        <v>0</v>
      </c>
      <c r="L100" s="620">
        <v>0</v>
      </c>
      <c r="M100" s="621">
        <v>0</v>
      </c>
      <c r="N100" s="620">
        <v>0</v>
      </c>
    </row>
    <row r="101" spans="1:14" ht="11.25" customHeight="1" x14ac:dyDescent="0.25">
      <c r="A101" s="615" t="s">
        <v>1893</v>
      </c>
      <c r="B101" s="616"/>
      <c r="C101" s="617"/>
      <c r="D101" s="617"/>
      <c r="E101" s="617"/>
      <c r="F101" s="1083"/>
      <c r="G101" s="1084"/>
      <c r="H101" s="1069"/>
      <c r="I101" s="618">
        <v>8000000</v>
      </c>
      <c r="J101" s="619">
        <v>8000000</v>
      </c>
      <c r="K101" s="618">
        <v>0</v>
      </c>
      <c r="L101" s="620">
        <v>0</v>
      </c>
      <c r="M101" s="621">
        <v>0</v>
      </c>
      <c r="N101" s="620">
        <v>0</v>
      </c>
    </row>
    <row r="102" spans="1:14" ht="11.25" customHeight="1" x14ac:dyDescent="0.25">
      <c r="A102" s="615" t="s">
        <v>1894</v>
      </c>
      <c r="B102" s="616"/>
      <c r="C102" s="617"/>
      <c r="D102" s="617"/>
      <c r="E102" s="617"/>
      <c r="F102" s="1083"/>
      <c r="G102" s="1084"/>
      <c r="H102" s="1069"/>
      <c r="I102" s="618">
        <v>12000000</v>
      </c>
      <c r="J102" s="619">
        <v>12000000</v>
      </c>
      <c r="K102" s="618">
        <v>0</v>
      </c>
      <c r="L102" s="620">
        <v>0</v>
      </c>
      <c r="M102" s="621">
        <v>0</v>
      </c>
      <c r="N102" s="620">
        <v>0</v>
      </c>
    </row>
    <row r="103" spans="1:14" ht="11.25" customHeight="1" x14ac:dyDescent="0.25">
      <c r="A103" s="615" t="s">
        <v>1895</v>
      </c>
      <c r="B103" s="616"/>
      <c r="C103" s="617"/>
      <c r="D103" s="617"/>
      <c r="E103" s="617"/>
      <c r="F103" s="1083"/>
      <c r="G103" s="1084"/>
      <c r="H103" s="1069"/>
      <c r="I103" s="618">
        <v>3000000</v>
      </c>
      <c r="J103" s="619">
        <v>3000000</v>
      </c>
      <c r="K103" s="618">
        <v>0</v>
      </c>
      <c r="L103" s="620">
        <v>0</v>
      </c>
      <c r="M103" s="621">
        <v>0</v>
      </c>
      <c r="N103" s="620">
        <v>0</v>
      </c>
    </row>
    <row r="104" spans="1:14" ht="11.25" customHeight="1" x14ac:dyDescent="0.25">
      <c r="A104" s="615" t="s">
        <v>1896</v>
      </c>
      <c r="B104" s="616"/>
      <c r="C104" s="617"/>
      <c r="D104" s="617"/>
      <c r="E104" s="617"/>
      <c r="F104" s="1083"/>
      <c r="G104" s="1084"/>
      <c r="H104" s="1069"/>
      <c r="I104" s="618">
        <v>15000000</v>
      </c>
      <c r="J104" s="619">
        <v>15000000</v>
      </c>
      <c r="K104" s="618">
        <v>0</v>
      </c>
      <c r="L104" s="620">
        <v>0</v>
      </c>
      <c r="M104" s="621">
        <v>0</v>
      </c>
      <c r="N104" s="620">
        <v>0</v>
      </c>
    </row>
    <row r="105" spans="1:14" ht="11.25" customHeight="1" x14ac:dyDescent="0.25">
      <c r="A105" s="615" t="s">
        <v>1897</v>
      </c>
      <c r="B105" s="616"/>
      <c r="C105" s="617"/>
      <c r="D105" s="617"/>
      <c r="E105" s="617"/>
      <c r="F105" s="1083"/>
      <c r="G105" s="1084"/>
      <c r="H105" s="1069"/>
      <c r="I105" s="618">
        <v>13000000</v>
      </c>
      <c r="J105" s="619">
        <v>13000000</v>
      </c>
      <c r="K105" s="618">
        <v>0</v>
      </c>
      <c r="L105" s="620">
        <v>0</v>
      </c>
      <c r="M105" s="621">
        <v>0</v>
      </c>
      <c r="N105" s="620">
        <v>0</v>
      </c>
    </row>
    <row r="106" spans="1:14" ht="11.25" customHeight="1" x14ac:dyDescent="0.25">
      <c r="A106" s="615" t="s">
        <v>1898</v>
      </c>
      <c r="B106" s="616"/>
      <c r="C106" s="617"/>
      <c r="D106" s="617"/>
      <c r="E106" s="617"/>
      <c r="F106" s="1083"/>
      <c r="G106" s="1084"/>
      <c r="H106" s="1069"/>
      <c r="I106" s="618">
        <v>8000000</v>
      </c>
      <c r="J106" s="619">
        <v>8000000</v>
      </c>
      <c r="K106" s="618">
        <v>0</v>
      </c>
      <c r="L106" s="620">
        <v>0</v>
      </c>
      <c r="M106" s="621">
        <v>0</v>
      </c>
      <c r="N106" s="620">
        <v>0</v>
      </c>
    </row>
    <row r="107" spans="1:14" ht="11.25" customHeight="1" x14ac:dyDescent="0.25">
      <c r="A107" s="615" t="s">
        <v>1899</v>
      </c>
      <c r="B107" s="616"/>
      <c r="C107" s="617"/>
      <c r="D107" s="617"/>
      <c r="E107" s="617"/>
      <c r="F107" s="1083"/>
      <c r="G107" s="1084"/>
      <c r="H107" s="1069"/>
      <c r="I107" s="618">
        <v>20000000</v>
      </c>
      <c r="J107" s="619">
        <v>20000000</v>
      </c>
      <c r="K107" s="618">
        <v>0</v>
      </c>
      <c r="L107" s="620">
        <v>0</v>
      </c>
      <c r="M107" s="621">
        <v>0</v>
      </c>
      <c r="N107" s="620">
        <v>0</v>
      </c>
    </row>
    <row r="108" spans="1:14" ht="11.25" customHeight="1" x14ac:dyDescent="0.25">
      <c r="A108" s="615" t="s">
        <v>1900</v>
      </c>
      <c r="B108" s="616"/>
      <c r="C108" s="617"/>
      <c r="D108" s="617"/>
      <c r="E108" s="617"/>
      <c r="F108" s="1083"/>
      <c r="G108" s="1084"/>
      <c r="H108" s="1069"/>
      <c r="I108" s="618">
        <v>20000000</v>
      </c>
      <c r="J108" s="619">
        <v>20000000</v>
      </c>
      <c r="K108" s="618">
        <v>0</v>
      </c>
      <c r="L108" s="620">
        <v>0</v>
      </c>
      <c r="M108" s="621">
        <v>0</v>
      </c>
      <c r="N108" s="620">
        <v>0</v>
      </c>
    </row>
    <row r="109" spans="1:14" ht="11.25" customHeight="1" x14ac:dyDescent="0.25">
      <c r="A109" s="615" t="s">
        <v>1901</v>
      </c>
      <c r="B109" s="616"/>
      <c r="C109" s="617"/>
      <c r="D109" s="617"/>
      <c r="E109" s="617"/>
      <c r="F109" s="1083"/>
      <c r="G109" s="1084"/>
      <c r="H109" s="1069"/>
      <c r="I109" s="618">
        <v>6000000</v>
      </c>
      <c r="J109" s="619">
        <v>6043363</v>
      </c>
      <c r="K109" s="618">
        <v>0</v>
      </c>
      <c r="L109" s="620">
        <v>0</v>
      </c>
      <c r="M109" s="621">
        <v>0</v>
      </c>
      <c r="N109" s="620">
        <v>0</v>
      </c>
    </row>
    <row r="110" spans="1:14" ht="11.25" customHeight="1" x14ac:dyDescent="0.25">
      <c r="A110" s="615" t="s">
        <v>1902</v>
      </c>
      <c r="B110" s="616"/>
      <c r="C110" s="617"/>
      <c r="D110" s="617"/>
      <c r="E110" s="617"/>
      <c r="F110" s="1083"/>
      <c r="G110" s="1084"/>
      <c r="H110" s="1069"/>
      <c r="I110" s="618">
        <v>13000000</v>
      </c>
      <c r="J110" s="619">
        <v>13000000</v>
      </c>
      <c r="K110" s="618">
        <v>0</v>
      </c>
      <c r="L110" s="620">
        <v>0</v>
      </c>
      <c r="M110" s="621">
        <v>0</v>
      </c>
      <c r="N110" s="620">
        <v>0</v>
      </c>
    </row>
    <row r="111" spans="1:14" ht="11.25" customHeight="1" x14ac:dyDescent="0.25">
      <c r="A111" s="615" t="s">
        <v>1903</v>
      </c>
      <c r="B111" s="616"/>
      <c r="C111" s="617"/>
      <c r="D111" s="617"/>
      <c r="E111" s="617"/>
      <c r="F111" s="1083"/>
      <c r="G111" s="1084"/>
      <c r="H111" s="1069"/>
      <c r="I111" s="618">
        <v>5000000</v>
      </c>
      <c r="J111" s="619">
        <v>5000000</v>
      </c>
      <c r="K111" s="618">
        <v>0</v>
      </c>
      <c r="L111" s="620">
        <v>0</v>
      </c>
      <c r="M111" s="621">
        <v>0</v>
      </c>
      <c r="N111" s="620">
        <v>0</v>
      </c>
    </row>
    <row r="112" spans="1:14" ht="11.25" customHeight="1" x14ac:dyDescent="0.25">
      <c r="A112" s="615" t="s">
        <v>1904</v>
      </c>
      <c r="B112" s="616"/>
      <c r="C112" s="617"/>
      <c r="D112" s="617"/>
      <c r="E112" s="617"/>
      <c r="F112" s="1083"/>
      <c r="G112" s="1084"/>
      <c r="H112" s="1069"/>
      <c r="I112" s="618">
        <v>8000000</v>
      </c>
      <c r="J112" s="619">
        <v>8000000</v>
      </c>
      <c r="K112" s="618">
        <v>0</v>
      </c>
      <c r="L112" s="620">
        <v>0</v>
      </c>
      <c r="M112" s="621">
        <v>0</v>
      </c>
      <c r="N112" s="620">
        <v>0</v>
      </c>
    </row>
    <row r="113" spans="1:14" ht="11.25" customHeight="1" x14ac:dyDescent="0.25">
      <c r="A113" s="615" t="s">
        <v>1905</v>
      </c>
      <c r="B113" s="616"/>
      <c r="C113" s="617"/>
      <c r="D113" s="617"/>
      <c r="E113" s="617"/>
      <c r="F113" s="1083"/>
      <c r="G113" s="1084"/>
      <c r="H113" s="1069"/>
      <c r="I113" s="618">
        <v>13000000</v>
      </c>
      <c r="J113" s="619">
        <v>13000000</v>
      </c>
      <c r="K113" s="618">
        <v>0</v>
      </c>
      <c r="L113" s="620">
        <v>0</v>
      </c>
      <c r="M113" s="621">
        <v>0</v>
      </c>
      <c r="N113" s="620">
        <v>0</v>
      </c>
    </row>
    <row r="114" spans="1:14" ht="11.25" customHeight="1" x14ac:dyDescent="0.25">
      <c r="A114" s="615" t="s">
        <v>2015</v>
      </c>
      <c r="B114" s="616"/>
      <c r="C114" s="617"/>
      <c r="D114" s="617"/>
      <c r="E114" s="617"/>
      <c r="F114" s="1083"/>
      <c r="G114" s="1084"/>
      <c r="H114" s="1069"/>
      <c r="I114" s="618">
        <v>0</v>
      </c>
      <c r="J114" s="619">
        <v>0</v>
      </c>
      <c r="K114" s="618">
        <v>0</v>
      </c>
      <c r="L114" s="620">
        <v>0</v>
      </c>
      <c r="M114" s="621">
        <v>0</v>
      </c>
      <c r="N114" s="620">
        <v>0</v>
      </c>
    </row>
    <row r="115" spans="1:14" ht="11.25" customHeight="1" x14ac:dyDescent="0.25">
      <c r="A115" s="615" t="s">
        <v>2016</v>
      </c>
      <c r="B115" s="616"/>
      <c r="C115" s="617"/>
      <c r="D115" s="617"/>
      <c r="E115" s="617"/>
      <c r="F115" s="1083"/>
      <c r="G115" s="1084"/>
      <c r="H115" s="1069"/>
      <c r="I115" s="618">
        <v>0</v>
      </c>
      <c r="J115" s="619">
        <v>0</v>
      </c>
      <c r="K115" s="618">
        <v>0</v>
      </c>
      <c r="L115" s="620">
        <v>0</v>
      </c>
      <c r="M115" s="621">
        <v>0</v>
      </c>
      <c r="N115" s="620">
        <v>0</v>
      </c>
    </row>
    <row r="116" spans="1:14" ht="11.25" customHeight="1" x14ac:dyDescent="0.25">
      <c r="A116" s="615" t="s">
        <v>2017</v>
      </c>
      <c r="B116" s="616"/>
      <c r="C116" s="617"/>
      <c r="D116" s="617"/>
      <c r="E116" s="617"/>
      <c r="F116" s="1083"/>
      <c r="G116" s="1084"/>
      <c r="H116" s="1069"/>
      <c r="I116" s="618">
        <v>0</v>
      </c>
      <c r="J116" s="619">
        <v>0</v>
      </c>
      <c r="K116" s="618">
        <v>0</v>
      </c>
      <c r="L116" s="620">
        <v>0</v>
      </c>
      <c r="M116" s="621">
        <v>0</v>
      </c>
      <c r="N116" s="620">
        <v>0</v>
      </c>
    </row>
    <row r="117" spans="1:14" ht="11.25" customHeight="1" x14ac:dyDescent="0.25">
      <c r="A117" s="615" t="s">
        <v>2018</v>
      </c>
      <c r="B117" s="616"/>
      <c r="C117" s="617"/>
      <c r="D117" s="617"/>
      <c r="E117" s="617"/>
      <c r="F117" s="1083"/>
      <c r="G117" s="1084"/>
      <c r="H117" s="1069"/>
      <c r="I117" s="618">
        <v>0</v>
      </c>
      <c r="J117" s="619">
        <v>0</v>
      </c>
      <c r="K117" s="618">
        <v>0</v>
      </c>
      <c r="L117" s="620">
        <v>0</v>
      </c>
      <c r="M117" s="621">
        <v>0</v>
      </c>
      <c r="N117" s="620">
        <v>0</v>
      </c>
    </row>
    <row r="118" spans="1:14" ht="11.25" customHeight="1" x14ac:dyDescent="0.25">
      <c r="A118" s="615" t="s">
        <v>2019</v>
      </c>
      <c r="B118" s="616"/>
      <c r="C118" s="617"/>
      <c r="D118" s="617"/>
      <c r="E118" s="617"/>
      <c r="F118" s="1083"/>
      <c r="G118" s="1084"/>
      <c r="H118" s="1069"/>
      <c r="I118" s="618">
        <v>0</v>
      </c>
      <c r="J118" s="619">
        <v>0</v>
      </c>
      <c r="K118" s="618">
        <v>0</v>
      </c>
      <c r="L118" s="620">
        <v>0</v>
      </c>
      <c r="M118" s="621">
        <v>0</v>
      </c>
      <c r="N118" s="620">
        <v>0</v>
      </c>
    </row>
    <row r="119" spans="1:14" ht="11.25" customHeight="1" x14ac:dyDescent="0.25">
      <c r="A119" s="615" t="s">
        <v>2020</v>
      </c>
      <c r="B119" s="616"/>
      <c r="C119" s="617"/>
      <c r="D119" s="617"/>
      <c r="E119" s="617"/>
      <c r="F119" s="1083"/>
      <c r="G119" s="1084"/>
      <c r="H119" s="1069"/>
      <c r="I119" s="618">
        <v>0</v>
      </c>
      <c r="J119" s="619">
        <v>0</v>
      </c>
      <c r="K119" s="618">
        <v>0</v>
      </c>
      <c r="L119" s="620">
        <v>0</v>
      </c>
      <c r="M119" s="621">
        <v>0</v>
      </c>
      <c r="N119" s="620">
        <v>0</v>
      </c>
    </row>
    <row r="120" spans="1:14" ht="11.25" customHeight="1" x14ac:dyDescent="0.25">
      <c r="A120" s="615" t="s">
        <v>2021</v>
      </c>
      <c r="B120" s="616"/>
      <c r="C120" s="617"/>
      <c r="D120" s="617"/>
      <c r="E120" s="617"/>
      <c r="F120" s="1083"/>
      <c r="G120" s="1084"/>
      <c r="H120" s="1069"/>
      <c r="I120" s="618">
        <v>0</v>
      </c>
      <c r="J120" s="619">
        <v>0</v>
      </c>
      <c r="K120" s="618">
        <v>0</v>
      </c>
      <c r="L120" s="620">
        <v>0</v>
      </c>
      <c r="M120" s="621">
        <v>0</v>
      </c>
      <c r="N120" s="620">
        <v>0</v>
      </c>
    </row>
    <row r="121" spans="1:14" ht="11.25" customHeight="1" x14ac:dyDescent="0.25">
      <c r="A121" s="615" t="s">
        <v>2022</v>
      </c>
      <c r="B121" s="616"/>
      <c r="C121" s="617"/>
      <c r="D121" s="617"/>
      <c r="E121" s="617"/>
      <c r="F121" s="1083"/>
      <c r="G121" s="1084"/>
      <c r="H121" s="1069"/>
      <c r="I121" s="618">
        <v>0</v>
      </c>
      <c r="J121" s="619">
        <v>0</v>
      </c>
      <c r="K121" s="618">
        <v>0</v>
      </c>
      <c r="L121" s="620">
        <v>0</v>
      </c>
      <c r="M121" s="621">
        <v>0</v>
      </c>
      <c r="N121" s="620">
        <v>0</v>
      </c>
    </row>
    <row r="122" spans="1:14" ht="11.25" customHeight="1" x14ac:dyDescent="0.25">
      <c r="A122" s="615" t="s">
        <v>1906</v>
      </c>
      <c r="B122" s="616"/>
      <c r="C122" s="617"/>
      <c r="D122" s="617"/>
      <c r="E122" s="617"/>
      <c r="F122" s="1083"/>
      <c r="G122" s="1084"/>
      <c r="H122" s="1069"/>
      <c r="I122" s="618">
        <v>1500000</v>
      </c>
      <c r="J122" s="619">
        <v>750000</v>
      </c>
      <c r="K122" s="618">
        <v>0</v>
      </c>
      <c r="L122" s="620">
        <v>0</v>
      </c>
      <c r="M122" s="621">
        <v>0</v>
      </c>
      <c r="N122" s="620">
        <v>0</v>
      </c>
    </row>
    <row r="123" spans="1:14" ht="11.25" customHeight="1" x14ac:dyDescent="0.25">
      <c r="A123" s="615" t="s">
        <v>1907</v>
      </c>
      <c r="B123" s="616"/>
      <c r="C123" s="617"/>
      <c r="D123" s="617"/>
      <c r="E123" s="617"/>
      <c r="F123" s="1083"/>
      <c r="G123" s="1084"/>
      <c r="H123" s="1069"/>
      <c r="I123" s="618">
        <v>3300000</v>
      </c>
      <c r="J123" s="619">
        <v>3000000</v>
      </c>
      <c r="K123" s="618">
        <v>0</v>
      </c>
      <c r="L123" s="620">
        <v>0</v>
      </c>
      <c r="M123" s="621">
        <v>0</v>
      </c>
      <c r="N123" s="620">
        <v>0</v>
      </c>
    </row>
    <row r="124" spans="1:14" ht="11.25" customHeight="1" x14ac:dyDescent="0.25">
      <c r="A124" s="615" t="s">
        <v>1908</v>
      </c>
      <c r="B124" s="616"/>
      <c r="C124" s="617"/>
      <c r="D124" s="617"/>
      <c r="E124" s="617"/>
      <c r="F124" s="1083"/>
      <c r="G124" s="1084"/>
      <c r="H124" s="1069"/>
      <c r="I124" s="618">
        <v>2000000</v>
      </c>
      <c r="J124" s="619">
        <v>2000000</v>
      </c>
      <c r="K124" s="618">
        <v>0</v>
      </c>
      <c r="L124" s="620">
        <v>0</v>
      </c>
      <c r="M124" s="621">
        <v>0</v>
      </c>
      <c r="N124" s="620">
        <v>0</v>
      </c>
    </row>
    <row r="125" spans="1:14" ht="11.25" customHeight="1" x14ac:dyDescent="0.25">
      <c r="A125" s="615" t="s">
        <v>1909</v>
      </c>
      <c r="B125" s="616"/>
      <c r="C125" s="617"/>
      <c r="D125" s="617"/>
      <c r="E125" s="617"/>
      <c r="F125" s="1083"/>
      <c r="G125" s="1084"/>
      <c r="H125" s="1069"/>
      <c r="I125" s="618">
        <v>2000000</v>
      </c>
      <c r="J125" s="619">
        <v>2000000</v>
      </c>
      <c r="K125" s="618">
        <v>0</v>
      </c>
      <c r="L125" s="620">
        <v>0</v>
      </c>
      <c r="M125" s="621">
        <v>0</v>
      </c>
      <c r="N125" s="620">
        <v>0</v>
      </c>
    </row>
    <row r="126" spans="1:14" ht="11.25" customHeight="1" x14ac:dyDescent="0.25">
      <c r="A126" s="615" t="s">
        <v>1910</v>
      </c>
      <c r="B126" s="616"/>
      <c r="C126" s="617"/>
      <c r="D126" s="617"/>
      <c r="E126" s="617"/>
      <c r="F126" s="1083"/>
      <c r="G126" s="1084"/>
      <c r="H126" s="1069"/>
      <c r="I126" s="618">
        <v>2000000</v>
      </c>
      <c r="J126" s="619">
        <v>2000000</v>
      </c>
      <c r="K126" s="618">
        <v>0</v>
      </c>
      <c r="L126" s="620">
        <v>0</v>
      </c>
      <c r="M126" s="621">
        <v>0</v>
      </c>
      <c r="N126" s="620">
        <v>0</v>
      </c>
    </row>
    <row r="127" spans="1:14" ht="11.25" customHeight="1" x14ac:dyDescent="0.25">
      <c r="A127" s="615" t="s">
        <v>1911</v>
      </c>
      <c r="B127" s="616"/>
      <c r="C127" s="617"/>
      <c r="D127" s="617"/>
      <c r="E127" s="617"/>
      <c r="F127" s="1083"/>
      <c r="G127" s="1084"/>
      <c r="H127" s="1069"/>
      <c r="I127" s="618">
        <v>2000000</v>
      </c>
      <c r="J127" s="619">
        <v>1000000</v>
      </c>
      <c r="K127" s="618">
        <v>0</v>
      </c>
      <c r="L127" s="620">
        <v>0</v>
      </c>
      <c r="M127" s="621">
        <v>0</v>
      </c>
      <c r="N127" s="620">
        <v>0</v>
      </c>
    </row>
    <row r="128" spans="1:14" ht="11.25" customHeight="1" x14ac:dyDescent="0.25">
      <c r="A128" s="615" t="s">
        <v>1912</v>
      </c>
      <c r="B128" s="616"/>
      <c r="C128" s="617"/>
      <c r="D128" s="617"/>
      <c r="E128" s="617"/>
      <c r="F128" s="1083"/>
      <c r="G128" s="1084"/>
      <c r="H128" s="1069"/>
      <c r="I128" s="618">
        <v>2000000</v>
      </c>
      <c r="J128" s="619">
        <v>1000000</v>
      </c>
      <c r="K128" s="618">
        <v>0</v>
      </c>
      <c r="L128" s="620">
        <v>0</v>
      </c>
      <c r="M128" s="621">
        <v>0</v>
      </c>
      <c r="N128" s="620">
        <v>0</v>
      </c>
    </row>
    <row r="129" spans="1:14" ht="11.25" customHeight="1" x14ac:dyDescent="0.25">
      <c r="A129" s="615" t="s">
        <v>2023</v>
      </c>
      <c r="B129" s="616"/>
      <c r="C129" s="617"/>
      <c r="D129" s="617"/>
      <c r="E129" s="617"/>
      <c r="F129" s="1083"/>
      <c r="G129" s="1084"/>
      <c r="H129" s="1069"/>
      <c r="I129" s="618">
        <v>0</v>
      </c>
      <c r="J129" s="619">
        <v>0</v>
      </c>
      <c r="K129" s="618">
        <v>0</v>
      </c>
      <c r="L129" s="620">
        <v>0</v>
      </c>
      <c r="M129" s="621">
        <v>0</v>
      </c>
      <c r="N129" s="620">
        <v>0</v>
      </c>
    </row>
    <row r="130" spans="1:14" ht="11.25" customHeight="1" x14ac:dyDescent="0.25">
      <c r="A130" s="615" t="s">
        <v>2024</v>
      </c>
      <c r="B130" s="616"/>
      <c r="C130" s="617"/>
      <c r="D130" s="617"/>
      <c r="E130" s="617"/>
      <c r="F130" s="1083"/>
      <c r="G130" s="1084"/>
      <c r="H130" s="1069"/>
      <c r="I130" s="618">
        <v>0</v>
      </c>
      <c r="J130" s="619">
        <v>0</v>
      </c>
      <c r="K130" s="618">
        <v>0</v>
      </c>
      <c r="L130" s="620">
        <v>0</v>
      </c>
      <c r="M130" s="621">
        <v>0</v>
      </c>
      <c r="N130" s="620">
        <v>0</v>
      </c>
    </row>
    <row r="131" spans="1:14" ht="11.25" customHeight="1" x14ac:dyDescent="0.25">
      <c r="A131" s="615" t="s">
        <v>2025</v>
      </c>
      <c r="B131" s="616"/>
      <c r="C131" s="617"/>
      <c r="D131" s="617"/>
      <c r="E131" s="617"/>
      <c r="F131" s="1083"/>
      <c r="G131" s="1084"/>
      <c r="H131" s="1069"/>
      <c r="I131" s="618">
        <v>0</v>
      </c>
      <c r="J131" s="619">
        <v>0</v>
      </c>
      <c r="K131" s="618">
        <v>0</v>
      </c>
      <c r="L131" s="620">
        <v>0</v>
      </c>
      <c r="M131" s="621">
        <v>0</v>
      </c>
      <c r="N131" s="620">
        <v>0</v>
      </c>
    </row>
    <row r="132" spans="1:14" ht="11.25" customHeight="1" x14ac:dyDescent="0.25">
      <c r="A132" s="615" t="s">
        <v>2026</v>
      </c>
      <c r="B132" s="616"/>
      <c r="C132" s="617"/>
      <c r="D132" s="617"/>
      <c r="E132" s="617"/>
      <c r="F132" s="1083"/>
      <c r="G132" s="1084"/>
      <c r="H132" s="1069"/>
      <c r="I132" s="618">
        <v>0</v>
      </c>
      <c r="J132" s="619">
        <v>0</v>
      </c>
      <c r="K132" s="618">
        <v>0</v>
      </c>
      <c r="L132" s="620">
        <v>0</v>
      </c>
      <c r="M132" s="621">
        <v>0</v>
      </c>
      <c r="N132" s="620">
        <v>0</v>
      </c>
    </row>
    <row r="133" spans="1:14" ht="11.25" customHeight="1" x14ac:dyDescent="0.25">
      <c r="A133" s="615" t="s">
        <v>2027</v>
      </c>
      <c r="B133" s="616"/>
      <c r="C133" s="617"/>
      <c r="D133" s="617"/>
      <c r="E133" s="617"/>
      <c r="F133" s="1083"/>
      <c r="G133" s="1084"/>
      <c r="H133" s="1069"/>
      <c r="I133" s="618">
        <v>0</v>
      </c>
      <c r="J133" s="619">
        <v>0</v>
      </c>
      <c r="K133" s="618">
        <v>0</v>
      </c>
      <c r="L133" s="620">
        <v>0</v>
      </c>
      <c r="M133" s="621">
        <v>0</v>
      </c>
      <c r="N133" s="620">
        <v>0</v>
      </c>
    </row>
    <row r="134" spans="1:14" ht="11.25" customHeight="1" x14ac:dyDescent="0.25">
      <c r="A134" s="615" t="s">
        <v>2028</v>
      </c>
      <c r="B134" s="616"/>
      <c r="C134" s="617"/>
      <c r="D134" s="617"/>
      <c r="E134" s="617"/>
      <c r="F134" s="1083"/>
      <c r="G134" s="1084"/>
      <c r="H134" s="1069"/>
      <c r="I134" s="618">
        <v>0</v>
      </c>
      <c r="J134" s="619">
        <v>0</v>
      </c>
      <c r="K134" s="618">
        <v>0</v>
      </c>
      <c r="L134" s="620">
        <v>0</v>
      </c>
      <c r="M134" s="621">
        <v>0</v>
      </c>
      <c r="N134" s="620">
        <v>0</v>
      </c>
    </row>
    <row r="135" spans="1:14" ht="11.25" customHeight="1" x14ac:dyDescent="0.25">
      <c r="A135" s="615" t="s">
        <v>2029</v>
      </c>
      <c r="B135" s="616"/>
      <c r="C135" s="617"/>
      <c r="D135" s="617"/>
      <c r="E135" s="617"/>
      <c r="F135" s="1083"/>
      <c r="G135" s="1084"/>
      <c r="H135" s="1069"/>
      <c r="I135" s="618">
        <v>0</v>
      </c>
      <c r="J135" s="619">
        <v>0</v>
      </c>
      <c r="K135" s="618">
        <v>0</v>
      </c>
      <c r="L135" s="620">
        <v>0</v>
      </c>
      <c r="M135" s="621">
        <v>0</v>
      </c>
      <c r="N135" s="620">
        <v>0</v>
      </c>
    </row>
    <row r="136" spans="1:14" ht="11.25" customHeight="1" x14ac:dyDescent="0.25">
      <c r="A136" s="615" t="s">
        <v>2030</v>
      </c>
      <c r="B136" s="616"/>
      <c r="C136" s="617"/>
      <c r="D136" s="617"/>
      <c r="E136" s="617"/>
      <c r="F136" s="1083"/>
      <c r="G136" s="1084"/>
      <c r="H136" s="1069"/>
      <c r="I136" s="618">
        <v>0</v>
      </c>
      <c r="J136" s="619">
        <v>0</v>
      </c>
      <c r="K136" s="618">
        <v>0</v>
      </c>
      <c r="L136" s="620">
        <v>0</v>
      </c>
      <c r="M136" s="621">
        <v>0</v>
      </c>
      <c r="N136" s="620">
        <v>0</v>
      </c>
    </row>
    <row r="137" spans="1:14" ht="11.25" customHeight="1" x14ac:dyDescent="0.25">
      <c r="A137" s="615" t="s">
        <v>2031</v>
      </c>
      <c r="B137" s="616"/>
      <c r="C137" s="617"/>
      <c r="D137" s="617"/>
      <c r="E137" s="617"/>
      <c r="F137" s="1083"/>
      <c r="G137" s="1084"/>
      <c r="H137" s="1069"/>
      <c r="I137" s="618">
        <v>0</v>
      </c>
      <c r="J137" s="619">
        <v>0</v>
      </c>
      <c r="K137" s="618">
        <v>0</v>
      </c>
      <c r="L137" s="620">
        <v>0</v>
      </c>
      <c r="M137" s="621">
        <v>0</v>
      </c>
      <c r="N137" s="620">
        <v>0</v>
      </c>
    </row>
    <row r="138" spans="1:14" ht="11.25" customHeight="1" x14ac:dyDescent="0.25">
      <c r="A138" s="615" t="s">
        <v>2032</v>
      </c>
      <c r="B138" s="616"/>
      <c r="C138" s="617"/>
      <c r="D138" s="617"/>
      <c r="E138" s="617"/>
      <c r="F138" s="1083"/>
      <c r="G138" s="1084"/>
      <c r="H138" s="1069"/>
      <c r="I138" s="618">
        <v>0</v>
      </c>
      <c r="J138" s="619">
        <v>0</v>
      </c>
      <c r="K138" s="618">
        <v>0</v>
      </c>
      <c r="L138" s="620">
        <v>0</v>
      </c>
      <c r="M138" s="621">
        <v>0</v>
      </c>
      <c r="N138" s="620">
        <v>0</v>
      </c>
    </row>
    <row r="139" spans="1:14" ht="11.25" customHeight="1" x14ac:dyDescent="0.25">
      <c r="A139" s="615" t="s">
        <v>2033</v>
      </c>
      <c r="B139" s="616"/>
      <c r="C139" s="617"/>
      <c r="D139" s="617"/>
      <c r="E139" s="617"/>
      <c r="F139" s="1083"/>
      <c r="G139" s="1084"/>
      <c r="H139" s="1069"/>
      <c r="I139" s="618">
        <v>0</v>
      </c>
      <c r="J139" s="619">
        <v>0</v>
      </c>
      <c r="K139" s="618">
        <v>0</v>
      </c>
      <c r="L139" s="620">
        <v>0</v>
      </c>
      <c r="M139" s="621">
        <v>0</v>
      </c>
      <c r="N139" s="620">
        <v>0</v>
      </c>
    </row>
    <row r="140" spans="1:14" ht="11.25" customHeight="1" x14ac:dyDescent="0.25">
      <c r="A140" s="615" t="s">
        <v>2034</v>
      </c>
      <c r="B140" s="616"/>
      <c r="C140" s="617"/>
      <c r="D140" s="617"/>
      <c r="E140" s="617"/>
      <c r="F140" s="1083"/>
      <c r="G140" s="1084"/>
      <c r="H140" s="1069"/>
      <c r="I140" s="618">
        <v>0</v>
      </c>
      <c r="J140" s="619">
        <v>0</v>
      </c>
      <c r="K140" s="618">
        <v>0</v>
      </c>
      <c r="L140" s="620">
        <v>0</v>
      </c>
      <c r="M140" s="621">
        <v>0</v>
      </c>
      <c r="N140" s="620">
        <v>0</v>
      </c>
    </row>
    <row r="141" spans="1:14" ht="11.25" customHeight="1" x14ac:dyDescent="0.25">
      <c r="A141" s="615" t="s">
        <v>1913</v>
      </c>
      <c r="B141" s="616"/>
      <c r="C141" s="617"/>
      <c r="D141" s="617"/>
      <c r="E141" s="617"/>
      <c r="F141" s="1083"/>
      <c r="G141" s="1084"/>
      <c r="H141" s="1069"/>
      <c r="I141" s="618">
        <v>800000</v>
      </c>
      <c r="J141" s="619">
        <v>800000</v>
      </c>
      <c r="K141" s="618">
        <v>0</v>
      </c>
      <c r="L141" s="620">
        <v>0</v>
      </c>
      <c r="M141" s="621">
        <v>0</v>
      </c>
      <c r="N141" s="620">
        <v>0</v>
      </c>
    </row>
    <row r="142" spans="1:14" ht="11.25" customHeight="1" x14ac:dyDescent="0.25">
      <c r="A142" s="615" t="s">
        <v>1914</v>
      </c>
      <c r="B142" s="616"/>
      <c r="C142" s="617"/>
      <c r="D142" s="617"/>
      <c r="E142" s="617"/>
      <c r="F142" s="1083"/>
      <c r="G142" s="1084"/>
      <c r="H142" s="1069"/>
      <c r="I142" s="618">
        <v>500000</v>
      </c>
      <c r="J142" s="619">
        <v>375000</v>
      </c>
      <c r="K142" s="618">
        <v>0</v>
      </c>
      <c r="L142" s="620">
        <v>0</v>
      </c>
      <c r="M142" s="621">
        <v>0</v>
      </c>
      <c r="N142" s="620">
        <v>0</v>
      </c>
    </row>
    <row r="143" spans="1:14" ht="11.25" customHeight="1" x14ac:dyDescent="0.25">
      <c r="A143" s="615" t="s">
        <v>1913</v>
      </c>
      <c r="B143" s="616"/>
      <c r="C143" s="617"/>
      <c r="D143" s="617"/>
      <c r="E143" s="617"/>
      <c r="F143" s="1083"/>
      <c r="G143" s="1084"/>
      <c r="H143" s="1069"/>
      <c r="I143" s="618">
        <v>2000000</v>
      </c>
      <c r="J143" s="619">
        <v>1500000</v>
      </c>
      <c r="K143" s="618">
        <v>0</v>
      </c>
      <c r="L143" s="620">
        <v>0</v>
      </c>
      <c r="M143" s="621">
        <v>0</v>
      </c>
      <c r="N143" s="620">
        <v>0</v>
      </c>
    </row>
    <row r="144" spans="1:14" ht="11.25" customHeight="1" x14ac:dyDescent="0.25">
      <c r="A144" s="615" t="s">
        <v>1915</v>
      </c>
      <c r="B144" s="616"/>
      <c r="C144" s="617"/>
      <c r="D144" s="617"/>
      <c r="E144" s="617"/>
      <c r="F144" s="1083"/>
      <c r="G144" s="1084"/>
      <c r="H144" s="1069"/>
      <c r="I144" s="618">
        <v>500000</v>
      </c>
      <c r="J144" s="619">
        <v>375000</v>
      </c>
      <c r="K144" s="618">
        <v>0</v>
      </c>
      <c r="L144" s="620">
        <v>0</v>
      </c>
      <c r="M144" s="621">
        <v>0</v>
      </c>
      <c r="N144" s="620">
        <v>0</v>
      </c>
    </row>
    <row r="145" spans="1:14" ht="11.25" customHeight="1" x14ac:dyDescent="0.25">
      <c r="A145" s="615" t="s">
        <v>1916</v>
      </c>
      <c r="B145" s="616"/>
      <c r="C145" s="617"/>
      <c r="D145" s="617"/>
      <c r="E145" s="617"/>
      <c r="F145" s="1083"/>
      <c r="G145" s="1084"/>
      <c r="H145" s="1069"/>
      <c r="I145" s="618">
        <v>500000</v>
      </c>
      <c r="J145" s="619">
        <v>500000</v>
      </c>
      <c r="K145" s="618">
        <v>0</v>
      </c>
      <c r="L145" s="620">
        <v>0</v>
      </c>
      <c r="M145" s="621">
        <v>0</v>
      </c>
      <c r="N145" s="620">
        <v>0</v>
      </c>
    </row>
    <row r="146" spans="1:14" ht="11.25" customHeight="1" x14ac:dyDescent="0.25">
      <c r="A146" s="615" t="s">
        <v>2035</v>
      </c>
      <c r="B146" s="616"/>
      <c r="C146" s="617"/>
      <c r="D146" s="617"/>
      <c r="E146" s="617"/>
      <c r="F146" s="1083"/>
      <c r="G146" s="1084"/>
      <c r="H146" s="1069"/>
      <c r="I146" s="618">
        <v>0</v>
      </c>
      <c r="J146" s="619">
        <v>0</v>
      </c>
      <c r="K146" s="618">
        <v>0</v>
      </c>
      <c r="L146" s="620">
        <v>0</v>
      </c>
      <c r="M146" s="621">
        <v>0</v>
      </c>
      <c r="N146" s="620">
        <v>0</v>
      </c>
    </row>
    <row r="147" spans="1:14" ht="11.25" customHeight="1" x14ac:dyDescent="0.25">
      <c r="A147" s="615" t="s">
        <v>2036</v>
      </c>
      <c r="B147" s="616"/>
      <c r="C147" s="617"/>
      <c r="D147" s="617"/>
      <c r="E147" s="617"/>
      <c r="F147" s="1083"/>
      <c r="G147" s="1084"/>
      <c r="H147" s="1069"/>
      <c r="I147" s="618">
        <v>0</v>
      </c>
      <c r="J147" s="619">
        <v>0</v>
      </c>
      <c r="K147" s="618">
        <v>0</v>
      </c>
      <c r="L147" s="620">
        <v>0</v>
      </c>
      <c r="M147" s="621">
        <v>0</v>
      </c>
      <c r="N147" s="620">
        <v>0</v>
      </c>
    </row>
    <row r="148" spans="1:14" ht="11.25" customHeight="1" x14ac:dyDescent="0.25">
      <c r="A148" s="615" t="s">
        <v>1917</v>
      </c>
      <c r="B148" s="616"/>
      <c r="C148" s="617"/>
      <c r="D148" s="617"/>
      <c r="E148" s="617"/>
      <c r="F148" s="1083"/>
      <c r="G148" s="1084"/>
      <c r="H148" s="1069"/>
      <c r="I148" s="618">
        <v>1000000</v>
      </c>
      <c r="J148" s="619">
        <v>500000</v>
      </c>
      <c r="K148" s="618">
        <v>0</v>
      </c>
      <c r="L148" s="620">
        <v>0</v>
      </c>
      <c r="M148" s="621">
        <v>0</v>
      </c>
      <c r="N148" s="620">
        <v>0</v>
      </c>
    </row>
    <row r="149" spans="1:14" ht="11.25" customHeight="1" x14ac:dyDescent="0.25">
      <c r="A149" s="615" t="s">
        <v>1918</v>
      </c>
      <c r="B149" s="616"/>
      <c r="C149" s="617"/>
      <c r="D149" s="617"/>
      <c r="E149" s="617"/>
      <c r="F149" s="1083"/>
      <c r="G149" s="1084"/>
      <c r="H149" s="1069"/>
      <c r="I149" s="618">
        <v>120000</v>
      </c>
      <c r="J149" s="619">
        <v>0</v>
      </c>
      <c r="K149" s="618">
        <v>0</v>
      </c>
      <c r="L149" s="620">
        <v>0</v>
      </c>
      <c r="M149" s="621">
        <v>0</v>
      </c>
      <c r="N149" s="620">
        <v>0</v>
      </c>
    </row>
    <row r="150" spans="1:14" ht="11.25" customHeight="1" x14ac:dyDescent="0.25">
      <c r="A150" s="615" t="s">
        <v>1919</v>
      </c>
      <c r="B150" s="616"/>
      <c r="C150" s="617"/>
      <c r="D150" s="617"/>
      <c r="E150" s="617"/>
      <c r="F150" s="1083"/>
      <c r="G150" s="1084"/>
      <c r="H150" s="1069"/>
      <c r="I150" s="618">
        <v>400000</v>
      </c>
      <c r="J150" s="619">
        <v>0</v>
      </c>
      <c r="K150" s="618">
        <v>0</v>
      </c>
      <c r="L150" s="620">
        <v>0</v>
      </c>
      <c r="M150" s="621">
        <v>0</v>
      </c>
      <c r="N150" s="620">
        <v>0</v>
      </c>
    </row>
    <row r="151" spans="1:14" ht="11.25" customHeight="1" x14ac:dyDescent="0.25">
      <c r="A151" s="615" t="s">
        <v>1920</v>
      </c>
      <c r="B151" s="616"/>
      <c r="C151" s="617"/>
      <c r="D151" s="617"/>
      <c r="E151" s="617"/>
      <c r="F151" s="1083"/>
      <c r="G151" s="1084"/>
      <c r="H151" s="1069"/>
      <c r="I151" s="618">
        <v>390000</v>
      </c>
      <c r="J151" s="619">
        <v>240000</v>
      </c>
      <c r="K151" s="618">
        <v>0</v>
      </c>
      <c r="L151" s="620">
        <v>0</v>
      </c>
      <c r="M151" s="621">
        <v>0</v>
      </c>
      <c r="N151" s="620">
        <v>0</v>
      </c>
    </row>
    <row r="152" spans="1:14" ht="11.25" customHeight="1" x14ac:dyDescent="0.25">
      <c r="A152" s="615" t="s">
        <v>1921</v>
      </c>
      <c r="B152" s="616"/>
      <c r="C152" s="617"/>
      <c r="D152" s="617"/>
      <c r="E152" s="617"/>
      <c r="F152" s="1083"/>
      <c r="G152" s="1084"/>
      <c r="H152" s="1069"/>
      <c r="I152" s="618">
        <v>400000</v>
      </c>
      <c r="J152" s="619">
        <v>400000</v>
      </c>
      <c r="K152" s="618">
        <v>0</v>
      </c>
      <c r="L152" s="620">
        <v>0</v>
      </c>
      <c r="M152" s="621">
        <v>0</v>
      </c>
      <c r="N152" s="620">
        <v>0</v>
      </c>
    </row>
    <row r="153" spans="1:14" ht="11.25" customHeight="1" x14ac:dyDescent="0.25">
      <c r="A153" s="615" t="s">
        <v>1922</v>
      </c>
      <c r="B153" s="616"/>
      <c r="C153" s="617"/>
      <c r="D153" s="617"/>
      <c r="E153" s="617"/>
      <c r="F153" s="1083"/>
      <c r="G153" s="1084"/>
      <c r="H153" s="1069"/>
      <c r="I153" s="618">
        <v>500000</v>
      </c>
      <c r="J153" s="619">
        <v>100000</v>
      </c>
      <c r="K153" s="618">
        <v>0</v>
      </c>
      <c r="L153" s="620">
        <v>0</v>
      </c>
      <c r="M153" s="621">
        <v>0</v>
      </c>
      <c r="N153" s="620">
        <v>0</v>
      </c>
    </row>
    <row r="154" spans="1:14" ht="11.25" customHeight="1" x14ac:dyDescent="0.25">
      <c r="A154" s="615" t="s">
        <v>1923</v>
      </c>
      <c r="B154" s="616"/>
      <c r="C154" s="617"/>
      <c r="D154" s="617"/>
      <c r="E154" s="617"/>
      <c r="F154" s="1083"/>
      <c r="G154" s="1084"/>
      <c r="H154" s="1069"/>
      <c r="I154" s="618">
        <v>640000</v>
      </c>
      <c r="J154" s="619">
        <v>240000</v>
      </c>
      <c r="K154" s="618">
        <v>0</v>
      </c>
      <c r="L154" s="620">
        <v>0</v>
      </c>
      <c r="M154" s="621">
        <v>0</v>
      </c>
      <c r="N154" s="620">
        <v>0</v>
      </c>
    </row>
    <row r="155" spans="1:14" ht="11.25" customHeight="1" x14ac:dyDescent="0.25">
      <c r="A155" s="615" t="s">
        <v>1924</v>
      </c>
      <c r="B155" s="616"/>
      <c r="C155" s="617"/>
      <c r="D155" s="617"/>
      <c r="E155" s="617"/>
      <c r="F155" s="1083"/>
      <c r="G155" s="1084"/>
      <c r="H155" s="1069"/>
      <c r="I155" s="618">
        <v>500000</v>
      </c>
      <c r="J155" s="619">
        <v>500000</v>
      </c>
      <c r="K155" s="618">
        <v>0</v>
      </c>
      <c r="L155" s="620">
        <v>0</v>
      </c>
      <c r="M155" s="621">
        <v>0</v>
      </c>
      <c r="N155" s="620">
        <v>0</v>
      </c>
    </row>
    <row r="156" spans="1:14" ht="11.25" customHeight="1" x14ac:dyDescent="0.25">
      <c r="A156" s="615" t="s">
        <v>1925</v>
      </c>
      <c r="B156" s="616"/>
      <c r="C156" s="617"/>
      <c r="D156" s="617"/>
      <c r="E156" s="617"/>
      <c r="F156" s="1083"/>
      <c r="G156" s="1084"/>
      <c r="H156" s="1069"/>
      <c r="I156" s="618">
        <v>800000</v>
      </c>
      <c r="J156" s="619">
        <v>400000</v>
      </c>
      <c r="K156" s="618">
        <v>0</v>
      </c>
      <c r="L156" s="620">
        <v>0</v>
      </c>
      <c r="M156" s="621">
        <v>0</v>
      </c>
      <c r="N156" s="620">
        <v>0</v>
      </c>
    </row>
    <row r="157" spans="1:14" ht="11.25" customHeight="1" x14ac:dyDescent="0.25">
      <c r="A157" s="615" t="s">
        <v>1926</v>
      </c>
      <c r="B157" s="616"/>
      <c r="C157" s="617"/>
      <c r="D157" s="617"/>
      <c r="E157" s="617"/>
      <c r="F157" s="1083"/>
      <c r="G157" s="1084"/>
      <c r="H157" s="1069"/>
      <c r="I157" s="618">
        <v>500000</v>
      </c>
      <c r="J157" s="619">
        <v>0</v>
      </c>
      <c r="K157" s="618">
        <v>0</v>
      </c>
      <c r="L157" s="620">
        <v>0</v>
      </c>
      <c r="M157" s="621">
        <v>0</v>
      </c>
      <c r="N157" s="620">
        <v>0</v>
      </c>
    </row>
    <row r="158" spans="1:14" ht="11.25" customHeight="1" x14ac:dyDescent="0.25">
      <c r="A158" s="615" t="s">
        <v>1927</v>
      </c>
      <c r="B158" s="616"/>
      <c r="C158" s="617"/>
      <c r="D158" s="617"/>
      <c r="E158" s="617"/>
      <c r="F158" s="1083"/>
      <c r="G158" s="1084"/>
      <c r="H158" s="1069"/>
      <c r="I158" s="618">
        <v>150000</v>
      </c>
      <c r="J158" s="619">
        <v>150000</v>
      </c>
      <c r="K158" s="618">
        <v>0</v>
      </c>
      <c r="L158" s="620">
        <v>0</v>
      </c>
      <c r="M158" s="621">
        <v>0</v>
      </c>
      <c r="N158" s="620">
        <v>0</v>
      </c>
    </row>
    <row r="159" spans="1:14" ht="11.25" customHeight="1" x14ac:dyDescent="0.25">
      <c r="A159" s="615" t="s">
        <v>1928</v>
      </c>
      <c r="B159" s="616"/>
      <c r="C159" s="617"/>
      <c r="D159" s="617"/>
      <c r="E159" s="617"/>
      <c r="F159" s="1083"/>
      <c r="G159" s="1084"/>
      <c r="H159" s="1069"/>
      <c r="I159" s="618">
        <v>150000</v>
      </c>
      <c r="J159" s="619">
        <v>150000</v>
      </c>
      <c r="K159" s="618">
        <v>0</v>
      </c>
      <c r="L159" s="620">
        <v>0</v>
      </c>
      <c r="M159" s="621">
        <v>0</v>
      </c>
      <c r="N159" s="620">
        <v>0</v>
      </c>
    </row>
    <row r="160" spans="1:14" ht="11.25" customHeight="1" x14ac:dyDescent="0.25">
      <c r="A160" s="615" t="s">
        <v>1929</v>
      </c>
      <c r="B160" s="616"/>
      <c r="C160" s="617"/>
      <c r="D160" s="617"/>
      <c r="E160" s="617"/>
      <c r="F160" s="1083"/>
      <c r="G160" s="1084"/>
      <c r="H160" s="1069"/>
      <c r="I160" s="618">
        <v>150000</v>
      </c>
      <c r="J160" s="619">
        <v>100000</v>
      </c>
      <c r="K160" s="618">
        <v>0</v>
      </c>
      <c r="L160" s="620">
        <v>0</v>
      </c>
      <c r="M160" s="621">
        <v>0</v>
      </c>
      <c r="N160" s="620">
        <v>0</v>
      </c>
    </row>
    <row r="161" spans="1:14" ht="11.25" customHeight="1" x14ac:dyDescent="0.25">
      <c r="A161" s="615" t="s">
        <v>1930</v>
      </c>
      <c r="B161" s="616"/>
      <c r="C161" s="617"/>
      <c r="D161" s="617"/>
      <c r="E161" s="617"/>
      <c r="F161" s="1083"/>
      <c r="G161" s="1084"/>
      <c r="H161" s="1069"/>
      <c r="I161" s="618">
        <v>150000</v>
      </c>
      <c r="J161" s="619">
        <v>100000</v>
      </c>
      <c r="K161" s="618">
        <v>0</v>
      </c>
      <c r="L161" s="620">
        <v>0</v>
      </c>
      <c r="M161" s="621">
        <v>0</v>
      </c>
      <c r="N161" s="620">
        <v>0</v>
      </c>
    </row>
    <row r="162" spans="1:14" ht="11.25" customHeight="1" x14ac:dyDescent="0.25">
      <c r="A162" s="615" t="s">
        <v>1931</v>
      </c>
      <c r="B162" s="616"/>
      <c r="C162" s="617"/>
      <c r="D162" s="617"/>
      <c r="E162" s="617"/>
      <c r="F162" s="1083"/>
      <c r="G162" s="1084"/>
      <c r="H162" s="1069"/>
      <c r="I162" s="618">
        <v>50000</v>
      </c>
      <c r="J162" s="619">
        <v>50000</v>
      </c>
      <c r="K162" s="618">
        <v>0</v>
      </c>
      <c r="L162" s="620">
        <v>0</v>
      </c>
      <c r="M162" s="621">
        <v>0</v>
      </c>
      <c r="N162" s="620">
        <v>0</v>
      </c>
    </row>
    <row r="163" spans="1:14" ht="11.25" customHeight="1" x14ac:dyDescent="0.25">
      <c r="A163" s="615" t="s">
        <v>1932</v>
      </c>
      <c r="B163" s="616"/>
      <c r="C163" s="617"/>
      <c r="D163" s="617"/>
      <c r="E163" s="617"/>
      <c r="F163" s="1083"/>
      <c r="G163" s="1084"/>
      <c r="H163" s="1069"/>
      <c r="I163" s="618">
        <v>100000</v>
      </c>
      <c r="J163" s="619">
        <v>100000</v>
      </c>
      <c r="K163" s="618">
        <v>0</v>
      </c>
      <c r="L163" s="620">
        <v>0</v>
      </c>
      <c r="M163" s="621">
        <v>0</v>
      </c>
      <c r="N163" s="620">
        <v>0</v>
      </c>
    </row>
    <row r="164" spans="1:14" ht="11.25" customHeight="1" x14ac:dyDescent="0.25">
      <c r="A164" s="615" t="s">
        <v>2037</v>
      </c>
      <c r="B164" s="616"/>
      <c r="C164" s="617"/>
      <c r="D164" s="617"/>
      <c r="E164" s="617"/>
      <c r="F164" s="1083"/>
      <c r="G164" s="1084"/>
      <c r="H164" s="1069"/>
      <c r="I164" s="618">
        <v>0</v>
      </c>
      <c r="J164" s="619">
        <v>6150</v>
      </c>
      <c r="K164" s="618">
        <v>0</v>
      </c>
      <c r="L164" s="620">
        <v>0</v>
      </c>
      <c r="M164" s="621">
        <v>0</v>
      </c>
      <c r="N164" s="620">
        <v>0</v>
      </c>
    </row>
    <row r="165" spans="1:14" ht="11.25" customHeight="1" x14ac:dyDescent="0.25">
      <c r="A165" s="615" t="s">
        <v>2038</v>
      </c>
      <c r="B165" s="616"/>
      <c r="C165" s="617"/>
      <c r="D165" s="617"/>
      <c r="E165" s="617"/>
      <c r="F165" s="1083"/>
      <c r="G165" s="1084"/>
      <c r="H165" s="1069"/>
      <c r="I165" s="618">
        <v>0</v>
      </c>
      <c r="J165" s="619">
        <v>1901310</v>
      </c>
      <c r="K165" s="618">
        <v>0</v>
      </c>
      <c r="L165" s="620">
        <v>0</v>
      </c>
      <c r="M165" s="621">
        <v>0</v>
      </c>
      <c r="N165" s="620">
        <v>0</v>
      </c>
    </row>
    <row r="166" spans="1:14" ht="11.25" customHeight="1" x14ac:dyDescent="0.25">
      <c r="A166" s="615" t="s">
        <v>1933</v>
      </c>
      <c r="B166" s="616"/>
      <c r="C166" s="617"/>
      <c r="D166" s="617"/>
      <c r="E166" s="617"/>
      <c r="F166" s="1083"/>
      <c r="G166" s="1084"/>
      <c r="H166" s="1069"/>
      <c r="I166" s="618">
        <v>800000</v>
      </c>
      <c r="J166" s="619">
        <v>800000</v>
      </c>
      <c r="K166" s="618">
        <v>0</v>
      </c>
      <c r="L166" s="620">
        <v>0</v>
      </c>
      <c r="M166" s="621">
        <v>0</v>
      </c>
      <c r="N166" s="620">
        <v>0</v>
      </c>
    </row>
    <row r="167" spans="1:14" ht="11.25" customHeight="1" x14ac:dyDescent="0.25">
      <c r="A167" s="615" t="s">
        <v>1934</v>
      </c>
      <c r="B167" s="616"/>
      <c r="C167" s="617"/>
      <c r="D167" s="617"/>
      <c r="E167" s="617"/>
      <c r="F167" s="1083"/>
      <c r="G167" s="1084"/>
      <c r="H167" s="1069"/>
      <c r="I167" s="618">
        <v>500000</v>
      </c>
      <c r="J167" s="619">
        <v>500000</v>
      </c>
      <c r="K167" s="618">
        <v>0</v>
      </c>
      <c r="L167" s="620">
        <v>0</v>
      </c>
      <c r="M167" s="621">
        <v>0</v>
      </c>
      <c r="N167" s="620">
        <v>0</v>
      </c>
    </row>
    <row r="168" spans="1:14" ht="11.25" customHeight="1" x14ac:dyDescent="0.25">
      <c r="A168" s="615" t="s">
        <v>1935</v>
      </c>
      <c r="B168" s="616"/>
      <c r="C168" s="617"/>
      <c r="D168" s="617"/>
      <c r="E168" s="617"/>
      <c r="F168" s="1083"/>
      <c r="G168" s="1084"/>
      <c r="H168" s="1069"/>
      <c r="I168" s="618">
        <v>800000</v>
      </c>
      <c r="J168" s="619">
        <v>800000</v>
      </c>
      <c r="K168" s="618">
        <v>0</v>
      </c>
      <c r="L168" s="620">
        <v>0</v>
      </c>
      <c r="M168" s="621">
        <v>0</v>
      </c>
      <c r="N168" s="620">
        <v>0</v>
      </c>
    </row>
    <row r="169" spans="1:14" ht="11.25" customHeight="1" x14ac:dyDescent="0.25">
      <c r="A169" s="615" t="s">
        <v>1936</v>
      </c>
      <c r="B169" s="616"/>
      <c r="C169" s="617"/>
      <c r="D169" s="617"/>
      <c r="E169" s="617"/>
      <c r="F169" s="1083"/>
      <c r="G169" s="1084"/>
      <c r="H169" s="1069"/>
      <c r="I169" s="618">
        <v>700000</v>
      </c>
      <c r="J169" s="619">
        <v>700000</v>
      </c>
      <c r="K169" s="618">
        <v>0</v>
      </c>
      <c r="L169" s="620">
        <v>0</v>
      </c>
      <c r="M169" s="621">
        <v>0</v>
      </c>
      <c r="N169" s="620">
        <v>0</v>
      </c>
    </row>
    <row r="170" spans="1:14" ht="11.25" customHeight="1" x14ac:dyDescent="0.25">
      <c r="A170" s="615" t="s">
        <v>1937</v>
      </c>
      <c r="B170" s="616"/>
      <c r="C170" s="617"/>
      <c r="D170" s="617"/>
      <c r="E170" s="617"/>
      <c r="F170" s="1083"/>
      <c r="G170" s="1084"/>
      <c r="H170" s="1069"/>
      <c r="I170" s="618">
        <v>500000</v>
      </c>
      <c r="J170" s="619">
        <v>500000</v>
      </c>
      <c r="K170" s="618">
        <v>0</v>
      </c>
      <c r="L170" s="620">
        <v>0</v>
      </c>
      <c r="M170" s="621">
        <v>0</v>
      </c>
      <c r="N170" s="620">
        <v>0</v>
      </c>
    </row>
    <row r="171" spans="1:14" ht="11.25" customHeight="1" x14ac:dyDescent="0.25">
      <c r="A171" s="615" t="s">
        <v>1938</v>
      </c>
      <c r="B171" s="616"/>
      <c r="C171" s="617"/>
      <c r="D171" s="617"/>
      <c r="E171" s="617"/>
      <c r="F171" s="1083"/>
      <c r="G171" s="1084"/>
      <c r="H171" s="1069"/>
      <c r="I171" s="618">
        <v>500000</v>
      </c>
      <c r="J171" s="619">
        <v>500000</v>
      </c>
      <c r="K171" s="618">
        <v>0</v>
      </c>
      <c r="L171" s="620">
        <v>0</v>
      </c>
      <c r="M171" s="621">
        <v>0</v>
      </c>
      <c r="N171" s="620">
        <v>0</v>
      </c>
    </row>
    <row r="172" spans="1:14" ht="11.25" customHeight="1" x14ac:dyDescent="0.25">
      <c r="A172" s="615" t="s">
        <v>2039</v>
      </c>
      <c r="B172" s="616"/>
      <c r="C172" s="617"/>
      <c r="D172" s="617"/>
      <c r="E172" s="617"/>
      <c r="F172" s="1083"/>
      <c r="G172" s="1084"/>
      <c r="H172" s="1069"/>
      <c r="I172" s="618">
        <v>0</v>
      </c>
      <c r="J172" s="619">
        <v>0</v>
      </c>
      <c r="K172" s="618">
        <v>0</v>
      </c>
      <c r="L172" s="620">
        <v>0</v>
      </c>
      <c r="M172" s="621">
        <v>0</v>
      </c>
      <c r="N172" s="620">
        <v>0</v>
      </c>
    </row>
    <row r="173" spans="1:14" ht="11.25" customHeight="1" x14ac:dyDescent="0.25">
      <c r="A173" s="615" t="s">
        <v>2040</v>
      </c>
      <c r="B173" s="616"/>
      <c r="C173" s="617"/>
      <c r="D173" s="617"/>
      <c r="E173" s="617"/>
      <c r="F173" s="1083"/>
      <c r="G173" s="1084"/>
      <c r="H173" s="1069"/>
      <c r="I173" s="618">
        <v>0</v>
      </c>
      <c r="J173" s="619">
        <v>0</v>
      </c>
      <c r="K173" s="618">
        <v>0</v>
      </c>
      <c r="L173" s="620">
        <v>0</v>
      </c>
      <c r="M173" s="621">
        <v>0</v>
      </c>
      <c r="N173" s="620">
        <v>0</v>
      </c>
    </row>
    <row r="174" spans="1:14" ht="11.25" customHeight="1" x14ac:dyDescent="0.25">
      <c r="A174" s="615" t="s">
        <v>2041</v>
      </c>
      <c r="B174" s="616"/>
      <c r="C174" s="617"/>
      <c r="D174" s="617"/>
      <c r="E174" s="617"/>
      <c r="F174" s="1083"/>
      <c r="G174" s="1084"/>
      <c r="H174" s="1069"/>
      <c r="I174" s="618">
        <v>0</v>
      </c>
      <c r="J174" s="619">
        <v>0</v>
      </c>
      <c r="K174" s="618">
        <v>0</v>
      </c>
      <c r="L174" s="620">
        <v>0</v>
      </c>
      <c r="M174" s="621">
        <v>0</v>
      </c>
      <c r="N174" s="620">
        <v>0</v>
      </c>
    </row>
    <row r="175" spans="1:14" ht="11.25" customHeight="1" x14ac:dyDescent="0.25">
      <c r="A175" s="615" t="s">
        <v>1939</v>
      </c>
      <c r="B175" s="616"/>
      <c r="C175" s="617"/>
      <c r="D175" s="617"/>
      <c r="E175" s="617"/>
      <c r="F175" s="1083"/>
      <c r="G175" s="1084"/>
      <c r="H175" s="1069"/>
      <c r="I175" s="618">
        <v>800000</v>
      </c>
      <c r="J175" s="619">
        <v>740000</v>
      </c>
      <c r="K175" s="618">
        <v>0</v>
      </c>
      <c r="L175" s="620">
        <v>0</v>
      </c>
      <c r="M175" s="621">
        <v>0</v>
      </c>
      <c r="N175" s="620">
        <v>0</v>
      </c>
    </row>
    <row r="176" spans="1:14" ht="11.25" customHeight="1" x14ac:dyDescent="0.25">
      <c r="A176" s="615" t="s">
        <v>1940</v>
      </c>
      <c r="B176" s="616"/>
      <c r="C176" s="617"/>
      <c r="D176" s="617"/>
      <c r="E176" s="617"/>
      <c r="F176" s="1083"/>
      <c r="G176" s="1084"/>
      <c r="H176" s="1069"/>
      <c r="I176" s="618">
        <v>800000</v>
      </c>
      <c r="J176" s="619">
        <v>800000</v>
      </c>
      <c r="K176" s="618">
        <v>0</v>
      </c>
      <c r="L176" s="620">
        <v>0</v>
      </c>
      <c r="M176" s="621">
        <v>0</v>
      </c>
      <c r="N176" s="620">
        <v>0</v>
      </c>
    </row>
    <row r="177" spans="1:14" ht="11.25" customHeight="1" x14ac:dyDescent="0.25">
      <c r="A177" s="615" t="s">
        <v>1941</v>
      </c>
      <c r="B177" s="616"/>
      <c r="C177" s="617"/>
      <c r="D177" s="617"/>
      <c r="E177" s="617"/>
      <c r="F177" s="1083"/>
      <c r="G177" s="1084"/>
      <c r="H177" s="1069"/>
      <c r="I177" s="618">
        <v>100000</v>
      </c>
      <c r="J177" s="619">
        <v>50000</v>
      </c>
      <c r="K177" s="618">
        <v>0</v>
      </c>
      <c r="L177" s="620">
        <v>0</v>
      </c>
      <c r="M177" s="621">
        <v>0</v>
      </c>
      <c r="N177" s="620">
        <v>0</v>
      </c>
    </row>
    <row r="178" spans="1:14" ht="11.25" customHeight="1" x14ac:dyDescent="0.25">
      <c r="A178" s="615" t="s">
        <v>1942</v>
      </c>
      <c r="B178" s="616"/>
      <c r="C178" s="617"/>
      <c r="D178" s="617"/>
      <c r="E178" s="617"/>
      <c r="F178" s="1083"/>
      <c r="G178" s="1084"/>
      <c r="H178" s="1069"/>
      <c r="I178" s="618">
        <v>300000</v>
      </c>
      <c r="J178" s="619">
        <v>225002</v>
      </c>
      <c r="K178" s="618">
        <v>0</v>
      </c>
      <c r="L178" s="620">
        <v>0</v>
      </c>
      <c r="M178" s="621">
        <v>0</v>
      </c>
      <c r="N178" s="620">
        <v>0</v>
      </c>
    </row>
    <row r="179" spans="1:14" ht="11.25" customHeight="1" x14ac:dyDescent="0.25">
      <c r="A179" s="615" t="s">
        <v>1943</v>
      </c>
      <c r="B179" s="616"/>
      <c r="C179" s="617"/>
      <c r="D179" s="617"/>
      <c r="E179" s="617"/>
      <c r="F179" s="1083"/>
      <c r="G179" s="1084"/>
      <c r="H179" s="1069"/>
      <c r="I179" s="618">
        <v>800000</v>
      </c>
      <c r="J179" s="619">
        <v>734844</v>
      </c>
      <c r="K179" s="618">
        <v>0</v>
      </c>
      <c r="L179" s="620">
        <v>0</v>
      </c>
      <c r="M179" s="621">
        <v>0</v>
      </c>
      <c r="N179" s="620">
        <v>0</v>
      </c>
    </row>
    <row r="180" spans="1:14" ht="11.25" customHeight="1" x14ac:dyDescent="0.25">
      <c r="A180" s="615" t="s">
        <v>1944</v>
      </c>
      <c r="B180" s="616"/>
      <c r="C180" s="617"/>
      <c r="D180" s="617"/>
      <c r="E180" s="617"/>
      <c r="F180" s="1083"/>
      <c r="G180" s="1084"/>
      <c r="H180" s="1069"/>
      <c r="I180" s="618">
        <v>1000000</v>
      </c>
      <c r="J180" s="619">
        <v>400000</v>
      </c>
      <c r="K180" s="618">
        <v>0</v>
      </c>
      <c r="L180" s="620">
        <v>0</v>
      </c>
      <c r="M180" s="621">
        <v>0</v>
      </c>
      <c r="N180" s="620">
        <v>0</v>
      </c>
    </row>
    <row r="181" spans="1:14" ht="11.25" customHeight="1" x14ac:dyDescent="0.25">
      <c r="A181" s="615" t="s">
        <v>1945</v>
      </c>
      <c r="B181" s="616"/>
      <c r="C181" s="617"/>
      <c r="D181" s="617"/>
      <c r="E181" s="617"/>
      <c r="F181" s="1083"/>
      <c r="G181" s="1084"/>
      <c r="H181" s="1069"/>
      <c r="I181" s="618">
        <v>100000</v>
      </c>
      <c r="J181" s="619">
        <v>100000</v>
      </c>
      <c r="K181" s="618">
        <v>0</v>
      </c>
      <c r="L181" s="620">
        <v>0</v>
      </c>
      <c r="M181" s="621">
        <v>0</v>
      </c>
      <c r="N181" s="620">
        <v>0</v>
      </c>
    </row>
    <row r="182" spans="1:14" ht="11.25" customHeight="1" x14ac:dyDescent="0.25">
      <c r="A182" s="615" t="s">
        <v>1946</v>
      </c>
      <c r="B182" s="616"/>
      <c r="C182" s="617"/>
      <c r="D182" s="617"/>
      <c r="E182" s="617"/>
      <c r="F182" s="1083"/>
      <c r="G182" s="1084"/>
      <c r="H182" s="1069"/>
      <c r="I182" s="618">
        <v>100000</v>
      </c>
      <c r="J182" s="619">
        <v>95000</v>
      </c>
      <c r="K182" s="618">
        <v>0</v>
      </c>
      <c r="L182" s="620">
        <v>0</v>
      </c>
      <c r="M182" s="621">
        <v>0</v>
      </c>
      <c r="N182" s="620">
        <v>0</v>
      </c>
    </row>
    <row r="183" spans="1:14" ht="11.25" customHeight="1" x14ac:dyDescent="0.25">
      <c r="A183" s="615" t="s">
        <v>2042</v>
      </c>
      <c r="B183" s="616"/>
      <c r="C183" s="617"/>
      <c r="D183" s="617"/>
      <c r="E183" s="617"/>
      <c r="F183" s="1083"/>
      <c r="G183" s="1084"/>
      <c r="H183" s="1069"/>
      <c r="I183" s="618">
        <v>0</v>
      </c>
      <c r="J183" s="619">
        <v>0</v>
      </c>
      <c r="K183" s="618">
        <v>0</v>
      </c>
      <c r="L183" s="620">
        <v>0</v>
      </c>
      <c r="M183" s="621">
        <v>0</v>
      </c>
      <c r="N183" s="620">
        <v>0</v>
      </c>
    </row>
    <row r="184" spans="1:14" ht="11.25" customHeight="1" x14ac:dyDescent="0.25">
      <c r="A184" s="615" t="s">
        <v>2043</v>
      </c>
      <c r="B184" s="616"/>
      <c r="C184" s="617"/>
      <c r="D184" s="617"/>
      <c r="E184" s="617"/>
      <c r="F184" s="1083"/>
      <c r="G184" s="1084"/>
      <c r="H184" s="1069"/>
      <c r="I184" s="618">
        <v>0</v>
      </c>
      <c r="J184" s="619">
        <v>4239630</v>
      </c>
      <c r="K184" s="618">
        <v>0</v>
      </c>
      <c r="L184" s="620">
        <v>0</v>
      </c>
      <c r="M184" s="621">
        <v>0</v>
      </c>
      <c r="N184" s="620">
        <v>0</v>
      </c>
    </row>
    <row r="185" spans="1:14" ht="11.25" customHeight="1" x14ac:dyDescent="0.25">
      <c r="A185" s="615" t="s">
        <v>2044</v>
      </c>
      <c r="B185" s="616"/>
      <c r="C185" s="617"/>
      <c r="D185" s="617"/>
      <c r="E185" s="617"/>
      <c r="F185" s="1083"/>
      <c r="G185" s="1084"/>
      <c r="H185" s="1069"/>
      <c r="I185" s="618">
        <v>0</v>
      </c>
      <c r="J185" s="619">
        <v>0</v>
      </c>
      <c r="K185" s="618">
        <v>0</v>
      </c>
      <c r="L185" s="620">
        <v>0</v>
      </c>
      <c r="M185" s="621">
        <v>0</v>
      </c>
      <c r="N185" s="620">
        <v>0</v>
      </c>
    </row>
    <row r="186" spans="1:14" ht="11.25" customHeight="1" x14ac:dyDescent="0.25">
      <c r="A186" s="615" t="s">
        <v>2045</v>
      </c>
      <c r="B186" s="616"/>
      <c r="C186" s="617"/>
      <c r="D186" s="617"/>
      <c r="E186" s="617"/>
      <c r="F186" s="1083"/>
      <c r="G186" s="1084"/>
      <c r="H186" s="1069"/>
      <c r="I186" s="618">
        <v>0</v>
      </c>
      <c r="J186" s="619">
        <v>0</v>
      </c>
      <c r="K186" s="618">
        <v>0</v>
      </c>
      <c r="L186" s="620">
        <v>0</v>
      </c>
      <c r="M186" s="621">
        <v>0</v>
      </c>
      <c r="N186" s="620">
        <v>0</v>
      </c>
    </row>
    <row r="187" spans="1:14" ht="11.25" customHeight="1" x14ac:dyDescent="0.25">
      <c r="A187" s="615" t="s">
        <v>1947</v>
      </c>
      <c r="B187" s="616"/>
      <c r="C187" s="617"/>
      <c r="D187" s="617"/>
      <c r="E187" s="617"/>
      <c r="F187" s="1083"/>
      <c r="G187" s="1084"/>
      <c r="H187" s="1069"/>
      <c r="I187" s="618">
        <v>83000</v>
      </c>
      <c r="J187" s="619">
        <v>83000</v>
      </c>
      <c r="K187" s="618">
        <v>0</v>
      </c>
      <c r="L187" s="620">
        <v>0</v>
      </c>
      <c r="M187" s="621">
        <v>0</v>
      </c>
      <c r="N187" s="620">
        <v>0</v>
      </c>
    </row>
    <row r="188" spans="1:14" ht="11.25" customHeight="1" x14ac:dyDescent="0.25">
      <c r="A188" s="615" t="s">
        <v>1947</v>
      </c>
      <c r="B188" s="616"/>
      <c r="C188" s="617"/>
      <c r="D188" s="617"/>
      <c r="E188" s="617"/>
      <c r="F188" s="1083"/>
      <c r="G188" s="1084"/>
      <c r="H188" s="1069"/>
      <c r="I188" s="618">
        <v>500000</v>
      </c>
      <c r="J188" s="619">
        <v>500000</v>
      </c>
      <c r="K188" s="618">
        <v>0</v>
      </c>
      <c r="L188" s="620">
        <v>0</v>
      </c>
      <c r="M188" s="621">
        <v>0</v>
      </c>
      <c r="N188" s="620">
        <v>0</v>
      </c>
    </row>
    <row r="189" spans="1:14" ht="11.25" customHeight="1" x14ac:dyDescent="0.25">
      <c r="A189" s="615" t="s">
        <v>2046</v>
      </c>
      <c r="B189" s="616"/>
      <c r="C189" s="617"/>
      <c r="D189" s="617"/>
      <c r="E189" s="617"/>
      <c r="F189" s="1083"/>
      <c r="G189" s="1084"/>
      <c r="H189" s="1069"/>
      <c r="I189" s="618">
        <v>0</v>
      </c>
      <c r="J189" s="619">
        <v>0</v>
      </c>
      <c r="K189" s="618">
        <v>0</v>
      </c>
      <c r="L189" s="620">
        <v>0</v>
      </c>
      <c r="M189" s="621">
        <v>0</v>
      </c>
      <c r="N189" s="620">
        <v>0</v>
      </c>
    </row>
    <row r="190" spans="1:14" ht="11.25" customHeight="1" x14ac:dyDescent="0.25">
      <c r="A190" s="615" t="s">
        <v>2047</v>
      </c>
      <c r="B190" s="616"/>
      <c r="C190" s="617"/>
      <c r="D190" s="617"/>
      <c r="E190" s="617"/>
      <c r="F190" s="1083"/>
      <c r="G190" s="1084"/>
      <c r="H190" s="1069"/>
      <c r="I190" s="618">
        <v>0</v>
      </c>
      <c r="J190" s="619">
        <v>0</v>
      </c>
      <c r="K190" s="618">
        <v>0</v>
      </c>
      <c r="L190" s="620">
        <v>0</v>
      </c>
      <c r="M190" s="621">
        <v>0</v>
      </c>
      <c r="N190" s="620">
        <v>0</v>
      </c>
    </row>
    <row r="191" spans="1:14" ht="11.25" customHeight="1" x14ac:dyDescent="0.25">
      <c r="A191" s="615" t="s">
        <v>2048</v>
      </c>
      <c r="B191" s="616"/>
      <c r="C191" s="617"/>
      <c r="D191" s="617"/>
      <c r="E191" s="617"/>
      <c r="F191" s="1083"/>
      <c r="G191" s="1084"/>
      <c r="H191" s="1069"/>
      <c r="I191" s="618">
        <v>0</v>
      </c>
      <c r="J191" s="619">
        <v>0</v>
      </c>
      <c r="K191" s="618">
        <v>0</v>
      </c>
      <c r="L191" s="620">
        <v>0</v>
      </c>
      <c r="M191" s="621">
        <v>0</v>
      </c>
      <c r="N191" s="620">
        <v>0</v>
      </c>
    </row>
    <row r="192" spans="1:14" ht="11.25" customHeight="1" x14ac:dyDescent="0.25">
      <c r="A192" s="615" t="s">
        <v>2049</v>
      </c>
      <c r="B192" s="616"/>
      <c r="C192" s="617"/>
      <c r="D192" s="617"/>
      <c r="E192" s="617"/>
      <c r="F192" s="1083"/>
      <c r="G192" s="1084"/>
      <c r="H192" s="1069"/>
      <c r="I192" s="618">
        <v>0</v>
      </c>
      <c r="J192" s="619">
        <v>0</v>
      </c>
      <c r="K192" s="618">
        <v>0</v>
      </c>
      <c r="L192" s="620">
        <v>0</v>
      </c>
      <c r="M192" s="621">
        <v>0</v>
      </c>
      <c r="N192" s="620">
        <v>0</v>
      </c>
    </row>
    <row r="193" spans="1:14" ht="11.25" customHeight="1" x14ac:dyDescent="0.25">
      <c r="A193" s="615" t="s">
        <v>2050</v>
      </c>
      <c r="B193" s="616"/>
      <c r="C193" s="617"/>
      <c r="D193" s="617"/>
      <c r="E193" s="617"/>
      <c r="F193" s="1083"/>
      <c r="G193" s="1084"/>
      <c r="H193" s="1069"/>
      <c r="I193" s="618">
        <v>0</v>
      </c>
      <c r="J193" s="619">
        <v>0</v>
      </c>
      <c r="K193" s="618">
        <v>0</v>
      </c>
      <c r="L193" s="620">
        <v>0</v>
      </c>
      <c r="M193" s="621">
        <v>0</v>
      </c>
      <c r="N193" s="620">
        <v>0</v>
      </c>
    </row>
    <row r="194" spans="1:14" ht="11.25" customHeight="1" x14ac:dyDescent="0.25">
      <c r="A194" s="615" t="s">
        <v>1948</v>
      </c>
      <c r="B194" s="616"/>
      <c r="C194" s="617"/>
      <c r="D194" s="617"/>
      <c r="E194" s="617"/>
      <c r="F194" s="1083"/>
      <c r="G194" s="1084"/>
      <c r="H194" s="1069"/>
      <c r="I194" s="618">
        <v>2000000</v>
      </c>
      <c r="J194" s="619">
        <v>2000000</v>
      </c>
      <c r="K194" s="618">
        <v>0</v>
      </c>
      <c r="L194" s="620">
        <v>0</v>
      </c>
      <c r="M194" s="621">
        <v>0</v>
      </c>
      <c r="N194" s="620">
        <v>0</v>
      </c>
    </row>
    <row r="195" spans="1:14" ht="11.25" customHeight="1" x14ac:dyDescent="0.25">
      <c r="A195" s="615" t="s">
        <v>1949</v>
      </c>
      <c r="B195" s="616"/>
      <c r="C195" s="617"/>
      <c r="D195" s="617"/>
      <c r="E195" s="617"/>
      <c r="F195" s="1083"/>
      <c r="G195" s="1084"/>
      <c r="H195" s="1069"/>
      <c r="I195" s="618">
        <v>1500000</v>
      </c>
      <c r="J195" s="619">
        <v>1500000</v>
      </c>
      <c r="K195" s="618">
        <v>0</v>
      </c>
      <c r="L195" s="620">
        <v>0</v>
      </c>
      <c r="M195" s="621">
        <v>0</v>
      </c>
      <c r="N195" s="620">
        <v>0</v>
      </c>
    </row>
    <row r="196" spans="1:14" ht="11.25" customHeight="1" x14ac:dyDescent="0.25">
      <c r="A196" s="615" t="s">
        <v>1950</v>
      </c>
      <c r="B196" s="616"/>
      <c r="C196" s="617"/>
      <c r="D196" s="617"/>
      <c r="E196" s="617"/>
      <c r="F196" s="1083"/>
      <c r="G196" s="1084"/>
      <c r="H196" s="1069"/>
      <c r="I196" s="618">
        <v>5000000</v>
      </c>
      <c r="J196" s="619">
        <v>2000000</v>
      </c>
      <c r="K196" s="618">
        <v>0</v>
      </c>
      <c r="L196" s="620">
        <v>0</v>
      </c>
      <c r="M196" s="621">
        <v>0</v>
      </c>
      <c r="N196" s="620">
        <v>0</v>
      </c>
    </row>
    <row r="197" spans="1:14" ht="11.25" customHeight="1" x14ac:dyDescent="0.25">
      <c r="A197" s="615" t="s">
        <v>1951</v>
      </c>
      <c r="B197" s="616"/>
      <c r="C197" s="617"/>
      <c r="D197" s="617"/>
      <c r="E197" s="617"/>
      <c r="F197" s="1083"/>
      <c r="G197" s="1084"/>
      <c r="H197" s="1069"/>
      <c r="I197" s="618">
        <v>12000000</v>
      </c>
      <c r="J197" s="619">
        <v>18500000</v>
      </c>
      <c r="K197" s="618">
        <v>0</v>
      </c>
      <c r="L197" s="620">
        <v>0</v>
      </c>
      <c r="M197" s="621">
        <v>0</v>
      </c>
      <c r="N197" s="620">
        <v>0</v>
      </c>
    </row>
    <row r="198" spans="1:14" ht="11.25" customHeight="1" x14ac:dyDescent="0.25">
      <c r="A198" s="615" t="s">
        <v>1952</v>
      </c>
      <c r="B198" s="616"/>
      <c r="C198" s="617"/>
      <c r="D198" s="617"/>
      <c r="E198" s="617"/>
      <c r="F198" s="1083"/>
      <c r="G198" s="1084"/>
      <c r="H198" s="1069"/>
      <c r="I198" s="618">
        <v>17000000</v>
      </c>
      <c r="J198" s="619">
        <v>20000000</v>
      </c>
      <c r="K198" s="618">
        <v>0</v>
      </c>
      <c r="L198" s="620">
        <v>0</v>
      </c>
      <c r="M198" s="621">
        <v>0</v>
      </c>
      <c r="N198" s="620">
        <v>0</v>
      </c>
    </row>
    <row r="199" spans="1:14" ht="11.25" customHeight="1" x14ac:dyDescent="0.25">
      <c r="A199" s="615" t="s">
        <v>1953</v>
      </c>
      <c r="B199" s="616"/>
      <c r="C199" s="617"/>
      <c r="D199" s="617"/>
      <c r="E199" s="617"/>
      <c r="F199" s="1083"/>
      <c r="G199" s="1084"/>
      <c r="H199" s="1069"/>
      <c r="I199" s="618">
        <v>1000000</v>
      </c>
      <c r="J199" s="619">
        <v>0</v>
      </c>
      <c r="K199" s="618">
        <v>0</v>
      </c>
      <c r="L199" s="620">
        <v>0</v>
      </c>
      <c r="M199" s="621">
        <v>0</v>
      </c>
      <c r="N199" s="620">
        <v>0</v>
      </c>
    </row>
    <row r="200" spans="1:14" ht="11.25" customHeight="1" x14ac:dyDescent="0.25">
      <c r="A200" s="615" t="s">
        <v>1954</v>
      </c>
      <c r="B200" s="616"/>
      <c r="C200" s="617"/>
      <c r="D200" s="617"/>
      <c r="E200" s="617"/>
      <c r="F200" s="1083"/>
      <c r="G200" s="1084"/>
      <c r="H200" s="1069"/>
      <c r="I200" s="618">
        <v>3000000</v>
      </c>
      <c r="J200" s="619">
        <v>1500000</v>
      </c>
      <c r="K200" s="618">
        <v>0</v>
      </c>
      <c r="L200" s="620">
        <v>0</v>
      </c>
      <c r="M200" s="621">
        <v>0</v>
      </c>
      <c r="N200" s="620">
        <v>0</v>
      </c>
    </row>
    <row r="201" spans="1:14" ht="11.25" customHeight="1" x14ac:dyDescent="0.25">
      <c r="A201" s="615" t="s">
        <v>1955</v>
      </c>
      <c r="B201" s="616"/>
      <c r="C201" s="617"/>
      <c r="D201" s="617"/>
      <c r="E201" s="617"/>
      <c r="F201" s="1083"/>
      <c r="G201" s="1084"/>
      <c r="H201" s="1069"/>
      <c r="I201" s="618">
        <v>5000000</v>
      </c>
      <c r="J201" s="619">
        <v>4000000</v>
      </c>
      <c r="K201" s="618">
        <v>0</v>
      </c>
      <c r="L201" s="620">
        <v>0</v>
      </c>
      <c r="M201" s="621">
        <v>0</v>
      </c>
      <c r="N201" s="620">
        <v>0</v>
      </c>
    </row>
    <row r="202" spans="1:14" ht="11.25" customHeight="1" x14ac:dyDescent="0.25">
      <c r="A202" s="615" t="s">
        <v>2051</v>
      </c>
      <c r="B202" s="616"/>
      <c r="C202" s="617"/>
      <c r="D202" s="617"/>
      <c r="E202" s="617"/>
      <c r="F202" s="1083"/>
      <c r="G202" s="1084"/>
      <c r="H202" s="1069"/>
      <c r="I202" s="618">
        <v>0</v>
      </c>
      <c r="J202" s="619">
        <v>0</v>
      </c>
      <c r="K202" s="618">
        <v>0</v>
      </c>
      <c r="L202" s="620">
        <v>0</v>
      </c>
      <c r="M202" s="621">
        <v>0</v>
      </c>
      <c r="N202" s="620">
        <v>0</v>
      </c>
    </row>
    <row r="203" spans="1:14" ht="11.25" customHeight="1" x14ac:dyDescent="0.25">
      <c r="A203" s="615" t="s">
        <v>2052</v>
      </c>
      <c r="B203" s="616"/>
      <c r="C203" s="617"/>
      <c r="D203" s="617"/>
      <c r="E203" s="617"/>
      <c r="F203" s="1083"/>
      <c r="G203" s="1084"/>
      <c r="H203" s="1069"/>
      <c r="I203" s="618">
        <v>0</v>
      </c>
      <c r="J203" s="619">
        <v>0</v>
      </c>
      <c r="K203" s="618">
        <v>0</v>
      </c>
      <c r="L203" s="620">
        <v>0</v>
      </c>
      <c r="M203" s="621">
        <v>0</v>
      </c>
      <c r="N203" s="620">
        <v>0</v>
      </c>
    </row>
    <row r="204" spans="1:14" ht="11.25" customHeight="1" x14ac:dyDescent="0.25">
      <c r="A204" s="615" t="s">
        <v>1956</v>
      </c>
      <c r="B204" s="616"/>
      <c r="C204" s="617"/>
      <c r="D204" s="617"/>
      <c r="E204" s="617"/>
      <c r="F204" s="1083"/>
      <c r="G204" s="1084"/>
      <c r="H204" s="1069"/>
      <c r="I204" s="618">
        <v>800000</v>
      </c>
      <c r="J204" s="619">
        <v>500000</v>
      </c>
      <c r="K204" s="618">
        <v>0</v>
      </c>
      <c r="L204" s="620">
        <v>0</v>
      </c>
      <c r="M204" s="621">
        <v>0</v>
      </c>
      <c r="N204" s="620">
        <v>0</v>
      </c>
    </row>
    <row r="205" spans="1:14" ht="11.25" customHeight="1" x14ac:dyDescent="0.25">
      <c r="A205" s="615" t="s">
        <v>1957</v>
      </c>
      <c r="B205" s="616"/>
      <c r="C205" s="617"/>
      <c r="D205" s="617"/>
      <c r="E205" s="617"/>
      <c r="F205" s="1083"/>
      <c r="G205" s="1084"/>
      <c r="H205" s="1069"/>
      <c r="I205" s="618">
        <v>1500000</v>
      </c>
      <c r="J205" s="619">
        <v>1300000</v>
      </c>
      <c r="K205" s="618">
        <v>0</v>
      </c>
      <c r="L205" s="620">
        <v>0</v>
      </c>
      <c r="M205" s="621">
        <v>0</v>
      </c>
      <c r="N205" s="620">
        <v>0</v>
      </c>
    </row>
    <row r="206" spans="1:14" ht="11.25" customHeight="1" x14ac:dyDescent="0.25">
      <c r="A206" s="615" t="s">
        <v>2053</v>
      </c>
      <c r="B206" s="616"/>
      <c r="C206" s="617"/>
      <c r="D206" s="617"/>
      <c r="E206" s="617"/>
      <c r="F206" s="1083"/>
      <c r="G206" s="1084"/>
      <c r="H206" s="1069"/>
      <c r="I206" s="618">
        <v>0</v>
      </c>
      <c r="J206" s="619">
        <v>0</v>
      </c>
      <c r="K206" s="618">
        <v>0</v>
      </c>
      <c r="L206" s="620">
        <v>0</v>
      </c>
      <c r="M206" s="621">
        <v>0</v>
      </c>
      <c r="N206" s="620">
        <v>0</v>
      </c>
    </row>
    <row r="207" spans="1:14" ht="11.25" customHeight="1" x14ac:dyDescent="0.25">
      <c r="A207" s="615" t="s">
        <v>2054</v>
      </c>
      <c r="B207" s="616"/>
      <c r="C207" s="617"/>
      <c r="D207" s="617"/>
      <c r="E207" s="617"/>
      <c r="F207" s="1083"/>
      <c r="G207" s="1084"/>
      <c r="H207" s="1069"/>
      <c r="I207" s="618">
        <v>0</v>
      </c>
      <c r="J207" s="619">
        <v>0</v>
      </c>
      <c r="K207" s="618">
        <v>0</v>
      </c>
      <c r="L207" s="620">
        <v>0</v>
      </c>
      <c r="M207" s="621">
        <v>0</v>
      </c>
      <c r="N207" s="620">
        <v>0</v>
      </c>
    </row>
    <row r="208" spans="1:14" ht="11.25" customHeight="1" x14ac:dyDescent="0.25">
      <c r="A208" s="615" t="s">
        <v>2055</v>
      </c>
      <c r="B208" s="616"/>
      <c r="C208" s="617"/>
      <c r="D208" s="617"/>
      <c r="E208" s="617"/>
      <c r="F208" s="1083"/>
      <c r="G208" s="1084"/>
      <c r="H208" s="1069"/>
      <c r="I208" s="618">
        <v>0</v>
      </c>
      <c r="J208" s="619">
        <v>0</v>
      </c>
      <c r="K208" s="618">
        <v>0</v>
      </c>
      <c r="L208" s="620">
        <v>0</v>
      </c>
      <c r="M208" s="621">
        <v>0</v>
      </c>
      <c r="N208" s="620">
        <v>0</v>
      </c>
    </row>
    <row r="209" spans="1:14" ht="11.25" customHeight="1" x14ac:dyDescent="0.25">
      <c r="A209" s="615" t="s">
        <v>2056</v>
      </c>
      <c r="B209" s="616"/>
      <c r="C209" s="617"/>
      <c r="D209" s="617"/>
      <c r="E209" s="617"/>
      <c r="F209" s="1083"/>
      <c r="G209" s="1084"/>
      <c r="H209" s="1069"/>
      <c r="I209" s="618">
        <v>0</v>
      </c>
      <c r="J209" s="619">
        <v>0</v>
      </c>
      <c r="K209" s="618">
        <v>0</v>
      </c>
      <c r="L209" s="620">
        <v>0</v>
      </c>
      <c r="M209" s="621">
        <v>0</v>
      </c>
      <c r="N209" s="620">
        <v>0</v>
      </c>
    </row>
    <row r="210" spans="1:14" ht="11.25" customHeight="1" x14ac:dyDescent="0.25">
      <c r="A210" s="615" t="s">
        <v>2057</v>
      </c>
      <c r="B210" s="616"/>
      <c r="C210" s="617"/>
      <c r="D210" s="617"/>
      <c r="E210" s="617"/>
      <c r="F210" s="1083"/>
      <c r="G210" s="1084"/>
      <c r="H210" s="1069"/>
      <c r="I210" s="618">
        <v>0</v>
      </c>
      <c r="J210" s="619">
        <v>0</v>
      </c>
      <c r="K210" s="618">
        <v>0</v>
      </c>
      <c r="L210" s="620">
        <v>0</v>
      </c>
      <c r="M210" s="621">
        <v>0</v>
      </c>
      <c r="N210" s="620">
        <v>0</v>
      </c>
    </row>
    <row r="211" spans="1:14" ht="11.25" customHeight="1" x14ac:dyDescent="0.25">
      <c r="A211" s="615" t="s">
        <v>2058</v>
      </c>
      <c r="B211" s="616"/>
      <c r="C211" s="617"/>
      <c r="D211" s="617"/>
      <c r="E211" s="617"/>
      <c r="F211" s="1083"/>
      <c r="G211" s="1084"/>
      <c r="H211" s="1069"/>
      <c r="I211" s="618">
        <v>0</v>
      </c>
      <c r="J211" s="619">
        <v>0</v>
      </c>
      <c r="K211" s="618">
        <v>0</v>
      </c>
      <c r="L211" s="620">
        <v>0</v>
      </c>
      <c r="M211" s="621">
        <v>0</v>
      </c>
      <c r="N211" s="620">
        <v>0</v>
      </c>
    </row>
    <row r="212" spans="1:14" ht="11.25" customHeight="1" x14ac:dyDescent="0.25">
      <c r="A212" s="615" t="s">
        <v>2059</v>
      </c>
      <c r="B212" s="616"/>
      <c r="C212" s="617"/>
      <c r="D212" s="617"/>
      <c r="E212" s="617"/>
      <c r="F212" s="1083"/>
      <c r="G212" s="1084"/>
      <c r="H212" s="1069"/>
      <c r="I212" s="618">
        <v>0</v>
      </c>
      <c r="J212" s="619">
        <v>0</v>
      </c>
      <c r="K212" s="618">
        <v>0</v>
      </c>
      <c r="L212" s="620">
        <v>0</v>
      </c>
      <c r="M212" s="621">
        <v>0</v>
      </c>
      <c r="N212" s="620">
        <v>0</v>
      </c>
    </row>
    <row r="213" spans="1:14" ht="11.25" customHeight="1" x14ac:dyDescent="0.25">
      <c r="A213" s="615" t="s">
        <v>1958</v>
      </c>
      <c r="B213" s="616"/>
      <c r="C213" s="617"/>
      <c r="D213" s="617"/>
      <c r="E213" s="617"/>
      <c r="F213" s="1083"/>
      <c r="G213" s="1084"/>
      <c r="H213" s="1069"/>
      <c r="I213" s="618">
        <v>500000</v>
      </c>
      <c r="J213" s="619">
        <v>400000</v>
      </c>
      <c r="K213" s="618">
        <v>0</v>
      </c>
      <c r="L213" s="620">
        <v>0</v>
      </c>
      <c r="M213" s="621">
        <v>0</v>
      </c>
      <c r="N213" s="620">
        <v>0</v>
      </c>
    </row>
    <row r="214" spans="1:14" ht="11.25" customHeight="1" x14ac:dyDescent="0.25">
      <c r="A214" s="615" t="s">
        <v>1959</v>
      </c>
      <c r="B214" s="616"/>
      <c r="C214" s="617"/>
      <c r="D214" s="617"/>
      <c r="E214" s="617"/>
      <c r="F214" s="1083"/>
      <c r="G214" s="1084"/>
      <c r="H214" s="1069"/>
      <c r="I214" s="618">
        <v>1500000</v>
      </c>
      <c r="J214" s="619">
        <v>500000</v>
      </c>
      <c r="K214" s="618">
        <v>0</v>
      </c>
      <c r="L214" s="620">
        <v>0</v>
      </c>
      <c r="M214" s="621">
        <v>0</v>
      </c>
      <c r="N214" s="620">
        <v>0</v>
      </c>
    </row>
    <row r="215" spans="1:14" ht="11.25" customHeight="1" x14ac:dyDescent="0.25">
      <c r="A215" s="615" t="s">
        <v>1960</v>
      </c>
      <c r="B215" s="616"/>
      <c r="C215" s="617"/>
      <c r="D215" s="617"/>
      <c r="E215" s="617"/>
      <c r="F215" s="1083"/>
      <c r="G215" s="1084"/>
      <c r="H215" s="1069"/>
      <c r="I215" s="618">
        <v>3000000</v>
      </c>
      <c r="J215" s="619">
        <v>3000000</v>
      </c>
      <c r="K215" s="618">
        <v>0</v>
      </c>
      <c r="L215" s="620">
        <v>0</v>
      </c>
      <c r="M215" s="621">
        <v>0</v>
      </c>
      <c r="N215" s="620">
        <v>0</v>
      </c>
    </row>
    <row r="216" spans="1:14" ht="11.25" customHeight="1" x14ac:dyDescent="0.25">
      <c r="A216" s="615" t="s">
        <v>2060</v>
      </c>
      <c r="B216" s="616"/>
      <c r="C216" s="617"/>
      <c r="D216" s="617"/>
      <c r="E216" s="617"/>
      <c r="F216" s="1083"/>
      <c r="G216" s="1084"/>
      <c r="H216" s="1069"/>
      <c r="I216" s="618">
        <v>0</v>
      </c>
      <c r="J216" s="619">
        <v>0</v>
      </c>
      <c r="K216" s="618">
        <v>0</v>
      </c>
      <c r="L216" s="620">
        <v>0</v>
      </c>
      <c r="M216" s="621">
        <v>0</v>
      </c>
      <c r="N216" s="620">
        <v>0</v>
      </c>
    </row>
    <row r="217" spans="1:14" ht="11.25" customHeight="1" x14ac:dyDescent="0.25">
      <c r="A217" s="615" t="s">
        <v>1961</v>
      </c>
      <c r="B217" s="616"/>
      <c r="C217" s="617"/>
      <c r="D217" s="617"/>
      <c r="E217" s="617"/>
      <c r="F217" s="1083"/>
      <c r="G217" s="1084"/>
      <c r="H217" s="1069"/>
      <c r="I217" s="618">
        <v>1500000</v>
      </c>
      <c r="J217" s="619">
        <v>1500000</v>
      </c>
      <c r="K217" s="618">
        <v>0</v>
      </c>
      <c r="L217" s="620">
        <v>0</v>
      </c>
      <c r="M217" s="621">
        <v>0</v>
      </c>
      <c r="N217" s="620">
        <v>0</v>
      </c>
    </row>
    <row r="218" spans="1:14" ht="11.25" customHeight="1" x14ac:dyDescent="0.25">
      <c r="A218" s="615" t="s">
        <v>1962</v>
      </c>
      <c r="B218" s="616"/>
      <c r="C218" s="617"/>
      <c r="D218" s="617"/>
      <c r="E218" s="617"/>
      <c r="F218" s="1083"/>
      <c r="G218" s="1084"/>
      <c r="H218" s="1069"/>
      <c r="I218" s="618">
        <v>1500000</v>
      </c>
      <c r="J218" s="619">
        <v>1500000</v>
      </c>
      <c r="K218" s="618">
        <v>0</v>
      </c>
      <c r="L218" s="620">
        <v>0</v>
      </c>
      <c r="M218" s="621">
        <v>0</v>
      </c>
      <c r="N218" s="620">
        <v>0</v>
      </c>
    </row>
    <row r="219" spans="1:14" ht="11.25" customHeight="1" x14ac:dyDescent="0.25">
      <c r="A219" s="615" t="s">
        <v>2061</v>
      </c>
      <c r="B219" s="616"/>
      <c r="C219" s="617"/>
      <c r="D219" s="617"/>
      <c r="E219" s="617"/>
      <c r="F219" s="1083"/>
      <c r="G219" s="1084"/>
      <c r="H219" s="1069"/>
      <c r="I219" s="618">
        <v>0</v>
      </c>
      <c r="J219" s="619">
        <v>0</v>
      </c>
      <c r="K219" s="618">
        <v>0</v>
      </c>
      <c r="L219" s="620">
        <v>0</v>
      </c>
      <c r="M219" s="621">
        <v>0</v>
      </c>
      <c r="N219" s="620">
        <v>0</v>
      </c>
    </row>
    <row r="220" spans="1:14" ht="11.25" customHeight="1" x14ac:dyDescent="0.25">
      <c r="A220" s="615" t="s">
        <v>2062</v>
      </c>
      <c r="B220" s="616"/>
      <c r="C220" s="617"/>
      <c r="D220" s="617"/>
      <c r="E220" s="617"/>
      <c r="F220" s="1083"/>
      <c r="G220" s="1084"/>
      <c r="H220" s="1069"/>
      <c r="I220" s="618">
        <v>0</v>
      </c>
      <c r="J220" s="619">
        <v>0</v>
      </c>
      <c r="K220" s="618">
        <v>0</v>
      </c>
      <c r="L220" s="620">
        <v>0</v>
      </c>
      <c r="M220" s="621">
        <v>0</v>
      </c>
      <c r="N220" s="620">
        <v>0</v>
      </c>
    </row>
    <row r="221" spans="1:14" ht="11.25" customHeight="1" x14ac:dyDescent="0.25">
      <c r="A221" s="615" t="s">
        <v>1963</v>
      </c>
      <c r="B221" s="616"/>
      <c r="C221" s="617"/>
      <c r="D221" s="617"/>
      <c r="E221" s="617"/>
      <c r="F221" s="1083"/>
      <c r="G221" s="1084"/>
      <c r="H221" s="1069"/>
      <c r="I221" s="618">
        <v>127267000</v>
      </c>
      <c r="J221" s="619">
        <v>125767000</v>
      </c>
      <c r="K221" s="618">
        <v>0</v>
      </c>
      <c r="L221" s="620">
        <v>0</v>
      </c>
      <c r="M221" s="621">
        <v>0</v>
      </c>
      <c r="N221" s="620">
        <v>0</v>
      </c>
    </row>
    <row r="222" spans="1:14" ht="11.25" customHeight="1" x14ac:dyDescent="0.25">
      <c r="A222" s="615" t="s">
        <v>1964</v>
      </c>
      <c r="B222" s="616"/>
      <c r="C222" s="617"/>
      <c r="D222" s="617"/>
      <c r="E222" s="617"/>
      <c r="F222" s="1083"/>
      <c r="G222" s="1084"/>
      <c r="H222" s="1069"/>
      <c r="I222" s="618">
        <v>25453000</v>
      </c>
      <c r="J222" s="619">
        <v>25453000</v>
      </c>
      <c r="K222" s="618">
        <v>0</v>
      </c>
      <c r="L222" s="620">
        <v>0</v>
      </c>
      <c r="M222" s="621">
        <v>0</v>
      </c>
      <c r="N222" s="620">
        <v>0</v>
      </c>
    </row>
    <row r="223" spans="1:14" ht="11.25" customHeight="1" x14ac:dyDescent="0.25">
      <c r="A223" s="615" t="s">
        <v>1965</v>
      </c>
      <c r="B223" s="616"/>
      <c r="C223" s="617"/>
      <c r="D223" s="617"/>
      <c r="E223" s="617"/>
      <c r="F223" s="1083"/>
      <c r="G223" s="1084"/>
      <c r="H223" s="1069"/>
      <c r="I223" s="618">
        <v>16969000</v>
      </c>
      <c r="J223" s="619">
        <v>16969000</v>
      </c>
      <c r="K223" s="618">
        <v>0</v>
      </c>
      <c r="L223" s="620">
        <v>0</v>
      </c>
      <c r="M223" s="621">
        <v>0</v>
      </c>
      <c r="N223" s="620">
        <v>0</v>
      </c>
    </row>
    <row r="224" spans="1:14" ht="11.25" customHeight="1" x14ac:dyDescent="0.25">
      <c r="A224" s="615" t="s">
        <v>1966</v>
      </c>
      <c r="B224" s="616"/>
      <c r="C224" s="617"/>
      <c r="D224" s="617"/>
      <c r="E224" s="617"/>
      <c r="F224" s="1083"/>
      <c r="G224" s="1084"/>
      <c r="H224" s="1069"/>
      <c r="I224" s="618">
        <v>5000000</v>
      </c>
      <c r="J224" s="619">
        <v>5000000</v>
      </c>
      <c r="K224" s="618"/>
      <c r="L224" s="620"/>
      <c r="M224" s="621">
        <v>0</v>
      </c>
      <c r="N224" s="620">
        <v>0</v>
      </c>
    </row>
    <row r="225" spans="1:14" ht="11.25" customHeight="1" x14ac:dyDescent="0.25">
      <c r="A225" s="615" t="s">
        <v>1967</v>
      </c>
      <c r="B225" s="616"/>
      <c r="C225" s="617"/>
      <c r="D225" s="617"/>
      <c r="E225" s="617"/>
      <c r="F225" s="1083"/>
      <c r="G225" s="1084"/>
      <c r="H225" s="1069"/>
      <c r="I225" s="618">
        <v>0</v>
      </c>
      <c r="J225" s="619">
        <v>0</v>
      </c>
      <c r="K225" s="618"/>
      <c r="L225" s="620"/>
      <c r="M225" s="621">
        <v>0</v>
      </c>
      <c r="N225" s="620">
        <v>0</v>
      </c>
    </row>
    <row r="226" spans="1:14" ht="11.25" customHeight="1" x14ac:dyDescent="0.25">
      <c r="A226" s="615" t="s">
        <v>1968</v>
      </c>
      <c r="B226" s="616"/>
      <c r="C226" s="617"/>
      <c r="D226" s="617"/>
      <c r="E226" s="617"/>
      <c r="F226" s="1083"/>
      <c r="G226" s="1084"/>
      <c r="H226" s="1069"/>
      <c r="I226" s="618">
        <v>0</v>
      </c>
      <c r="J226" s="619">
        <v>0</v>
      </c>
      <c r="K226" s="618"/>
      <c r="L226" s="620"/>
      <c r="M226" s="621">
        <v>0</v>
      </c>
      <c r="N226" s="620">
        <v>0</v>
      </c>
    </row>
    <row r="227" spans="1:14" ht="11.25" customHeight="1" x14ac:dyDescent="0.25">
      <c r="A227" s="615" t="s">
        <v>1969</v>
      </c>
      <c r="B227" s="616"/>
      <c r="C227" s="617"/>
      <c r="D227" s="617"/>
      <c r="E227" s="617"/>
      <c r="F227" s="1083"/>
      <c r="G227" s="1084"/>
      <c r="H227" s="1069"/>
      <c r="I227" s="618">
        <v>0</v>
      </c>
      <c r="J227" s="619">
        <v>0</v>
      </c>
      <c r="K227" s="618">
        <v>2000000</v>
      </c>
      <c r="L227" s="620">
        <v>2000000</v>
      </c>
      <c r="M227" s="621">
        <v>0</v>
      </c>
      <c r="N227" s="620">
        <v>0</v>
      </c>
    </row>
    <row r="228" spans="1:14" ht="11.25" customHeight="1" x14ac:dyDescent="0.25">
      <c r="A228" s="615" t="s">
        <v>1854</v>
      </c>
      <c r="B228" s="616"/>
      <c r="C228" s="617"/>
      <c r="D228" s="617"/>
      <c r="E228" s="617"/>
      <c r="F228" s="1083"/>
      <c r="G228" s="1084"/>
      <c r="H228" s="1069"/>
      <c r="I228" s="618">
        <v>0</v>
      </c>
      <c r="J228" s="619">
        <v>0</v>
      </c>
      <c r="K228" s="618">
        <v>3500000</v>
      </c>
      <c r="L228" s="620">
        <v>3500000</v>
      </c>
      <c r="M228" s="621">
        <v>0</v>
      </c>
      <c r="N228" s="620">
        <v>0</v>
      </c>
    </row>
    <row r="229" spans="1:14" ht="11.25" customHeight="1" x14ac:dyDescent="0.25">
      <c r="A229" s="615" t="s">
        <v>1855</v>
      </c>
      <c r="B229" s="616"/>
      <c r="C229" s="617"/>
      <c r="D229" s="617"/>
      <c r="E229" s="617"/>
      <c r="F229" s="1083"/>
      <c r="G229" s="1084"/>
      <c r="H229" s="1069"/>
      <c r="I229" s="618">
        <v>0</v>
      </c>
      <c r="J229" s="619">
        <v>0</v>
      </c>
      <c r="K229" s="618">
        <v>3000000</v>
      </c>
      <c r="L229" s="620">
        <v>3000000</v>
      </c>
      <c r="M229" s="621">
        <v>0</v>
      </c>
      <c r="N229" s="620">
        <v>0</v>
      </c>
    </row>
    <row r="230" spans="1:14" ht="11.25" customHeight="1" x14ac:dyDescent="0.25">
      <c r="A230" s="615" t="s">
        <v>1856</v>
      </c>
      <c r="B230" s="616"/>
      <c r="C230" s="617"/>
      <c r="D230" s="617"/>
      <c r="E230" s="617"/>
      <c r="F230" s="1083"/>
      <c r="G230" s="1084"/>
      <c r="H230" s="1069"/>
      <c r="I230" s="618">
        <v>0</v>
      </c>
      <c r="J230" s="619">
        <v>0</v>
      </c>
      <c r="K230" s="618">
        <v>1000000</v>
      </c>
      <c r="L230" s="620">
        <v>1000000</v>
      </c>
      <c r="M230" s="621">
        <v>0</v>
      </c>
      <c r="N230" s="620">
        <v>0</v>
      </c>
    </row>
    <row r="231" spans="1:14" ht="11.25" customHeight="1" x14ac:dyDescent="0.25">
      <c r="A231" s="615" t="s">
        <v>1857</v>
      </c>
      <c r="B231" s="616"/>
      <c r="C231" s="617"/>
      <c r="D231" s="617"/>
      <c r="E231" s="617"/>
      <c r="F231" s="1083"/>
      <c r="G231" s="1084"/>
      <c r="H231" s="1069"/>
      <c r="I231" s="618">
        <v>0</v>
      </c>
      <c r="J231" s="619">
        <v>0</v>
      </c>
      <c r="K231" s="618">
        <v>15000000</v>
      </c>
      <c r="L231" s="620">
        <v>15000000</v>
      </c>
      <c r="M231" s="621">
        <v>0</v>
      </c>
      <c r="N231" s="620">
        <v>0</v>
      </c>
    </row>
    <row r="232" spans="1:14" ht="11.25" customHeight="1" x14ac:dyDescent="0.25">
      <c r="A232" s="615" t="s">
        <v>1858</v>
      </c>
      <c r="B232" s="616"/>
      <c r="C232" s="617"/>
      <c r="D232" s="617"/>
      <c r="E232" s="617"/>
      <c r="F232" s="1083"/>
      <c r="G232" s="1084"/>
      <c r="H232" s="1069"/>
      <c r="I232" s="618">
        <v>0</v>
      </c>
      <c r="J232" s="619">
        <v>0</v>
      </c>
      <c r="K232" s="618">
        <v>2500000</v>
      </c>
      <c r="L232" s="620">
        <v>2500000</v>
      </c>
      <c r="M232" s="621">
        <v>0</v>
      </c>
      <c r="N232" s="620">
        <v>0</v>
      </c>
    </row>
    <row r="233" spans="1:14" ht="11.25" customHeight="1" x14ac:dyDescent="0.25">
      <c r="A233" s="615" t="s">
        <v>1859</v>
      </c>
      <c r="B233" s="616"/>
      <c r="C233" s="617"/>
      <c r="D233" s="617"/>
      <c r="E233" s="617"/>
      <c r="F233" s="1083"/>
      <c r="G233" s="1084"/>
      <c r="H233" s="1069"/>
      <c r="I233" s="618">
        <v>0</v>
      </c>
      <c r="J233" s="619">
        <v>0</v>
      </c>
      <c r="K233" s="618">
        <v>2500000</v>
      </c>
      <c r="L233" s="620">
        <v>2500000</v>
      </c>
      <c r="M233" s="621">
        <v>0</v>
      </c>
      <c r="N233" s="620">
        <v>0</v>
      </c>
    </row>
    <row r="234" spans="1:14" ht="11.25" customHeight="1" x14ac:dyDescent="0.25">
      <c r="A234" s="615" t="s">
        <v>1860</v>
      </c>
      <c r="B234" s="616"/>
      <c r="C234" s="617"/>
      <c r="D234" s="617"/>
      <c r="E234" s="617"/>
      <c r="F234" s="1083"/>
      <c r="G234" s="1084"/>
      <c r="H234" s="1069"/>
      <c r="I234" s="618">
        <v>0</v>
      </c>
      <c r="J234" s="619">
        <v>0</v>
      </c>
      <c r="K234" s="618">
        <v>4000000</v>
      </c>
      <c r="L234" s="620">
        <v>4000000</v>
      </c>
      <c r="M234" s="621">
        <v>0</v>
      </c>
      <c r="N234" s="620">
        <v>0</v>
      </c>
    </row>
    <row r="235" spans="1:14" ht="11.25" customHeight="1" x14ac:dyDescent="0.25">
      <c r="A235" s="615" t="s">
        <v>1861</v>
      </c>
      <c r="B235" s="616"/>
      <c r="C235" s="617"/>
      <c r="D235" s="617"/>
      <c r="E235" s="617"/>
      <c r="F235" s="1083"/>
      <c r="G235" s="1084"/>
      <c r="H235" s="1069"/>
      <c r="I235" s="618">
        <v>0</v>
      </c>
      <c r="J235" s="619">
        <v>0</v>
      </c>
      <c r="K235" s="618">
        <v>2500000</v>
      </c>
      <c r="L235" s="620">
        <v>2500000</v>
      </c>
      <c r="M235" s="621">
        <v>0</v>
      </c>
      <c r="N235" s="620">
        <v>0</v>
      </c>
    </row>
    <row r="236" spans="1:14" ht="11.25" customHeight="1" x14ac:dyDescent="0.25">
      <c r="A236" s="615" t="s">
        <v>1862</v>
      </c>
      <c r="B236" s="616"/>
      <c r="C236" s="617"/>
      <c r="D236" s="617"/>
      <c r="E236" s="617"/>
      <c r="F236" s="1083"/>
      <c r="G236" s="1084"/>
      <c r="H236" s="1069"/>
      <c r="I236" s="618">
        <v>0</v>
      </c>
      <c r="J236" s="619">
        <v>0</v>
      </c>
      <c r="K236" s="618">
        <v>2300000</v>
      </c>
      <c r="L236" s="620">
        <v>2300000</v>
      </c>
      <c r="M236" s="621">
        <v>0</v>
      </c>
      <c r="N236" s="620">
        <v>0</v>
      </c>
    </row>
    <row r="237" spans="1:14" ht="11.25" customHeight="1" x14ac:dyDescent="0.25">
      <c r="A237" s="615" t="s">
        <v>1863</v>
      </c>
      <c r="B237" s="616"/>
      <c r="C237" s="617"/>
      <c r="D237" s="617"/>
      <c r="E237" s="617"/>
      <c r="F237" s="1083"/>
      <c r="G237" s="1084"/>
      <c r="H237" s="1069"/>
      <c r="I237" s="618">
        <v>0</v>
      </c>
      <c r="J237" s="619">
        <v>0</v>
      </c>
      <c r="K237" s="618">
        <v>1500000</v>
      </c>
      <c r="L237" s="620">
        <v>1500000</v>
      </c>
      <c r="M237" s="621">
        <v>0</v>
      </c>
      <c r="N237" s="620">
        <v>0</v>
      </c>
    </row>
    <row r="238" spans="1:14" ht="11.25" customHeight="1" x14ac:dyDescent="0.25">
      <c r="A238" s="615" t="s">
        <v>1864</v>
      </c>
      <c r="B238" s="616"/>
      <c r="C238" s="617"/>
      <c r="D238" s="617"/>
      <c r="E238" s="617"/>
      <c r="F238" s="1083"/>
      <c r="G238" s="1084"/>
      <c r="H238" s="1069"/>
      <c r="I238" s="618">
        <v>0</v>
      </c>
      <c r="J238" s="619">
        <v>0</v>
      </c>
      <c r="K238" s="618">
        <v>3300000</v>
      </c>
      <c r="L238" s="620">
        <v>3300000</v>
      </c>
      <c r="M238" s="621">
        <v>0</v>
      </c>
      <c r="N238" s="620">
        <v>0</v>
      </c>
    </row>
    <row r="239" spans="1:14" ht="11.25" customHeight="1" x14ac:dyDescent="0.25">
      <c r="A239" s="615" t="s">
        <v>1865</v>
      </c>
      <c r="B239" s="616"/>
      <c r="C239" s="617"/>
      <c r="D239" s="617"/>
      <c r="E239" s="617"/>
      <c r="F239" s="1083"/>
      <c r="G239" s="1084"/>
      <c r="H239" s="1069"/>
      <c r="I239" s="618">
        <v>0</v>
      </c>
      <c r="J239" s="619">
        <v>0</v>
      </c>
      <c r="K239" s="618">
        <v>850000</v>
      </c>
      <c r="L239" s="620">
        <v>850000</v>
      </c>
      <c r="M239" s="621">
        <v>0</v>
      </c>
      <c r="N239" s="620">
        <v>0</v>
      </c>
    </row>
    <row r="240" spans="1:14" ht="11.25" customHeight="1" x14ac:dyDescent="0.25">
      <c r="A240" s="615" t="s">
        <v>1866</v>
      </c>
      <c r="B240" s="616"/>
      <c r="C240" s="617"/>
      <c r="D240" s="617"/>
      <c r="E240" s="617"/>
      <c r="F240" s="1083"/>
      <c r="G240" s="1084"/>
      <c r="H240" s="1069"/>
      <c r="I240" s="618">
        <v>0</v>
      </c>
      <c r="J240" s="619">
        <v>0</v>
      </c>
      <c r="K240" s="618">
        <v>3300000</v>
      </c>
      <c r="L240" s="620">
        <v>3300000</v>
      </c>
      <c r="M240" s="621">
        <v>0</v>
      </c>
      <c r="N240" s="620">
        <v>0</v>
      </c>
    </row>
    <row r="241" spans="1:14" ht="11.25" customHeight="1" x14ac:dyDescent="0.25">
      <c r="A241" s="615" t="s">
        <v>1866</v>
      </c>
      <c r="B241" s="616"/>
      <c r="C241" s="617"/>
      <c r="D241" s="617"/>
      <c r="E241" s="617"/>
      <c r="F241" s="1083"/>
      <c r="G241" s="1084"/>
      <c r="H241" s="1069"/>
      <c r="I241" s="618">
        <v>0</v>
      </c>
      <c r="J241" s="619">
        <v>0</v>
      </c>
      <c r="K241" s="618">
        <v>3300000</v>
      </c>
      <c r="L241" s="620">
        <v>3300000</v>
      </c>
      <c r="M241" s="621">
        <v>0</v>
      </c>
      <c r="N241" s="620">
        <v>0</v>
      </c>
    </row>
    <row r="242" spans="1:14" ht="11.25" customHeight="1" x14ac:dyDescent="0.25">
      <c r="A242" s="615" t="s">
        <v>1866</v>
      </c>
      <c r="B242" s="616"/>
      <c r="C242" s="617"/>
      <c r="D242" s="617"/>
      <c r="E242" s="617"/>
      <c r="F242" s="1083"/>
      <c r="G242" s="1084"/>
      <c r="H242" s="1069"/>
      <c r="I242" s="618">
        <v>0</v>
      </c>
      <c r="J242" s="619">
        <v>0</v>
      </c>
      <c r="K242" s="618">
        <v>3300000</v>
      </c>
      <c r="L242" s="620">
        <v>3300000</v>
      </c>
      <c r="M242" s="621">
        <v>0</v>
      </c>
      <c r="N242" s="620">
        <v>0</v>
      </c>
    </row>
    <row r="243" spans="1:14" ht="11.25" customHeight="1" x14ac:dyDescent="0.25">
      <c r="A243" s="615" t="s">
        <v>1866</v>
      </c>
      <c r="B243" s="616"/>
      <c r="C243" s="617"/>
      <c r="D243" s="617"/>
      <c r="E243" s="617"/>
      <c r="F243" s="1083"/>
      <c r="G243" s="1084"/>
      <c r="H243" s="1069"/>
      <c r="I243" s="618">
        <v>0</v>
      </c>
      <c r="J243" s="619">
        <v>0</v>
      </c>
      <c r="K243" s="618">
        <v>880000</v>
      </c>
      <c r="L243" s="620">
        <v>880000</v>
      </c>
      <c r="M243" s="621">
        <v>0</v>
      </c>
      <c r="N243" s="620">
        <v>0</v>
      </c>
    </row>
    <row r="244" spans="1:14" ht="11.25" customHeight="1" x14ac:dyDescent="0.25">
      <c r="A244" s="615" t="s">
        <v>1867</v>
      </c>
      <c r="B244" s="616"/>
      <c r="C244" s="617"/>
      <c r="D244" s="617"/>
      <c r="E244" s="617"/>
      <c r="F244" s="1083"/>
      <c r="G244" s="1084"/>
      <c r="H244" s="1069"/>
      <c r="I244" s="618">
        <v>0</v>
      </c>
      <c r="J244" s="619">
        <v>0</v>
      </c>
      <c r="K244" s="618">
        <v>2200000</v>
      </c>
      <c r="L244" s="620">
        <v>2200000</v>
      </c>
      <c r="M244" s="621">
        <v>0</v>
      </c>
      <c r="N244" s="620">
        <v>0</v>
      </c>
    </row>
    <row r="245" spans="1:14" ht="11.25" customHeight="1" x14ac:dyDescent="0.25">
      <c r="A245" s="615" t="s">
        <v>1868</v>
      </c>
      <c r="B245" s="616"/>
      <c r="C245" s="617"/>
      <c r="D245" s="617"/>
      <c r="E245" s="617"/>
      <c r="F245" s="1083"/>
      <c r="G245" s="1084"/>
      <c r="H245" s="1069"/>
      <c r="I245" s="618">
        <v>0</v>
      </c>
      <c r="J245" s="619">
        <v>0</v>
      </c>
      <c r="K245" s="618">
        <v>7000000</v>
      </c>
      <c r="L245" s="620">
        <v>7000000</v>
      </c>
      <c r="M245" s="621">
        <v>0</v>
      </c>
      <c r="N245" s="620">
        <v>0</v>
      </c>
    </row>
    <row r="246" spans="1:14" ht="11.25" customHeight="1" x14ac:dyDescent="0.25">
      <c r="A246" s="615" t="s">
        <v>1876</v>
      </c>
      <c r="B246" s="616"/>
      <c r="C246" s="617"/>
      <c r="D246" s="617"/>
      <c r="E246" s="617"/>
      <c r="F246" s="1083"/>
      <c r="G246" s="1084"/>
      <c r="H246" s="1069"/>
      <c r="I246" s="618">
        <v>0</v>
      </c>
      <c r="J246" s="619">
        <v>0</v>
      </c>
      <c r="K246" s="618">
        <v>24000000</v>
      </c>
      <c r="L246" s="620">
        <v>24000000</v>
      </c>
      <c r="M246" s="621">
        <v>0</v>
      </c>
      <c r="N246" s="620">
        <v>0</v>
      </c>
    </row>
    <row r="247" spans="1:14" ht="11.25" customHeight="1" x14ac:dyDescent="0.25">
      <c r="A247" s="615" t="s">
        <v>1878</v>
      </c>
      <c r="B247" s="616"/>
      <c r="C247" s="617"/>
      <c r="D247" s="617"/>
      <c r="E247" s="617"/>
      <c r="F247" s="1083"/>
      <c r="G247" s="1084"/>
      <c r="H247" s="1069"/>
      <c r="I247" s="618">
        <v>0</v>
      </c>
      <c r="J247" s="619">
        <v>0</v>
      </c>
      <c r="K247" s="618">
        <v>10000000</v>
      </c>
      <c r="L247" s="620">
        <v>10000000</v>
      </c>
      <c r="M247" s="621">
        <v>0</v>
      </c>
      <c r="N247" s="620">
        <v>0</v>
      </c>
    </row>
    <row r="248" spans="1:14" ht="11.25" customHeight="1" x14ac:dyDescent="0.25">
      <c r="A248" s="615" t="s">
        <v>1879</v>
      </c>
      <c r="B248" s="616"/>
      <c r="C248" s="617"/>
      <c r="D248" s="617"/>
      <c r="E248" s="617"/>
      <c r="F248" s="1083"/>
      <c r="G248" s="1084"/>
      <c r="H248" s="1069"/>
      <c r="I248" s="618">
        <v>0</v>
      </c>
      <c r="J248" s="619">
        <v>0</v>
      </c>
      <c r="K248" s="618">
        <v>10000000</v>
      </c>
      <c r="L248" s="620">
        <v>10000000</v>
      </c>
      <c r="M248" s="621">
        <v>0</v>
      </c>
      <c r="N248" s="620">
        <v>0</v>
      </c>
    </row>
    <row r="249" spans="1:14" ht="11.25" customHeight="1" x14ac:dyDescent="0.25">
      <c r="A249" s="615" t="s">
        <v>1880</v>
      </c>
      <c r="B249" s="616"/>
      <c r="C249" s="617"/>
      <c r="D249" s="617"/>
      <c r="E249" s="617"/>
      <c r="F249" s="1083"/>
      <c r="G249" s="1084"/>
      <c r="H249" s="1069"/>
      <c r="I249" s="618">
        <v>0</v>
      </c>
      <c r="J249" s="619">
        <v>0</v>
      </c>
      <c r="K249" s="618">
        <v>6000000</v>
      </c>
      <c r="L249" s="620">
        <v>6000000</v>
      </c>
      <c r="M249" s="621">
        <v>0</v>
      </c>
      <c r="N249" s="620">
        <v>0</v>
      </c>
    </row>
    <row r="250" spans="1:14" ht="11.25" customHeight="1" x14ac:dyDescent="0.25">
      <c r="A250" s="615" t="s">
        <v>1881</v>
      </c>
      <c r="B250" s="616"/>
      <c r="C250" s="617"/>
      <c r="D250" s="617"/>
      <c r="E250" s="617"/>
      <c r="F250" s="1083"/>
      <c r="G250" s="1084"/>
      <c r="H250" s="1069"/>
      <c r="I250" s="618">
        <v>0</v>
      </c>
      <c r="J250" s="619">
        <v>0</v>
      </c>
      <c r="K250" s="618">
        <v>10000000</v>
      </c>
      <c r="L250" s="620">
        <v>10000000</v>
      </c>
      <c r="M250" s="621">
        <v>0</v>
      </c>
      <c r="N250" s="620">
        <v>0</v>
      </c>
    </row>
    <row r="251" spans="1:14" ht="11.25" customHeight="1" x14ac:dyDescent="0.25">
      <c r="A251" s="615" t="s">
        <v>1882</v>
      </c>
      <c r="B251" s="616"/>
      <c r="C251" s="617"/>
      <c r="D251" s="617"/>
      <c r="E251" s="617"/>
      <c r="F251" s="1083"/>
      <c r="G251" s="1084"/>
      <c r="H251" s="1069"/>
      <c r="I251" s="618">
        <v>0</v>
      </c>
      <c r="J251" s="619">
        <v>0</v>
      </c>
      <c r="K251" s="618">
        <v>10000000</v>
      </c>
      <c r="L251" s="620">
        <v>10000000</v>
      </c>
      <c r="M251" s="621">
        <v>0</v>
      </c>
      <c r="N251" s="620">
        <v>0</v>
      </c>
    </row>
    <row r="252" spans="1:14" ht="11.25" customHeight="1" x14ac:dyDescent="0.25">
      <c r="A252" s="615" t="s">
        <v>1883</v>
      </c>
      <c r="B252" s="616"/>
      <c r="C252" s="617"/>
      <c r="D252" s="617"/>
      <c r="E252" s="617"/>
      <c r="F252" s="1083"/>
      <c r="G252" s="1084"/>
      <c r="H252" s="1069"/>
      <c r="I252" s="618">
        <v>0</v>
      </c>
      <c r="J252" s="619">
        <v>0</v>
      </c>
      <c r="K252" s="618">
        <v>10000000</v>
      </c>
      <c r="L252" s="620">
        <v>10000000</v>
      </c>
      <c r="M252" s="621">
        <v>0</v>
      </c>
      <c r="N252" s="620">
        <v>0</v>
      </c>
    </row>
    <row r="253" spans="1:14" ht="11.25" customHeight="1" x14ac:dyDescent="0.25">
      <c r="A253" s="615" t="s">
        <v>1884</v>
      </c>
      <c r="B253" s="616"/>
      <c r="C253" s="617"/>
      <c r="D253" s="617"/>
      <c r="E253" s="617"/>
      <c r="F253" s="1083"/>
      <c r="G253" s="1084"/>
      <c r="H253" s="1069"/>
      <c r="I253" s="618">
        <v>0</v>
      </c>
      <c r="J253" s="619">
        <v>0</v>
      </c>
      <c r="K253" s="618">
        <v>10000000</v>
      </c>
      <c r="L253" s="620">
        <v>10000000</v>
      </c>
      <c r="M253" s="621">
        <v>0</v>
      </c>
      <c r="N253" s="620">
        <v>0</v>
      </c>
    </row>
    <row r="254" spans="1:14" ht="11.25" customHeight="1" x14ac:dyDescent="0.25">
      <c r="A254" s="615" t="s">
        <v>1885</v>
      </c>
      <c r="B254" s="616"/>
      <c r="C254" s="617"/>
      <c r="D254" s="617"/>
      <c r="E254" s="617"/>
      <c r="F254" s="1083"/>
      <c r="G254" s="1084"/>
      <c r="H254" s="1069"/>
      <c r="I254" s="618">
        <v>0</v>
      </c>
      <c r="J254" s="619">
        <v>0</v>
      </c>
      <c r="K254" s="618">
        <v>10000000</v>
      </c>
      <c r="L254" s="620">
        <v>10000000</v>
      </c>
      <c r="M254" s="621">
        <v>0</v>
      </c>
      <c r="N254" s="620">
        <v>0</v>
      </c>
    </row>
    <row r="255" spans="1:14" ht="11.25" customHeight="1" x14ac:dyDescent="0.25">
      <c r="A255" s="615" t="s">
        <v>1886</v>
      </c>
      <c r="B255" s="616"/>
      <c r="C255" s="617"/>
      <c r="D255" s="617"/>
      <c r="E255" s="617"/>
      <c r="F255" s="1083"/>
      <c r="G255" s="1084"/>
      <c r="H255" s="1069"/>
      <c r="I255" s="618">
        <v>0</v>
      </c>
      <c r="J255" s="619">
        <v>0</v>
      </c>
      <c r="K255" s="618">
        <v>2500000</v>
      </c>
      <c r="L255" s="620">
        <v>2500000</v>
      </c>
      <c r="M255" s="621">
        <v>0</v>
      </c>
      <c r="N255" s="620">
        <v>0</v>
      </c>
    </row>
    <row r="256" spans="1:14" ht="11.25" customHeight="1" x14ac:dyDescent="0.25">
      <c r="A256" s="615" t="s">
        <v>1887</v>
      </c>
      <c r="B256" s="616"/>
      <c r="C256" s="617"/>
      <c r="D256" s="617"/>
      <c r="E256" s="617"/>
      <c r="F256" s="1083"/>
      <c r="G256" s="1084"/>
      <c r="H256" s="1069"/>
      <c r="I256" s="618">
        <v>0</v>
      </c>
      <c r="J256" s="619">
        <v>0</v>
      </c>
      <c r="K256" s="618">
        <v>2000000</v>
      </c>
      <c r="L256" s="620">
        <v>2000000</v>
      </c>
      <c r="M256" s="621">
        <v>0</v>
      </c>
      <c r="N256" s="620">
        <v>0</v>
      </c>
    </row>
    <row r="257" spans="1:14" ht="11.25" customHeight="1" x14ac:dyDescent="0.25">
      <c r="A257" s="615" t="s">
        <v>1861</v>
      </c>
      <c r="B257" s="616"/>
      <c r="C257" s="617"/>
      <c r="D257" s="617"/>
      <c r="E257" s="617"/>
      <c r="F257" s="1083"/>
      <c r="G257" s="1084"/>
      <c r="H257" s="1069"/>
      <c r="I257" s="618">
        <v>0</v>
      </c>
      <c r="J257" s="619">
        <v>0</v>
      </c>
      <c r="K257" s="618">
        <v>1000000</v>
      </c>
      <c r="L257" s="620">
        <v>1000000</v>
      </c>
      <c r="M257" s="621">
        <v>0</v>
      </c>
      <c r="N257" s="620">
        <v>0</v>
      </c>
    </row>
    <row r="258" spans="1:14" ht="11.25" customHeight="1" x14ac:dyDescent="0.25">
      <c r="A258" s="615" t="s">
        <v>1991</v>
      </c>
      <c r="B258" s="616"/>
      <c r="C258" s="617"/>
      <c r="D258" s="617"/>
      <c r="E258" s="617"/>
      <c r="F258" s="1083"/>
      <c r="G258" s="1084"/>
      <c r="H258" s="1069"/>
      <c r="I258" s="618">
        <v>0</v>
      </c>
      <c r="J258" s="619">
        <v>0</v>
      </c>
      <c r="K258" s="618"/>
      <c r="L258" s="620"/>
      <c r="M258" s="621"/>
      <c r="N258" s="620"/>
    </row>
    <row r="259" spans="1:14" ht="11.25" customHeight="1" x14ac:dyDescent="0.25">
      <c r="A259" s="615" t="s">
        <v>1992</v>
      </c>
      <c r="B259" s="616"/>
      <c r="C259" s="617"/>
      <c r="D259" s="617"/>
      <c r="E259" s="617"/>
      <c r="F259" s="1083"/>
      <c r="G259" s="1084"/>
      <c r="H259" s="1069"/>
      <c r="I259" s="618"/>
      <c r="J259" s="619">
        <v>0</v>
      </c>
      <c r="K259" s="618"/>
      <c r="L259" s="620"/>
      <c r="M259" s="621"/>
      <c r="N259" s="620"/>
    </row>
    <row r="260" spans="1:14" ht="11.25" customHeight="1" x14ac:dyDescent="0.25">
      <c r="A260" s="615" t="s">
        <v>1993</v>
      </c>
      <c r="B260" s="616"/>
      <c r="C260" s="617"/>
      <c r="D260" s="617"/>
      <c r="E260" s="617"/>
      <c r="F260" s="1083"/>
      <c r="G260" s="1084"/>
      <c r="H260" s="1069"/>
      <c r="I260" s="618"/>
      <c r="J260" s="619">
        <v>0</v>
      </c>
      <c r="K260" s="618"/>
      <c r="L260" s="620"/>
      <c r="M260" s="621"/>
      <c r="N260" s="620"/>
    </row>
    <row r="261" spans="1:14" ht="11.25" customHeight="1" x14ac:dyDescent="0.25">
      <c r="A261" s="615" t="s">
        <v>1994</v>
      </c>
      <c r="B261" s="616"/>
      <c r="C261" s="617"/>
      <c r="D261" s="617"/>
      <c r="E261" s="617"/>
      <c r="F261" s="1083"/>
      <c r="G261" s="1084"/>
      <c r="H261" s="1069"/>
      <c r="I261" s="618"/>
      <c r="J261" s="619">
        <v>0</v>
      </c>
      <c r="K261" s="618">
        <v>500000</v>
      </c>
      <c r="L261" s="620">
        <v>500000</v>
      </c>
      <c r="M261" s="621">
        <v>0</v>
      </c>
      <c r="N261" s="620">
        <v>0</v>
      </c>
    </row>
    <row r="262" spans="1:14" ht="11.25" customHeight="1" x14ac:dyDescent="0.25">
      <c r="A262" s="615" t="s">
        <v>1888</v>
      </c>
      <c r="B262" s="616"/>
      <c r="C262" s="617"/>
      <c r="D262" s="617"/>
      <c r="E262" s="617"/>
      <c r="F262" s="1083"/>
      <c r="G262" s="1084"/>
      <c r="H262" s="1069"/>
      <c r="I262" s="618">
        <v>0</v>
      </c>
      <c r="J262" s="619">
        <v>0</v>
      </c>
      <c r="K262" s="618">
        <v>2500000</v>
      </c>
      <c r="L262" s="620">
        <v>2500000</v>
      </c>
      <c r="M262" s="621">
        <v>0</v>
      </c>
      <c r="N262" s="620">
        <v>0</v>
      </c>
    </row>
    <row r="263" spans="1:14" ht="11.25" customHeight="1" x14ac:dyDescent="0.25">
      <c r="A263" s="615" t="s">
        <v>1995</v>
      </c>
      <c r="B263" s="616"/>
      <c r="C263" s="617"/>
      <c r="D263" s="617"/>
      <c r="E263" s="617"/>
      <c r="F263" s="1083"/>
      <c r="G263" s="1084"/>
      <c r="H263" s="1069"/>
      <c r="I263" s="618">
        <v>0</v>
      </c>
      <c r="J263" s="619">
        <v>0</v>
      </c>
      <c r="K263" s="618"/>
      <c r="L263" s="620"/>
      <c r="M263" s="621"/>
      <c r="N263" s="620"/>
    </row>
    <row r="264" spans="1:14" ht="11.25" customHeight="1" x14ac:dyDescent="0.25">
      <c r="A264" s="615" t="s">
        <v>1996</v>
      </c>
      <c r="B264" s="616"/>
      <c r="C264" s="617"/>
      <c r="D264" s="617"/>
      <c r="E264" s="617"/>
      <c r="F264" s="1083"/>
      <c r="G264" s="1084"/>
      <c r="H264" s="1069"/>
      <c r="I264" s="618"/>
      <c r="J264" s="619">
        <v>0</v>
      </c>
      <c r="K264" s="618"/>
      <c r="L264" s="620"/>
      <c r="M264" s="621"/>
      <c r="N264" s="620"/>
    </row>
    <row r="265" spans="1:14" ht="11.25" customHeight="1" x14ac:dyDescent="0.25">
      <c r="A265" s="615" t="s">
        <v>1997</v>
      </c>
      <c r="B265" s="616"/>
      <c r="C265" s="617"/>
      <c r="D265" s="617"/>
      <c r="E265" s="617"/>
      <c r="F265" s="1083"/>
      <c r="G265" s="1084"/>
      <c r="H265" s="1069"/>
      <c r="I265" s="618"/>
      <c r="J265" s="619">
        <v>0</v>
      </c>
      <c r="K265" s="618"/>
      <c r="L265" s="620"/>
      <c r="M265" s="621"/>
      <c r="N265" s="620"/>
    </row>
    <row r="266" spans="1:14" ht="11.25" customHeight="1" x14ac:dyDescent="0.25">
      <c r="A266" s="615" t="s">
        <v>1998</v>
      </c>
      <c r="B266" s="616"/>
      <c r="C266" s="617"/>
      <c r="D266" s="617"/>
      <c r="E266" s="617"/>
      <c r="F266" s="1083"/>
      <c r="G266" s="1084"/>
      <c r="H266" s="1069"/>
      <c r="I266" s="618"/>
      <c r="J266" s="619">
        <v>0</v>
      </c>
      <c r="K266" s="618"/>
      <c r="L266" s="620"/>
      <c r="M266" s="621"/>
      <c r="N266" s="620"/>
    </row>
    <row r="267" spans="1:14" ht="11.25" customHeight="1" x14ac:dyDescent="0.25">
      <c r="A267" s="615" t="s">
        <v>1999</v>
      </c>
      <c r="B267" s="616"/>
      <c r="C267" s="617"/>
      <c r="D267" s="617"/>
      <c r="E267" s="617"/>
      <c r="F267" s="1083"/>
      <c r="G267" s="1084"/>
      <c r="H267" s="1069"/>
      <c r="I267" s="618"/>
      <c r="J267" s="619">
        <v>0</v>
      </c>
      <c r="K267" s="618"/>
      <c r="L267" s="620"/>
      <c r="M267" s="621"/>
      <c r="N267" s="620"/>
    </row>
    <row r="268" spans="1:14" ht="11.25" customHeight="1" x14ac:dyDescent="0.25">
      <c r="A268" s="615" t="s">
        <v>2000</v>
      </c>
      <c r="B268" s="616"/>
      <c r="C268" s="617"/>
      <c r="D268" s="617"/>
      <c r="E268" s="617"/>
      <c r="F268" s="1083"/>
      <c r="G268" s="1084"/>
      <c r="H268" s="1069"/>
      <c r="I268" s="618"/>
      <c r="J268" s="619">
        <v>0</v>
      </c>
      <c r="K268" s="618"/>
      <c r="L268" s="620"/>
      <c r="M268" s="621"/>
      <c r="N268" s="620"/>
    </row>
    <row r="269" spans="1:14" ht="11.25" customHeight="1" x14ac:dyDescent="0.25">
      <c r="A269" s="615" t="s">
        <v>2001</v>
      </c>
      <c r="B269" s="616"/>
      <c r="C269" s="617"/>
      <c r="D269" s="617"/>
      <c r="E269" s="617"/>
      <c r="F269" s="1083"/>
      <c r="G269" s="1084"/>
      <c r="H269" s="1069"/>
      <c r="I269" s="618"/>
      <c r="J269" s="619">
        <v>0</v>
      </c>
      <c r="K269" s="618"/>
      <c r="L269" s="620"/>
      <c r="M269" s="621"/>
      <c r="N269" s="620"/>
    </row>
    <row r="270" spans="1:14" ht="11.25" customHeight="1" x14ac:dyDescent="0.25">
      <c r="A270" s="615" t="s">
        <v>2002</v>
      </c>
      <c r="B270" s="616"/>
      <c r="C270" s="617"/>
      <c r="D270" s="617"/>
      <c r="E270" s="617"/>
      <c r="F270" s="1083"/>
      <c r="G270" s="1084"/>
      <c r="H270" s="1069"/>
      <c r="I270" s="618"/>
      <c r="J270" s="619">
        <v>0</v>
      </c>
      <c r="K270" s="618"/>
      <c r="L270" s="620"/>
      <c r="M270" s="621"/>
      <c r="N270" s="620"/>
    </row>
    <row r="271" spans="1:14" ht="11.25" customHeight="1" x14ac:dyDescent="0.25">
      <c r="A271" s="615" t="s">
        <v>2003</v>
      </c>
      <c r="B271" s="616"/>
      <c r="C271" s="617"/>
      <c r="D271" s="617"/>
      <c r="E271" s="617"/>
      <c r="F271" s="1083"/>
      <c r="G271" s="1084"/>
      <c r="H271" s="1069"/>
      <c r="I271" s="618"/>
      <c r="J271" s="619">
        <v>0</v>
      </c>
      <c r="K271" s="618"/>
      <c r="L271" s="620"/>
      <c r="M271" s="621"/>
      <c r="N271" s="620"/>
    </row>
    <row r="272" spans="1:14" ht="11.25" customHeight="1" x14ac:dyDescent="0.25">
      <c r="A272" s="615" t="s">
        <v>2004</v>
      </c>
      <c r="B272" s="616"/>
      <c r="C272" s="617"/>
      <c r="D272" s="617"/>
      <c r="E272" s="617"/>
      <c r="F272" s="1083"/>
      <c r="G272" s="1084"/>
      <c r="H272" s="1069"/>
      <c r="I272" s="618"/>
      <c r="J272" s="619">
        <v>0</v>
      </c>
      <c r="K272" s="618"/>
      <c r="L272" s="620"/>
      <c r="M272" s="621"/>
      <c r="N272" s="620"/>
    </row>
    <row r="273" spans="1:14" ht="11.25" customHeight="1" x14ac:dyDescent="0.25">
      <c r="A273" s="615" t="s">
        <v>2005</v>
      </c>
      <c r="B273" s="616"/>
      <c r="C273" s="617"/>
      <c r="D273" s="617"/>
      <c r="E273" s="617"/>
      <c r="F273" s="1083"/>
      <c r="G273" s="1084"/>
      <c r="H273" s="1069"/>
      <c r="I273" s="618"/>
      <c r="J273" s="619">
        <v>0</v>
      </c>
      <c r="K273" s="618"/>
      <c r="L273" s="620"/>
      <c r="M273" s="621"/>
      <c r="N273" s="620"/>
    </row>
    <row r="274" spans="1:14" ht="11.25" customHeight="1" x14ac:dyDescent="0.25">
      <c r="A274" s="615" t="s">
        <v>2006</v>
      </c>
      <c r="B274" s="616"/>
      <c r="C274" s="617"/>
      <c r="D274" s="617"/>
      <c r="E274" s="617"/>
      <c r="F274" s="1083"/>
      <c r="G274" s="1084"/>
      <c r="H274" s="1069"/>
      <c r="I274" s="618"/>
      <c r="J274" s="619">
        <v>0</v>
      </c>
      <c r="K274" s="618"/>
      <c r="L274" s="620"/>
      <c r="M274" s="621"/>
      <c r="N274" s="620"/>
    </row>
    <row r="275" spans="1:14" ht="11.25" customHeight="1" x14ac:dyDescent="0.25">
      <c r="A275" s="615" t="s">
        <v>2007</v>
      </c>
      <c r="B275" s="616"/>
      <c r="C275" s="617"/>
      <c r="D275" s="617"/>
      <c r="E275" s="617"/>
      <c r="F275" s="1083"/>
      <c r="G275" s="1084"/>
      <c r="H275" s="1069"/>
      <c r="I275" s="618"/>
      <c r="J275" s="619">
        <v>0</v>
      </c>
      <c r="K275" s="618"/>
      <c r="L275" s="620"/>
      <c r="M275" s="621"/>
      <c r="N275" s="620"/>
    </row>
    <row r="276" spans="1:14" ht="11.25" customHeight="1" x14ac:dyDescent="0.25">
      <c r="A276" s="615" t="s">
        <v>2008</v>
      </c>
      <c r="B276" s="616"/>
      <c r="C276" s="617"/>
      <c r="D276" s="617"/>
      <c r="E276" s="617"/>
      <c r="F276" s="1083"/>
      <c r="G276" s="1084"/>
      <c r="H276" s="1069"/>
      <c r="I276" s="618"/>
      <c r="J276" s="619">
        <v>0</v>
      </c>
      <c r="K276" s="618"/>
      <c r="L276" s="620"/>
      <c r="M276" s="621"/>
      <c r="N276" s="620"/>
    </row>
    <row r="277" spans="1:14" ht="11.25" customHeight="1" x14ac:dyDescent="0.25">
      <c r="A277" s="615" t="s">
        <v>2009</v>
      </c>
      <c r="B277" s="616"/>
      <c r="C277" s="617"/>
      <c r="D277" s="617"/>
      <c r="E277" s="617"/>
      <c r="F277" s="1083"/>
      <c r="G277" s="1084"/>
      <c r="H277" s="1069"/>
      <c r="I277" s="618"/>
      <c r="J277" s="619">
        <v>0</v>
      </c>
      <c r="K277" s="618"/>
      <c r="L277" s="620"/>
      <c r="M277" s="621"/>
      <c r="N277" s="620"/>
    </row>
    <row r="278" spans="1:14" ht="11.25" customHeight="1" x14ac:dyDescent="0.25">
      <c r="A278" s="615" t="s">
        <v>2010</v>
      </c>
      <c r="B278" s="616"/>
      <c r="C278" s="617"/>
      <c r="D278" s="617"/>
      <c r="E278" s="617"/>
      <c r="F278" s="1083"/>
      <c r="G278" s="1084"/>
      <c r="H278" s="1069"/>
      <c r="I278" s="618"/>
      <c r="J278" s="619">
        <v>0</v>
      </c>
      <c r="K278" s="618"/>
      <c r="L278" s="620"/>
      <c r="M278" s="621"/>
      <c r="N278" s="620"/>
    </row>
    <row r="279" spans="1:14" ht="11.25" customHeight="1" x14ac:dyDescent="0.25">
      <c r="A279" s="615" t="s">
        <v>2011</v>
      </c>
      <c r="B279" s="616"/>
      <c r="C279" s="617"/>
      <c r="D279" s="617"/>
      <c r="E279" s="617"/>
      <c r="F279" s="1083"/>
      <c r="G279" s="1084"/>
      <c r="H279" s="1069"/>
      <c r="I279" s="618"/>
      <c r="J279" s="619">
        <v>0</v>
      </c>
      <c r="K279" s="618"/>
      <c r="L279" s="620"/>
      <c r="M279" s="621"/>
      <c r="N279" s="620"/>
    </row>
    <row r="280" spans="1:14" ht="11.25" customHeight="1" x14ac:dyDescent="0.25">
      <c r="A280" s="615" t="s">
        <v>2012</v>
      </c>
      <c r="B280" s="616"/>
      <c r="C280" s="617"/>
      <c r="D280" s="617"/>
      <c r="E280" s="617"/>
      <c r="F280" s="1083"/>
      <c r="G280" s="1084"/>
      <c r="H280" s="1069"/>
      <c r="I280" s="618"/>
      <c r="J280" s="619">
        <v>0</v>
      </c>
      <c r="K280" s="618"/>
      <c r="L280" s="620"/>
      <c r="M280" s="621"/>
      <c r="N280" s="620"/>
    </row>
    <row r="281" spans="1:14" ht="11.25" customHeight="1" x14ac:dyDescent="0.25">
      <c r="A281" s="615" t="s">
        <v>2013</v>
      </c>
      <c r="B281" s="616"/>
      <c r="C281" s="617"/>
      <c r="D281" s="617"/>
      <c r="E281" s="617"/>
      <c r="F281" s="1083"/>
      <c r="G281" s="1084"/>
      <c r="H281" s="1069"/>
      <c r="I281" s="618"/>
      <c r="J281" s="619">
        <v>0</v>
      </c>
      <c r="K281" s="618"/>
      <c r="L281" s="620"/>
      <c r="M281" s="621"/>
      <c r="N281" s="620"/>
    </row>
    <row r="282" spans="1:14" ht="11.25" customHeight="1" x14ac:dyDescent="0.25">
      <c r="A282" s="615" t="s">
        <v>2014</v>
      </c>
      <c r="B282" s="616"/>
      <c r="C282" s="617"/>
      <c r="D282" s="617"/>
      <c r="E282" s="617"/>
      <c r="F282" s="1083"/>
      <c r="G282" s="1084"/>
      <c r="H282" s="1069"/>
      <c r="I282" s="618"/>
      <c r="J282" s="619">
        <v>0</v>
      </c>
      <c r="K282" s="618">
        <v>10000000</v>
      </c>
      <c r="L282" s="620">
        <v>10000000</v>
      </c>
      <c r="M282" s="621">
        <v>0</v>
      </c>
      <c r="N282" s="620">
        <v>0</v>
      </c>
    </row>
    <row r="283" spans="1:14" ht="11.25" customHeight="1" x14ac:dyDescent="0.25">
      <c r="A283" s="615" t="s">
        <v>1889</v>
      </c>
      <c r="B283" s="616"/>
      <c r="C283" s="617"/>
      <c r="D283" s="617"/>
      <c r="E283" s="617"/>
      <c r="F283" s="1083"/>
      <c r="G283" s="1084"/>
      <c r="H283" s="1069"/>
      <c r="I283" s="618">
        <v>0</v>
      </c>
      <c r="J283" s="619">
        <v>0</v>
      </c>
      <c r="K283" s="618">
        <v>8000000</v>
      </c>
      <c r="L283" s="620">
        <v>8000000</v>
      </c>
      <c r="M283" s="621">
        <v>0</v>
      </c>
      <c r="N283" s="620">
        <v>0</v>
      </c>
    </row>
    <row r="284" spans="1:14" ht="11.25" customHeight="1" x14ac:dyDescent="0.25">
      <c r="A284" s="615" t="s">
        <v>1891</v>
      </c>
      <c r="B284" s="616"/>
      <c r="C284" s="617"/>
      <c r="D284" s="617"/>
      <c r="E284" s="617"/>
      <c r="F284" s="1083"/>
      <c r="G284" s="1084"/>
      <c r="H284" s="1069"/>
      <c r="I284" s="618">
        <v>0</v>
      </c>
      <c r="J284" s="619">
        <v>0</v>
      </c>
      <c r="K284" s="618">
        <v>2000000</v>
      </c>
      <c r="L284" s="620">
        <v>2000000</v>
      </c>
      <c r="M284" s="621">
        <v>0</v>
      </c>
      <c r="N284" s="620">
        <v>0</v>
      </c>
    </row>
    <row r="285" spans="1:14" ht="11.25" customHeight="1" x14ac:dyDescent="0.25">
      <c r="A285" s="615" t="s">
        <v>1892</v>
      </c>
      <c r="B285" s="616"/>
      <c r="C285" s="617"/>
      <c r="D285" s="617"/>
      <c r="E285" s="617"/>
      <c r="F285" s="1083"/>
      <c r="G285" s="1084"/>
      <c r="H285" s="1069"/>
      <c r="I285" s="618">
        <v>0</v>
      </c>
      <c r="J285" s="619">
        <v>0</v>
      </c>
      <c r="K285" s="618">
        <v>8000000</v>
      </c>
      <c r="L285" s="620">
        <v>8000000</v>
      </c>
      <c r="M285" s="621">
        <v>0</v>
      </c>
      <c r="N285" s="620">
        <v>0</v>
      </c>
    </row>
    <row r="286" spans="1:14" ht="11.25" customHeight="1" x14ac:dyDescent="0.25">
      <c r="A286" s="615" t="s">
        <v>1893</v>
      </c>
      <c r="B286" s="616"/>
      <c r="C286" s="617"/>
      <c r="D286" s="617"/>
      <c r="E286" s="617"/>
      <c r="F286" s="1083"/>
      <c r="G286" s="1084"/>
      <c r="H286" s="1069"/>
      <c r="I286" s="618">
        <v>0</v>
      </c>
      <c r="J286" s="619">
        <v>0</v>
      </c>
      <c r="K286" s="618">
        <v>8000000</v>
      </c>
      <c r="L286" s="620">
        <v>8000000</v>
      </c>
      <c r="M286" s="621">
        <v>0</v>
      </c>
      <c r="N286" s="620">
        <v>0</v>
      </c>
    </row>
    <row r="287" spans="1:14" ht="11.25" customHeight="1" x14ac:dyDescent="0.25">
      <c r="A287" s="615" t="s">
        <v>1894</v>
      </c>
      <c r="B287" s="616"/>
      <c r="C287" s="617"/>
      <c r="D287" s="617"/>
      <c r="E287" s="617"/>
      <c r="F287" s="1083"/>
      <c r="G287" s="1084"/>
      <c r="H287" s="1069"/>
      <c r="I287" s="618">
        <v>0</v>
      </c>
      <c r="J287" s="619">
        <v>0</v>
      </c>
      <c r="K287" s="618">
        <v>3000000</v>
      </c>
      <c r="L287" s="620">
        <v>3000000</v>
      </c>
      <c r="M287" s="621">
        <v>0</v>
      </c>
      <c r="N287" s="620">
        <v>0</v>
      </c>
    </row>
    <row r="288" spans="1:14" ht="11.25" customHeight="1" x14ac:dyDescent="0.25">
      <c r="A288" s="615" t="s">
        <v>1895</v>
      </c>
      <c r="B288" s="616"/>
      <c r="C288" s="617"/>
      <c r="D288" s="617"/>
      <c r="E288" s="617"/>
      <c r="F288" s="1083"/>
      <c r="G288" s="1084"/>
      <c r="H288" s="1069"/>
      <c r="I288" s="618">
        <v>0</v>
      </c>
      <c r="J288" s="619">
        <v>0</v>
      </c>
      <c r="K288" s="618">
        <v>9000000</v>
      </c>
      <c r="L288" s="620">
        <v>9000000</v>
      </c>
      <c r="M288" s="621">
        <v>0</v>
      </c>
      <c r="N288" s="620">
        <v>0</v>
      </c>
    </row>
    <row r="289" spans="1:14" ht="11.25" customHeight="1" x14ac:dyDescent="0.25">
      <c r="A289" s="615" t="s">
        <v>1896</v>
      </c>
      <c r="B289" s="616"/>
      <c r="C289" s="617"/>
      <c r="D289" s="617"/>
      <c r="E289" s="617"/>
      <c r="F289" s="1083"/>
      <c r="G289" s="1084"/>
      <c r="H289" s="1069"/>
      <c r="I289" s="618">
        <v>0</v>
      </c>
      <c r="J289" s="619">
        <v>0</v>
      </c>
      <c r="K289" s="618">
        <v>9000000</v>
      </c>
      <c r="L289" s="620">
        <v>9000000</v>
      </c>
      <c r="M289" s="621">
        <v>0</v>
      </c>
      <c r="N289" s="620">
        <v>0</v>
      </c>
    </row>
    <row r="290" spans="1:14" ht="11.25" customHeight="1" x14ac:dyDescent="0.25">
      <c r="A290" s="615" t="s">
        <v>1897</v>
      </c>
      <c r="B290" s="616"/>
      <c r="C290" s="617"/>
      <c r="D290" s="617"/>
      <c r="E290" s="617"/>
      <c r="F290" s="1083"/>
      <c r="G290" s="1084"/>
      <c r="H290" s="1069"/>
      <c r="I290" s="618">
        <v>0</v>
      </c>
      <c r="J290" s="619">
        <v>0</v>
      </c>
      <c r="K290" s="618">
        <v>9000000</v>
      </c>
      <c r="L290" s="620">
        <v>9000000</v>
      </c>
      <c r="M290" s="621">
        <v>0</v>
      </c>
      <c r="N290" s="620">
        <v>0</v>
      </c>
    </row>
    <row r="291" spans="1:14" ht="11.25" customHeight="1" x14ac:dyDescent="0.25">
      <c r="A291" s="615" t="s">
        <v>1898</v>
      </c>
      <c r="B291" s="616"/>
      <c r="C291" s="617"/>
      <c r="D291" s="617"/>
      <c r="E291" s="617"/>
      <c r="F291" s="1083"/>
      <c r="G291" s="1084"/>
      <c r="H291" s="1069"/>
      <c r="I291" s="618">
        <v>0</v>
      </c>
      <c r="J291" s="619">
        <v>0</v>
      </c>
      <c r="K291" s="618">
        <v>9864000</v>
      </c>
      <c r="L291" s="620">
        <v>9864000</v>
      </c>
      <c r="M291" s="621">
        <v>0</v>
      </c>
      <c r="N291" s="620">
        <v>0</v>
      </c>
    </row>
    <row r="292" spans="1:14" ht="11.25" customHeight="1" x14ac:dyDescent="0.25">
      <c r="A292" s="615" t="s">
        <v>1899</v>
      </c>
      <c r="B292" s="616"/>
      <c r="C292" s="617"/>
      <c r="D292" s="617"/>
      <c r="E292" s="617"/>
      <c r="F292" s="1083"/>
      <c r="G292" s="1084"/>
      <c r="H292" s="1069"/>
      <c r="I292" s="618">
        <v>0</v>
      </c>
      <c r="J292" s="619">
        <v>0</v>
      </c>
      <c r="K292" s="618">
        <v>8000000</v>
      </c>
      <c r="L292" s="620">
        <v>8000000</v>
      </c>
      <c r="M292" s="621">
        <v>0</v>
      </c>
      <c r="N292" s="620">
        <v>0</v>
      </c>
    </row>
    <row r="293" spans="1:14" ht="11.25" customHeight="1" x14ac:dyDescent="0.25">
      <c r="A293" s="615" t="s">
        <v>1900</v>
      </c>
      <c r="B293" s="616"/>
      <c r="C293" s="617"/>
      <c r="D293" s="617"/>
      <c r="E293" s="617"/>
      <c r="F293" s="1083"/>
      <c r="G293" s="1084"/>
      <c r="H293" s="1069"/>
      <c r="I293" s="618">
        <v>0</v>
      </c>
      <c r="J293" s="619">
        <v>0</v>
      </c>
      <c r="K293" s="618">
        <v>3000000</v>
      </c>
      <c r="L293" s="620">
        <v>3000000</v>
      </c>
      <c r="M293" s="621">
        <v>0</v>
      </c>
      <c r="N293" s="620">
        <v>0</v>
      </c>
    </row>
    <row r="294" spans="1:14" ht="11.25" customHeight="1" x14ac:dyDescent="0.25">
      <c r="A294" s="615" t="s">
        <v>1901</v>
      </c>
      <c r="B294" s="616"/>
      <c r="C294" s="617"/>
      <c r="D294" s="617"/>
      <c r="E294" s="617"/>
      <c r="F294" s="1083"/>
      <c r="G294" s="1084"/>
      <c r="H294" s="1069"/>
      <c r="I294" s="618">
        <v>0</v>
      </c>
      <c r="J294" s="619">
        <v>0</v>
      </c>
      <c r="K294" s="618">
        <v>5000000</v>
      </c>
      <c r="L294" s="620">
        <v>5000000</v>
      </c>
      <c r="M294" s="621">
        <v>0</v>
      </c>
      <c r="N294" s="620">
        <v>0</v>
      </c>
    </row>
    <row r="295" spans="1:14" ht="11.25" customHeight="1" x14ac:dyDescent="0.25">
      <c r="A295" s="615" t="s">
        <v>1902</v>
      </c>
      <c r="B295" s="616"/>
      <c r="C295" s="617"/>
      <c r="D295" s="617"/>
      <c r="E295" s="617"/>
      <c r="F295" s="1083"/>
      <c r="G295" s="1084"/>
      <c r="H295" s="1069"/>
      <c r="I295" s="618">
        <v>0</v>
      </c>
      <c r="J295" s="619">
        <v>0</v>
      </c>
      <c r="K295" s="618">
        <v>3000000</v>
      </c>
      <c r="L295" s="620">
        <v>3000000</v>
      </c>
      <c r="M295" s="621">
        <v>0</v>
      </c>
      <c r="N295" s="620">
        <v>0</v>
      </c>
    </row>
    <row r="296" spans="1:14" ht="11.25" customHeight="1" x14ac:dyDescent="0.25">
      <c r="A296" s="615" t="s">
        <v>1903</v>
      </c>
      <c r="B296" s="616"/>
      <c r="C296" s="617"/>
      <c r="D296" s="617"/>
      <c r="E296" s="617"/>
      <c r="F296" s="1083"/>
      <c r="G296" s="1084"/>
      <c r="H296" s="1069"/>
      <c r="I296" s="618">
        <v>0</v>
      </c>
      <c r="J296" s="619">
        <v>0</v>
      </c>
      <c r="K296" s="618">
        <v>5000000</v>
      </c>
      <c r="L296" s="620">
        <v>5000000</v>
      </c>
      <c r="M296" s="621">
        <v>0</v>
      </c>
      <c r="N296" s="620">
        <v>0</v>
      </c>
    </row>
    <row r="297" spans="1:14" ht="11.25" customHeight="1" x14ac:dyDescent="0.25">
      <c r="A297" s="615" t="s">
        <v>1904</v>
      </c>
      <c r="B297" s="616"/>
      <c r="C297" s="617"/>
      <c r="D297" s="617"/>
      <c r="E297" s="617"/>
      <c r="F297" s="1083"/>
      <c r="G297" s="1084"/>
      <c r="H297" s="1069"/>
      <c r="I297" s="618">
        <v>0</v>
      </c>
      <c r="J297" s="619">
        <v>0</v>
      </c>
      <c r="K297" s="618">
        <v>7000000</v>
      </c>
      <c r="L297" s="620">
        <v>7000000</v>
      </c>
      <c r="M297" s="621">
        <v>0</v>
      </c>
      <c r="N297" s="620">
        <v>0</v>
      </c>
    </row>
    <row r="298" spans="1:14" ht="11.25" customHeight="1" x14ac:dyDescent="0.25">
      <c r="A298" s="615" t="s">
        <v>1905</v>
      </c>
      <c r="B298" s="616"/>
      <c r="C298" s="617"/>
      <c r="D298" s="617"/>
      <c r="E298" s="617"/>
      <c r="F298" s="1083"/>
      <c r="G298" s="1084"/>
      <c r="H298" s="1069"/>
      <c r="I298" s="618">
        <v>0</v>
      </c>
      <c r="J298" s="619">
        <v>0</v>
      </c>
      <c r="K298" s="618">
        <v>1500000</v>
      </c>
      <c r="L298" s="620">
        <v>1500000</v>
      </c>
      <c r="M298" s="621">
        <v>0</v>
      </c>
      <c r="N298" s="620">
        <v>0</v>
      </c>
    </row>
    <row r="299" spans="1:14" ht="11.25" customHeight="1" x14ac:dyDescent="0.25">
      <c r="A299" s="615" t="s">
        <v>2015</v>
      </c>
      <c r="B299" s="616"/>
      <c r="C299" s="617"/>
      <c r="D299" s="617"/>
      <c r="E299" s="617"/>
      <c r="F299" s="1083"/>
      <c r="G299" s="1084"/>
      <c r="H299" s="1069"/>
      <c r="I299" s="618">
        <v>0</v>
      </c>
      <c r="J299" s="619">
        <v>0</v>
      </c>
      <c r="K299" s="618">
        <v>2000000</v>
      </c>
      <c r="L299" s="620">
        <v>2000000</v>
      </c>
      <c r="M299" s="621">
        <v>0</v>
      </c>
      <c r="N299" s="620">
        <v>0</v>
      </c>
    </row>
    <row r="300" spans="1:14" ht="11.25" customHeight="1" x14ac:dyDescent="0.25">
      <c r="A300" s="615" t="s">
        <v>2063</v>
      </c>
      <c r="B300" s="616"/>
      <c r="C300" s="617"/>
      <c r="D300" s="617"/>
      <c r="E300" s="617"/>
      <c r="F300" s="1083"/>
      <c r="G300" s="1084"/>
      <c r="H300" s="1069"/>
      <c r="I300" s="618">
        <v>0</v>
      </c>
      <c r="J300" s="619">
        <v>0</v>
      </c>
      <c r="K300" s="618">
        <v>2000000</v>
      </c>
      <c r="L300" s="620">
        <v>2000000</v>
      </c>
      <c r="M300" s="621">
        <v>0</v>
      </c>
      <c r="N300" s="620">
        <v>0</v>
      </c>
    </row>
    <row r="301" spans="1:14" ht="11.25" customHeight="1" x14ac:dyDescent="0.25">
      <c r="A301" s="615" t="s">
        <v>2016</v>
      </c>
      <c r="B301" s="616"/>
      <c r="C301" s="617"/>
      <c r="D301" s="617"/>
      <c r="E301" s="617"/>
      <c r="F301" s="1083"/>
      <c r="G301" s="1084"/>
      <c r="H301" s="1069"/>
      <c r="I301" s="618">
        <v>0</v>
      </c>
      <c r="J301" s="619">
        <v>0</v>
      </c>
      <c r="K301" s="618">
        <v>2000000</v>
      </c>
      <c r="L301" s="620">
        <v>2000000</v>
      </c>
      <c r="M301" s="621">
        <v>0</v>
      </c>
      <c r="N301" s="620">
        <v>0</v>
      </c>
    </row>
    <row r="302" spans="1:14" ht="11.25" customHeight="1" x14ac:dyDescent="0.25">
      <c r="A302" s="615" t="s">
        <v>2017</v>
      </c>
      <c r="B302" s="616"/>
      <c r="C302" s="617"/>
      <c r="D302" s="617"/>
      <c r="E302" s="617"/>
      <c r="F302" s="1083"/>
      <c r="G302" s="1084"/>
      <c r="H302" s="1069"/>
      <c r="I302" s="618">
        <v>0</v>
      </c>
      <c r="J302" s="619">
        <v>0</v>
      </c>
      <c r="K302" s="618"/>
      <c r="L302" s="620"/>
      <c r="M302" s="621"/>
      <c r="N302" s="620"/>
    </row>
    <row r="303" spans="1:14" ht="11.25" customHeight="1" x14ac:dyDescent="0.25">
      <c r="A303" s="615" t="s">
        <v>2018</v>
      </c>
      <c r="B303" s="616"/>
      <c r="C303" s="617"/>
      <c r="D303" s="617"/>
      <c r="E303" s="617"/>
      <c r="F303" s="1083"/>
      <c r="G303" s="1084"/>
      <c r="H303" s="1069"/>
      <c r="I303" s="618"/>
      <c r="J303" s="619">
        <v>0</v>
      </c>
      <c r="K303" s="618"/>
      <c r="L303" s="620"/>
      <c r="M303" s="621"/>
      <c r="N303" s="620"/>
    </row>
    <row r="304" spans="1:14" ht="11.25" customHeight="1" x14ac:dyDescent="0.25">
      <c r="A304" s="615" t="s">
        <v>2019</v>
      </c>
      <c r="B304" s="616"/>
      <c r="C304" s="617"/>
      <c r="D304" s="617"/>
      <c r="E304" s="617"/>
      <c r="F304" s="1083"/>
      <c r="G304" s="1084"/>
      <c r="H304" s="1069"/>
      <c r="I304" s="618"/>
      <c r="J304" s="619">
        <v>0</v>
      </c>
      <c r="K304" s="618"/>
      <c r="L304" s="620"/>
      <c r="M304" s="621"/>
      <c r="N304" s="620"/>
    </row>
    <row r="305" spans="1:14" ht="11.25" customHeight="1" x14ac:dyDescent="0.25">
      <c r="A305" s="615" t="s">
        <v>2020</v>
      </c>
      <c r="B305" s="616"/>
      <c r="C305" s="617"/>
      <c r="D305" s="617"/>
      <c r="E305" s="617"/>
      <c r="F305" s="1083"/>
      <c r="G305" s="1084"/>
      <c r="H305" s="1069"/>
      <c r="I305" s="618"/>
      <c r="J305" s="619">
        <v>0</v>
      </c>
      <c r="K305" s="618"/>
      <c r="L305" s="620"/>
      <c r="M305" s="621"/>
      <c r="N305" s="620"/>
    </row>
    <row r="306" spans="1:14" ht="11.25" customHeight="1" x14ac:dyDescent="0.25">
      <c r="A306" s="615" t="s">
        <v>2021</v>
      </c>
      <c r="B306" s="616"/>
      <c r="C306" s="617"/>
      <c r="D306" s="617"/>
      <c r="E306" s="617"/>
      <c r="F306" s="1083"/>
      <c r="G306" s="1084"/>
      <c r="H306" s="1069"/>
      <c r="I306" s="618"/>
      <c r="J306" s="619">
        <v>0</v>
      </c>
      <c r="K306" s="618">
        <v>3000000</v>
      </c>
      <c r="L306" s="620">
        <v>3000000</v>
      </c>
      <c r="M306" s="621">
        <v>0</v>
      </c>
      <c r="N306" s="620">
        <v>0</v>
      </c>
    </row>
    <row r="307" spans="1:14" ht="11.25" customHeight="1" x14ac:dyDescent="0.25">
      <c r="A307" s="615" t="s">
        <v>1906</v>
      </c>
      <c r="B307" s="616"/>
      <c r="C307" s="617"/>
      <c r="D307" s="617"/>
      <c r="E307" s="617"/>
      <c r="F307" s="1083"/>
      <c r="G307" s="1084"/>
      <c r="H307" s="1069"/>
      <c r="I307" s="618">
        <v>0</v>
      </c>
      <c r="J307" s="619">
        <v>0</v>
      </c>
      <c r="K307" s="618">
        <v>4000000</v>
      </c>
      <c r="L307" s="620">
        <v>4000000</v>
      </c>
      <c r="M307" s="621">
        <v>0</v>
      </c>
      <c r="N307" s="620">
        <v>0</v>
      </c>
    </row>
    <row r="308" spans="1:14" ht="11.25" customHeight="1" x14ac:dyDescent="0.25">
      <c r="A308" s="615" t="s">
        <v>1907</v>
      </c>
      <c r="B308" s="616"/>
      <c r="C308" s="617"/>
      <c r="D308" s="617"/>
      <c r="E308" s="617"/>
      <c r="F308" s="1083"/>
      <c r="G308" s="1084"/>
      <c r="H308" s="1069"/>
      <c r="I308" s="618">
        <v>0</v>
      </c>
      <c r="J308" s="619">
        <v>0</v>
      </c>
      <c r="K308" s="618">
        <v>3000000</v>
      </c>
      <c r="L308" s="620">
        <v>3000000</v>
      </c>
      <c r="M308" s="621">
        <v>0</v>
      </c>
      <c r="N308" s="620">
        <v>0</v>
      </c>
    </row>
    <row r="309" spans="1:14" ht="11.25" customHeight="1" x14ac:dyDescent="0.25">
      <c r="A309" s="615" t="s">
        <v>1908</v>
      </c>
      <c r="B309" s="616"/>
      <c r="C309" s="617"/>
      <c r="D309" s="617"/>
      <c r="E309" s="617"/>
      <c r="F309" s="1083"/>
      <c r="G309" s="1084"/>
      <c r="H309" s="1069"/>
      <c r="I309" s="618">
        <v>0</v>
      </c>
      <c r="J309" s="619">
        <v>0</v>
      </c>
      <c r="K309" s="618">
        <v>3000000</v>
      </c>
      <c r="L309" s="620">
        <v>3000000</v>
      </c>
      <c r="M309" s="621">
        <v>0</v>
      </c>
      <c r="N309" s="620">
        <v>0</v>
      </c>
    </row>
    <row r="310" spans="1:14" ht="11.25" customHeight="1" x14ac:dyDescent="0.25">
      <c r="A310" s="615" t="s">
        <v>1909</v>
      </c>
      <c r="B310" s="616"/>
      <c r="C310" s="617"/>
      <c r="D310" s="617"/>
      <c r="E310" s="617"/>
      <c r="F310" s="1083"/>
      <c r="G310" s="1084"/>
      <c r="H310" s="1069"/>
      <c r="I310" s="618">
        <v>0</v>
      </c>
      <c r="J310" s="619">
        <v>0</v>
      </c>
      <c r="K310" s="618">
        <v>2000000</v>
      </c>
      <c r="L310" s="620">
        <v>2000000</v>
      </c>
      <c r="M310" s="621">
        <v>0</v>
      </c>
      <c r="N310" s="620">
        <v>0</v>
      </c>
    </row>
    <row r="311" spans="1:14" ht="11.25" customHeight="1" x14ac:dyDescent="0.25">
      <c r="A311" s="615" t="s">
        <v>1910</v>
      </c>
      <c r="B311" s="616"/>
      <c r="C311" s="617"/>
      <c r="D311" s="617"/>
      <c r="E311" s="617"/>
      <c r="F311" s="1083"/>
      <c r="G311" s="1084"/>
      <c r="H311" s="1069"/>
      <c r="I311" s="618">
        <v>0</v>
      </c>
      <c r="J311" s="619">
        <v>0</v>
      </c>
      <c r="K311" s="618">
        <v>3000000</v>
      </c>
      <c r="L311" s="620">
        <v>3000000</v>
      </c>
      <c r="M311" s="621">
        <v>0</v>
      </c>
      <c r="N311" s="620">
        <v>0</v>
      </c>
    </row>
    <row r="312" spans="1:14" ht="11.25" customHeight="1" x14ac:dyDescent="0.25">
      <c r="A312" s="615" t="s">
        <v>1911</v>
      </c>
      <c r="B312" s="616"/>
      <c r="C312" s="617"/>
      <c r="D312" s="617"/>
      <c r="E312" s="617"/>
      <c r="F312" s="1083"/>
      <c r="G312" s="1084"/>
      <c r="H312" s="1069"/>
      <c r="I312" s="618">
        <v>0</v>
      </c>
      <c r="J312" s="619">
        <v>0</v>
      </c>
      <c r="K312" s="618">
        <v>2000000</v>
      </c>
      <c r="L312" s="620">
        <v>2000000</v>
      </c>
      <c r="M312" s="621">
        <v>0</v>
      </c>
      <c r="N312" s="620">
        <v>0</v>
      </c>
    </row>
    <row r="313" spans="1:14" ht="11.25" customHeight="1" x14ac:dyDescent="0.25">
      <c r="A313" s="615" t="s">
        <v>1912</v>
      </c>
      <c r="B313" s="616"/>
      <c r="C313" s="617"/>
      <c r="D313" s="617"/>
      <c r="E313" s="617"/>
      <c r="F313" s="1083"/>
      <c r="G313" s="1084"/>
      <c r="H313" s="1069"/>
      <c r="I313" s="618">
        <v>0</v>
      </c>
      <c r="J313" s="619">
        <v>0</v>
      </c>
      <c r="K313" s="618">
        <v>10000000</v>
      </c>
      <c r="L313" s="620">
        <v>10000000</v>
      </c>
      <c r="M313" s="621">
        <v>0</v>
      </c>
      <c r="N313" s="620">
        <v>0</v>
      </c>
    </row>
    <row r="314" spans="1:14" ht="11.25" customHeight="1" x14ac:dyDescent="0.25">
      <c r="A314" s="615" t="s">
        <v>2023</v>
      </c>
      <c r="B314" s="616"/>
      <c r="C314" s="617"/>
      <c r="D314" s="617"/>
      <c r="E314" s="617"/>
      <c r="F314" s="1083"/>
      <c r="G314" s="1084"/>
      <c r="H314" s="1069"/>
      <c r="I314" s="618">
        <v>0</v>
      </c>
      <c r="J314" s="619">
        <v>0</v>
      </c>
      <c r="K314" s="618">
        <v>5000000</v>
      </c>
      <c r="L314" s="620">
        <v>5000000</v>
      </c>
      <c r="M314" s="621">
        <v>0</v>
      </c>
      <c r="N314" s="620">
        <v>0</v>
      </c>
    </row>
    <row r="315" spans="1:14" ht="11.25" customHeight="1" x14ac:dyDescent="0.25">
      <c r="A315" s="615" t="s">
        <v>2024</v>
      </c>
      <c r="B315" s="616"/>
      <c r="C315" s="617"/>
      <c r="D315" s="617"/>
      <c r="E315" s="617"/>
      <c r="F315" s="1083"/>
      <c r="G315" s="1084"/>
      <c r="H315" s="1069"/>
      <c r="I315" s="618">
        <v>0</v>
      </c>
      <c r="J315" s="619">
        <v>0</v>
      </c>
      <c r="K315" s="618">
        <v>4000000</v>
      </c>
      <c r="L315" s="620">
        <v>4000000</v>
      </c>
      <c r="M315" s="621">
        <v>0</v>
      </c>
      <c r="N315" s="620">
        <v>0</v>
      </c>
    </row>
    <row r="316" spans="1:14" ht="11.25" customHeight="1" x14ac:dyDescent="0.25">
      <c r="A316" s="615" t="s">
        <v>2025</v>
      </c>
      <c r="B316" s="616"/>
      <c r="C316" s="617"/>
      <c r="D316" s="617"/>
      <c r="E316" s="617"/>
      <c r="F316" s="1083"/>
      <c r="G316" s="1084"/>
      <c r="H316" s="1069"/>
      <c r="I316" s="618">
        <v>0</v>
      </c>
      <c r="J316" s="619">
        <v>0</v>
      </c>
      <c r="K316" s="618">
        <v>5000000</v>
      </c>
      <c r="L316" s="620">
        <v>5000000</v>
      </c>
      <c r="M316" s="621">
        <v>0</v>
      </c>
      <c r="N316" s="620">
        <v>0</v>
      </c>
    </row>
    <row r="317" spans="1:14" ht="11.25" customHeight="1" x14ac:dyDescent="0.25">
      <c r="A317" s="615" t="s">
        <v>2026</v>
      </c>
      <c r="B317" s="616"/>
      <c r="C317" s="617"/>
      <c r="D317" s="617"/>
      <c r="E317" s="617"/>
      <c r="F317" s="1083"/>
      <c r="G317" s="1084"/>
      <c r="H317" s="1069"/>
      <c r="I317" s="618">
        <v>0</v>
      </c>
      <c r="J317" s="619">
        <v>0</v>
      </c>
      <c r="K317" s="618">
        <v>2000000</v>
      </c>
      <c r="L317" s="620">
        <v>2000000</v>
      </c>
      <c r="M317" s="621">
        <v>0</v>
      </c>
      <c r="N317" s="620">
        <v>0</v>
      </c>
    </row>
    <row r="318" spans="1:14" ht="11.25" customHeight="1" x14ac:dyDescent="0.25">
      <c r="A318" s="615" t="s">
        <v>2027</v>
      </c>
      <c r="B318" s="616"/>
      <c r="C318" s="617"/>
      <c r="D318" s="617"/>
      <c r="E318" s="617"/>
      <c r="F318" s="1083"/>
      <c r="G318" s="1084"/>
      <c r="H318" s="1069"/>
      <c r="I318" s="618">
        <v>0</v>
      </c>
      <c r="J318" s="619">
        <v>0</v>
      </c>
      <c r="K318" s="618">
        <v>2000000</v>
      </c>
      <c r="L318" s="620">
        <v>2000000</v>
      </c>
      <c r="M318" s="621">
        <v>0</v>
      </c>
      <c r="N318" s="620">
        <v>0</v>
      </c>
    </row>
    <row r="319" spans="1:14" ht="11.25" customHeight="1" x14ac:dyDescent="0.25">
      <c r="A319" s="615" t="s">
        <v>2028</v>
      </c>
      <c r="B319" s="616"/>
      <c r="C319" s="617"/>
      <c r="D319" s="617"/>
      <c r="E319" s="617"/>
      <c r="F319" s="1083"/>
      <c r="G319" s="1084"/>
      <c r="H319" s="1069"/>
      <c r="I319" s="618">
        <v>0</v>
      </c>
      <c r="J319" s="619">
        <v>0</v>
      </c>
      <c r="K319" s="618">
        <v>3000000</v>
      </c>
      <c r="L319" s="620">
        <v>3000000</v>
      </c>
      <c r="M319" s="621">
        <v>0</v>
      </c>
      <c r="N319" s="620">
        <v>0</v>
      </c>
    </row>
    <row r="320" spans="1:14" ht="11.25" customHeight="1" x14ac:dyDescent="0.25">
      <c r="A320" s="615" t="s">
        <v>2029</v>
      </c>
      <c r="B320" s="616"/>
      <c r="C320" s="617"/>
      <c r="D320" s="617"/>
      <c r="E320" s="617"/>
      <c r="F320" s="1083"/>
      <c r="G320" s="1084"/>
      <c r="H320" s="1069"/>
      <c r="I320" s="618">
        <v>0</v>
      </c>
      <c r="J320" s="619">
        <v>0</v>
      </c>
      <c r="K320" s="618">
        <v>2000000</v>
      </c>
      <c r="L320" s="620">
        <v>2000000</v>
      </c>
      <c r="M320" s="621">
        <v>0</v>
      </c>
      <c r="N320" s="620">
        <v>0</v>
      </c>
    </row>
    <row r="321" spans="1:14" ht="11.25" customHeight="1" x14ac:dyDescent="0.25">
      <c r="A321" s="615" t="s">
        <v>2030</v>
      </c>
      <c r="B321" s="616"/>
      <c r="C321" s="617"/>
      <c r="D321" s="617"/>
      <c r="E321" s="617"/>
      <c r="F321" s="1083"/>
      <c r="G321" s="1084"/>
      <c r="H321" s="1069"/>
      <c r="I321" s="618">
        <v>0</v>
      </c>
      <c r="J321" s="619">
        <v>0</v>
      </c>
      <c r="K321" s="618">
        <v>2000000</v>
      </c>
      <c r="L321" s="620">
        <v>2000000</v>
      </c>
      <c r="M321" s="621">
        <v>0</v>
      </c>
      <c r="N321" s="620">
        <v>0</v>
      </c>
    </row>
    <row r="322" spans="1:14" ht="11.25" customHeight="1" x14ac:dyDescent="0.25">
      <c r="A322" s="615" t="s">
        <v>2031</v>
      </c>
      <c r="B322" s="616"/>
      <c r="C322" s="617"/>
      <c r="D322" s="617"/>
      <c r="E322" s="617"/>
      <c r="F322" s="1083"/>
      <c r="G322" s="1084"/>
      <c r="H322" s="1069"/>
      <c r="I322" s="618">
        <v>0</v>
      </c>
      <c r="J322" s="619">
        <v>0</v>
      </c>
      <c r="K322" s="618">
        <v>2000000</v>
      </c>
      <c r="L322" s="620">
        <v>2000000</v>
      </c>
      <c r="M322" s="621">
        <v>0</v>
      </c>
      <c r="N322" s="620">
        <v>0</v>
      </c>
    </row>
    <row r="323" spans="1:14" ht="11.25" customHeight="1" x14ac:dyDescent="0.25">
      <c r="A323" s="615" t="s">
        <v>2032</v>
      </c>
      <c r="B323" s="616"/>
      <c r="C323" s="617"/>
      <c r="D323" s="617"/>
      <c r="E323" s="617"/>
      <c r="F323" s="1083"/>
      <c r="G323" s="1084"/>
      <c r="H323" s="1069"/>
      <c r="I323" s="618">
        <v>0</v>
      </c>
      <c r="J323" s="619">
        <v>0</v>
      </c>
      <c r="K323" s="618">
        <v>2000000</v>
      </c>
      <c r="L323" s="620">
        <v>2000000</v>
      </c>
      <c r="M323" s="621">
        <v>0</v>
      </c>
      <c r="N323" s="620">
        <v>0</v>
      </c>
    </row>
    <row r="324" spans="1:14" ht="11.25" customHeight="1" x14ac:dyDescent="0.25">
      <c r="A324" s="615" t="s">
        <v>2033</v>
      </c>
      <c r="B324" s="616"/>
      <c r="C324" s="617"/>
      <c r="D324" s="617"/>
      <c r="E324" s="617"/>
      <c r="F324" s="1083"/>
      <c r="G324" s="1084"/>
      <c r="H324" s="1069"/>
      <c r="I324" s="618">
        <v>0</v>
      </c>
      <c r="J324" s="619">
        <v>0</v>
      </c>
      <c r="K324" s="618">
        <v>800000</v>
      </c>
      <c r="L324" s="620">
        <v>800000</v>
      </c>
      <c r="M324" s="621">
        <v>0</v>
      </c>
      <c r="N324" s="620">
        <v>0</v>
      </c>
    </row>
    <row r="325" spans="1:14" ht="11.25" customHeight="1" x14ac:dyDescent="0.25">
      <c r="A325" s="615" t="s">
        <v>2034</v>
      </c>
      <c r="B325" s="616"/>
      <c r="C325" s="617"/>
      <c r="D325" s="617"/>
      <c r="E325" s="617"/>
      <c r="F325" s="1083"/>
      <c r="G325" s="1084"/>
      <c r="H325" s="1069"/>
      <c r="I325" s="618">
        <v>0</v>
      </c>
      <c r="J325" s="619">
        <v>0</v>
      </c>
      <c r="K325" s="618"/>
      <c r="L325" s="620"/>
      <c r="M325" s="621"/>
      <c r="N325" s="620"/>
    </row>
    <row r="326" spans="1:14" ht="11.25" customHeight="1" x14ac:dyDescent="0.25">
      <c r="A326" s="615" t="s">
        <v>1913</v>
      </c>
      <c r="B326" s="616"/>
      <c r="C326" s="617"/>
      <c r="D326" s="617"/>
      <c r="E326" s="617"/>
      <c r="F326" s="1083"/>
      <c r="G326" s="1084"/>
      <c r="H326" s="1069"/>
      <c r="I326" s="618"/>
      <c r="J326" s="619">
        <v>0</v>
      </c>
      <c r="K326" s="618"/>
      <c r="L326" s="620"/>
      <c r="M326" s="621"/>
      <c r="N326" s="620"/>
    </row>
    <row r="327" spans="1:14" ht="11.25" customHeight="1" x14ac:dyDescent="0.25">
      <c r="A327" s="615" t="s">
        <v>1915</v>
      </c>
      <c r="B327" s="616"/>
      <c r="C327" s="617"/>
      <c r="D327" s="617"/>
      <c r="E327" s="617"/>
      <c r="F327" s="1083"/>
      <c r="G327" s="1084"/>
      <c r="H327" s="1069"/>
      <c r="I327" s="618"/>
      <c r="J327" s="619">
        <v>0</v>
      </c>
      <c r="K327" s="618"/>
      <c r="L327" s="620"/>
      <c r="M327" s="621"/>
      <c r="N327" s="620"/>
    </row>
    <row r="328" spans="1:14" ht="11.25" customHeight="1" x14ac:dyDescent="0.25">
      <c r="A328" s="615" t="s">
        <v>1916</v>
      </c>
      <c r="B328" s="616"/>
      <c r="C328" s="617"/>
      <c r="D328" s="617"/>
      <c r="E328" s="617"/>
      <c r="F328" s="1083"/>
      <c r="G328" s="1084"/>
      <c r="H328" s="1069"/>
      <c r="I328" s="618"/>
      <c r="J328" s="619">
        <v>0</v>
      </c>
      <c r="K328" s="618"/>
      <c r="L328" s="620"/>
      <c r="M328" s="621"/>
      <c r="N328" s="620"/>
    </row>
    <row r="329" spans="1:14" ht="11.25" customHeight="1" x14ac:dyDescent="0.25">
      <c r="A329" s="615" t="s">
        <v>2035</v>
      </c>
      <c r="B329" s="616"/>
      <c r="C329" s="617"/>
      <c r="D329" s="617"/>
      <c r="E329" s="617"/>
      <c r="F329" s="1083"/>
      <c r="G329" s="1084"/>
      <c r="H329" s="1069"/>
      <c r="I329" s="618"/>
      <c r="J329" s="619">
        <v>0</v>
      </c>
      <c r="K329" s="618"/>
      <c r="L329" s="620"/>
      <c r="M329" s="621"/>
      <c r="N329" s="620"/>
    </row>
    <row r="330" spans="1:14" ht="11.25" customHeight="1" x14ac:dyDescent="0.25">
      <c r="A330" s="615" t="s">
        <v>2036</v>
      </c>
      <c r="B330" s="616"/>
      <c r="C330" s="617"/>
      <c r="D330" s="617"/>
      <c r="E330" s="617"/>
      <c r="F330" s="1083"/>
      <c r="G330" s="1084"/>
      <c r="H330" s="1069"/>
      <c r="I330" s="618"/>
      <c r="J330" s="619">
        <v>0</v>
      </c>
      <c r="K330" s="618"/>
      <c r="L330" s="620"/>
      <c r="M330" s="621"/>
      <c r="N330" s="620"/>
    </row>
    <row r="331" spans="1:14" ht="11.25" customHeight="1" x14ac:dyDescent="0.25">
      <c r="A331" s="615" t="s">
        <v>1917</v>
      </c>
      <c r="B331" s="616"/>
      <c r="C331" s="617"/>
      <c r="D331" s="617"/>
      <c r="E331" s="617"/>
      <c r="F331" s="1083"/>
      <c r="G331" s="1084"/>
      <c r="H331" s="1069"/>
      <c r="I331" s="618"/>
      <c r="J331" s="619">
        <v>0</v>
      </c>
      <c r="K331" s="618"/>
      <c r="L331" s="620"/>
      <c r="M331" s="621"/>
      <c r="N331" s="620"/>
    </row>
    <row r="332" spans="1:14" ht="11.25" customHeight="1" x14ac:dyDescent="0.25">
      <c r="A332" s="615" t="s">
        <v>1917</v>
      </c>
      <c r="B332" s="616"/>
      <c r="C332" s="617"/>
      <c r="D332" s="617"/>
      <c r="E332" s="617"/>
      <c r="F332" s="1083"/>
      <c r="G332" s="1084"/>
      <c r="H332" s="1069"/>
      <c r="I332" s="618"/>
      <c r="J332" s="619">
        <v>330000</v>
      </c>
      <c r="K332" s="618"/>
      <c r="L332" s="620"/>
      <c r="M332" s="621"/>
      <c r="N332" s="620"/>
    </row>
    <row r="333" spans="1:14" ht="11.25" customHeight="1" x14ac:dyDescent="0.25">
      <c r="A333" s="615" t="s">
        <v>1924</v>
      </c>
      <c r="B333" s="616"/>
      <c r="C333" s="617"/>
      <c r="D333" s="617"/>
      <c r="E333" s="617"/>
      <c r="F333" s="1083"/>
      <c r="G333" s="1084"/>
      <c r="H333" s="1069"/>
      <c r="I333" s="618"/>
      <c r="J333" s="619">
        <v>0</v>
      </c>
      <c r="K333" s="618"/>
      <c r="L333" s="620"/>
      <c r="M333" s="621"/>
      <c r="N333" s="620"/>
    </row>
    <row r="334" spans="1:14" ht="11.25" customHeight="1" x14ac:dyDescent="0.25">
      <c r="A334" s="615" t="s">
        <v>2037</v>
      </c>
      <c r="B334" s="616"/>
      <c r="C334" s="617"/>
      <c r="D334" s="617"/>
      <c r="E334" s="617"/>
      <c r="F334" s="1083"/>
      <c r="G334" s="1084"/>
      <c r="H334" s="1069"/>
      <c r="I334" s="618"/>
      <c r="J334" s="619">
        <v>0</v>
      </c>
      <c r="K334" s="618"/>
      <c r="L334" s="620"/>
      <c r="M334" s="621"/>
      <c r="N334" s="620"/>
    </row>
    <row r="335" spans="1:14" ht="11.25" customHeight="1" x14ac:dyDescent="0.25">
      <c r="A335" s="615" t="s">
        <v>2064</v>
      </c>
      <c r="B335" s="616"/>
      <c r="C335" s="617"/>
      <c r="D335" s="617"/>
      <c r="E335" s="617"/>
      <c r="F335" s="1083"/>
      <c r="G335" s="1084"/>
      <c r="H335" s="1069"/>
      <c r="I335" s="618"/>
      <c r="J335" s="619">
        <v>0</v>
      </c>
      <c r="K335" s="618"/>
      <c r="L335" s="620"/>
      <c r="M335" s="621"/>
      <c r="N335" s="620"/>
    </row>
    <row r="336" spans="1:14" ht="11.25" customHeight="1" x14ac:dyDescent="0.25">
      <c r="A336" s="615" t="s">
        <v>1933</v>
      </c>
      <c r="B336" s="616"/>
      <c r="C336" s="617"/>
      <c r="D336" s="617"/>
      <c r="E336" s="617"/>
      <c r="F336" s="1083"/>
      <c r="G336" s="1084"/>
      <c r="H336" s="1069"/>
      <c r="I336" s="618"/>
      <c r="J336" s="619">
        <v>0</v>
      </c>
      <c r="K336" s="618"/>
      <c r="L336" s="620"/>
      <c r="M336" s="621"/>
      <c r="N336" s="620"/>
    </row>
    <row r="337" spans="1:14" ht="11.25" customHeight="1" x14ac:dyDescent="0.25">
      <c r="A337" s="615" t="s">
        <v>1934</v>
      </c>
      <c r="B337" s="616"/>
      <c r="C337" s="617"/>
      <c r="D337" s="617"/>
      <c r="E337" s="617"/>
      <c r="F337" s="1083"/>
      <c r="G337" s="1084"/>
      <c r="H337" s="1069"/>
      <c r="I337" s="618"/>
      <c r="J337" s="619">
        <v>0</v>
      </c>
      <c r="K337" s="618"/>
      <c r="L337" s="620"/>
      <c r="M337" s="621"/>
      <c r="N337" s="620"/>
    </row>
    <row r="338" spans="1:14" ht="11.25" customHeight="1" x14ac:dyDescent="0.25">
      <c r="A338" s="615" t="s">
        <v>1935</v>
      </c>
      <c r="B338" s="616"/>
      <c r="C338" s="617"/>
      <c r="D338" s="617"/>
      <c r="E338" s="617"/>
      <c r="F338" s="1083"/>
      <c r="G338" s="1084"/>
      <c r="H338" s="1069"/>
      <c r="I338" s="618"/>
      <c r="J338" s="619">
        <v>0</v>
      </c>
      <c r="K338" s="618"/>
      <c r="L338" s="620"/>
      <c r="M338" s="621"/>
      <c r="N338" s="620"/>
    </row>
    <row r="339" spans="1:14" ht="11.25" customHeight="1" x14ac:dyDescent="0.25">
      <c r="A339" s="615" t="s">
        <v>1937</v>
      </c>
      <c r="B339" s="616"/>
      <c r="C339" s="617"/>
      <c r="D339" s="617"/>
      <c r="E339" s="617"/>
      <c r="F339" s="1083"/>
      <c r="G339" s="1084"/>
      <c r="H339" s="1069"/>
      <c r="I339" s="618"/>
      <c r="J339" s="619">
        <v>0</v>
      </c>
      <c r="K339" s="618"/>
      <c r="L339" s="620"/>
      <c r="M339" s="621"/>
      <c r="N339" s="620"/>
    </row>
    <row r="340" spans="1:14" ht="11.25" customHeight="1" x14ac:dyDescent="0.25">
      <c r="A340" s="615" t="s">
        <v>1938</v>
      </c>
      <c r="B340" s="616"/>
      <c r="C340" s="617"/>
      <c r="D340" s="617"/>
      <c r="E340" s="617"/>
      <c r="F340" s="1083"/>
      <c r="G340" s="1084"/>
      <c r="H340" s="1069"/>
      <c r="I340" s="618"/>
      <c r="J340" s="619">
        <v>0</v>
      </c>
      <c r="K340" s="618"/>
      <c r="L340" s="620"/>
      <c r="M340" s="621"/>
      <c r="N340" s="620"/>
    </row>
    <row r="341" spans="1:14" ht="11.25" customHeight="1" x14ac:dyDescent="0.25">
      <c r="A341" s="615" t="s">
        <v>2039</v>
      </c>
      <c r="B341" s="616"/>
      <c r="C341" s="617"/>
      <c r="D341" s="617"/>
      <c r="E341" s="617"/>
      <c r="F341" s="1083"/>
      <c r="G341" s="1084"/>
      <c r="H341" s="1069"/>
      <c r="I341" s="618"/>
      <c r="J341" s="619">
        <v>0</v>
      </c>
      <c r="K341" s="618"/>
      <c r="L341" s="620"/>
      <c r="M341" s="621"/>
      <c r="N341" s="620"/>
    </row>
    <row r="342" spans="1:14" ht="11.25" customHeight="1" x14ac:dyDescent="0.25">
      <c r="A342" s="615" t="s">
        <v>2040</v>
      </c>
      <c r="B342" s="616"/>
      <c r="C342" s="617"/>
      <c r="D342" s="617"/>
      <c r="E342" s="617"/>
      <c r="F342" s="1083"/>
      <c r="G342" s="1084"/>
      <c r="H342" s="1069"/>
      <c r="I342" s="618"/>
      <c r="J342" s="619">
        <v>0</v>
      </c>
      <c r="K342" s="618"/>
      <c r="L342" s="620"/>
      <c r="M342" s="621"/>
      <c r="N342" s="620"/>
    </row>
    <row r="343" spans="1:14" ht="11.25" customHeight="1" x14ac:dyDescent="0.25">
      <c r="A343" s="615" t="s">
        <v>2041</v>
      </c>
      <c r="B343" s="616"/>
      <c r="C343" s="617"/>
      <c r="D343" s="617"/>
      <c r="E343" s="617"/>
      <c r="F343" s="1083"/>
      <c r="G343" s="1084"/>
      <c r="H343" s="1069"/>
      <c r="I343" s="618"/>
      <c r="J343" s="619">
        <v>0</v>
      </c>
      <c r="K343" s="618"/>
      <c r="L343" s="620"/>
      <c r="M343" s="621"/>
      <c r="N343" s="620"/>
    </row>
    <row r="344" spans="1:14" ht="11.25" customHeight="1" x14ac:dyDescent="0.25">
      <c r="A344" s="615" t="s">
        <v>2065</v>
      </c>
      <c r="B344" s="616"/>
      <c r="C344" s="617"/>
      <c r="D344" s="617"/>
      <c r="E344" s="617"/>
      <c r="F344" s="1083"/>
      <c r="G344" s="1084"/>
      <c r="H344" s="1069"/>
      <c r="I344" s="618"/>
      <c r="J344" s="619">
        <v>0</v>
      </c>
      <c r="K344" s="618"/>
      <c r="L344" s="620"/>
      <c r="M344" s="621"/>
      <c r="N344" s="620"/>
    </row>
    <row r="345" spans="1:14" ht="11.25" customHeight="1" x14ac:dyDescent="0.25">
      <c r="A345" s="615" t="s">
        <v>1942</v>
      </c>
      <c r="B345" s="616"/>
      <c r="C345" s="617"/>
      <c r="D345" s="617"/>
      <c r="E345" s="617"/>
      <c r="F345" s="1083"/>
      <c r="G345" s="1084"/>
      <c r="H345" s="1069"/>
      <c r="I345" s="618"/>
      <c r="J345" s="619">
        <v>0</v>
      </c>
      <c r="K345" s="618"/>
      <c r="L345" s="620"/>
      <c r="M345" s="621"/>
      <c r="N345" s="620"/>
    </row>
    <row r="346" spans="1:14" ht="11.25" customHeight="1" x14ac:dyDescent="0.25">
      <c r="A346" s="615" t="s">
        <v>1943</v>
      </c>
      <c r="B346" s="616"/>
      <c r="C346" s="617"/>
      <c r="D346" s="617"/>
      <c r="E346" s="617"/>
      <c r="F346" s="1083"/>
      <c r="G346" s="1084"/>
      <c r="H346" s="1069"/>
      <c r="I346" s="618"/>
      <c r="J346" s="619">
        <v>0</v>
      </c>
      <c r="K346" s="618"/>
      <c r="L346" s="620"/>
      <c r="M346" s="621"/>
      <c r="N346" s="620"/>
    </row>
    <row r="347" spans="1:14" ht="11.25" customHeight="1" x14ac:dyDescent="0.25">
      <c r="A347" s="615" t="s">
        <v>2043</v>
      </c>
      <c r="B347" s="616"/>
      <c r="C347" s="617"/>
      <c r="D347" s="617"/>
      <c r="E347" s="617"/>
      <c r="F347" s="1083"/>
      <c r="G347" s="1084"/>
      <c r="H347" s="1069"/>
      <c r="I347" s="618"/>
      <c r="J347" s="619">
        <v>0</v>
      </c>
      <c r="K347" s="618"/>
      <c r="L347" s="620"/>
      <c r="M347" s="621"/>
      <c r="N347" s="620"/>
    </row>
    <row r="348" spans="1:14" ht="11.25" customHeight="1" x14ac:dyDescent="0.25">
      <c r="A348" s="615" t="s">
        <v>2044</v>
      </c>
      <c r="B348" s="616"/>
      <c r="C348" s="617"/>
      <c r="D348" s="617"/>
      <c r="E348" s="617"/>
      <c r="F348" s="1083"/>
      <c r="G348" s="1084"/>
      <c r="H348" s="1069"/>
      <c r="I348" s="618"/>
      <c r="J348" s="619">
        <v>0</v>
      </c>
      <c r="K348" s="618"/>
      <c r="L348" s="620"/>
      <c r="M348" s="621"/>
      <c r="N348" s="620"/>
    </row>
    <row r="349" spans="1:14" ht="11.25" customHeight="1" x14ac:dyDescent="0.25">
      <c r="A349" s="615" t="s">
        <v>2045</v>
      </c>
      <c r="B349" s="616"/>
      <c r="C349" s="617"/>
      <c r="D349" s="617"/>
      <c r="E349" s="617"/>
      <c r="F349" s="1083"/>
      <c r="G349" s="1084"/>
      <c r="H349" s="1069"/>
      <c r="I349" s="618"/>
      <c r="J349" s="619">
        <v>0</v>
      </c>
      <c r="K349" s="618"/>
      <c r="L349" s="620"/>
      <c r="M349" s="621"/>
      <c r="N349" s="620"/>
    </row>
    <row r="350" spans="1:14" ht="11.25" customHeight="1" x14ac:dyDescent="0.25">
      <c r="A350" s="615" t="s">
        <v>2046</v>
      </c>
      <c r="B350" s="616"/>
      <c r="C350" s="617"/>
      <c r="D350" s="617"/>
      <c r="E350" s="617"/>
      <c r="F350" s="1083"/>
      <c r="G350" s="1084"/>
      <c r="H350" s="1069"/>
      <c r="I350" s="618"/>
      <c r="J350" s="619">
        <v>0</v>
      </c>
      <c r="K350" s="618"/>
      <c r="L350" s="620"/>
      <c r="M350" s="621"/>
      <c r="N350" s="620"/>
    </row>
    <row r="351" spans="1:14" ht="11.25" customHeight="1" x14ac:dyDescent="0.25">
      <c r="A351" s="615" t="s">
        <v>2047</v>
      </c>
      <c r="B351" s="616"/>
      <c r="C351" s="617"/>
      <c r="D351" s="617"/>
      <c r="E351" s="617"/>
      <c r="F351" s="1083"/>
      <c r="G351" s="1084"/>
      <c r="H351" s="1069"/>
      <c r="I351" s="618"/>
      <c r="J351" s="619">
        <v>0</v>
      </c>
      <c r="K351" s="618"/>
      <c r="L351" s="620"/>
      <c r="M351" s="621"/>
      <c r="N351" s="620"/>
    </row>
    <row r="352" spans="1:14" ht="11.25" customHeight="1" x14ac:dyDescent="0.25">
      <c r="A352" s="615" t="s">
        <v>2048</v>
      </c>
      <c r="B352" s="616"/>
      <c r="C352" s="617"/>
      <c r="D352" s="617"/>
      <c r="E352" s="617"/>
      <c r="F352" s="1083"/>
      <c r="G352" s="1084"/>
      <c r="H352" s="1069"/>
      <c r="I352" s="618"/>
      <c r="J352" s="619">
        <v>0</v>
      </c>
      <c r="K352" s="618"/>
      <c r="L352" s="620"/>
      <c r="M352" s="621"/>
      <c r="N352" s="620"/>
    </row>
    <row r="353" spans="1:14" ht="11.25" customHeight="1" x14ac:dyDescent="0.25">
      <c r="A353" s="615" t="s">
        <v>2049</v>
      </c>
      <c r="B353" s="616"/>
      <c r="C353" s="617"/>
      <c r="D353" s="617"/>
      <c r="E353" s="617"/>
      <c r="F353" s="1083"/>
      <c r="G353" s="1084"/>
      <c r="H353" s="1069"/>
      <c r="I353" s="618"/>
      <c r="J353" s="619">
        <v>0</v>
      </c>
      <c r="K353" s="618"/>
      <c r="L353" s="620"/>
      <c r="M353" s="621"/>
      <c r="N353" s="620"/>
    </row>
    <row r="354" spans="1:14" ht="11.25" customHeight="1" x14ac:dyDescent="0.25">
      <c r="A354" s="615" t="s">
        <v>2050</v>
      </c>
      <c r="B354" s="616"/>
      <c r="C354" s="617"/>
      <c r="D354" s="617"/>
      <c r="E354" s="617"/>
      <c r="F354" s="1083"/>
      <c r="G354" s="1084"/>
      <c r="H354" s="1069"/>
      <c r="I354" s="618"/>
      <c r="J354" s="619">
        <v>0</v>
      </c>
      <c r="K354" s="618">
        <v>5000000</v>
      </c>
      <c r="L354" s="620">
        <v>5000000</v>
      </c>
      <c r="M354" s="621">
        <v>0</v>
      </c>
      <c r="N354" s="620">
        <v>0</v>
      </c>
    </row>
    <row r="355" spans="1:14" ht="11.25" customHeight="1" x14ac:dyDescent="0.25">
      <c r="A355" s="615" t="s">
        <v>1950</v>
      </c>
      <c r="B355" s="616"/>
      <c r="C355" s="617"/>
      <c r="D355" s="617"/>
      <c r="E355" s="617"/>
      <c r="F355" s="1083"/>
      <c r="G355" s="1084"/>
      <c r="H355" s="1069"/>
      <c r="I355" s="618">
        <v>0</v>
      </c>
      <c r="J355" s="619">
        <v>0</v>
      </c>
      <c r="K355" s="618">
        <v>12000000</v>
      </c>
      <c r="L355" s="620">
        <v>12000000</v>
      </c>
      <c r="M355" s="621">
        <v>0</v>
      </c>
      <c r="N355" s="620">
        <v>0</v>
      </c>
    </row>
    <row r="356" spans="1:14" ht="11.25" customHeight="1" x14ac:dyDescent="0.25">
      <c r="A356" s="615" t="s">
        <v>1951</v>
      </c>
      <c r="B356" s="616"/>
      <c r="C356" s="617"/>
      <c r="D356" s="617"/>
      <c r="E356" s="617"/>
      <c r="F356" s="1083"/>
      <c r="G356" s="1084"/>
      <c r="H356" s="1069"/>
      <c r="I356" s="618">
        <v>0</v>
      </c>
      <c r="J356" s="619">
        <v>0</v>
      </c>
      <c r="K356" s="618">
        <v>20000000</v>
      </c>
      <c r="L356" s="620">
        <v>20000000</v>
      </c>
      <c r="M356" s="621">
        <v>0</v>
      </c>
      <c r="N356" s="620">
        <v>0</v>
      </c>
    </row>
    <row r="357" spans="1:14" ht="11.25" customHeight="1" x14ac:dyDescent="0.25">
      <c r="A357" s="615" t="s">
        <v>1952</v>
      </c>
      <c r="B357" s="616"/>
      <c r="C357" s="617"/>
      <c r="D357" s="617"/>
      <c r="E357" s="617"/>
      <c r="F357" s="1083"/>
      <c r="G357" s="1084"/>
      <c r="H357" s="1069"/>
      <c r="I357" s="618">
        <v>0</v>
      </c>
      <c r="J357" s="619">
        <v>0</v>
      </c>
      <c r="K357" s="618">
        <v>1887000</v>
      </c>
      <c r="L357" s="620">
        <v>1887000</v>
      </c>
      <c r="M357" s="621">
        <v>0</v>
      </c>
      <c r="N357" s="620">
        <v>0</v>
      </c>
    </row>
    <row r="358" spans="1:14" ht="11.25" customHeight="1" x14ac:dyDescent="0.25">
      <c r="A358" s="615" t="s">
        <v>1953</v>
      </c>
      <c r="B358" s="616"/>
      <c r="C358" s="617"/>
      <c r="D358" s="617"/>
      <c r="E358" s="617"/>
      <c r="F358" s="1083"/>
      <c r="G358" s="1084"/>
      <c r="H358" s="1069"/>
      <c r="I358" s="618">
        <v>0</v>
      </c>
      <c r="J358" s="619">
        <v>0</v>
      </c>
      <c r="K358" s="618">
        <v>4000000</v>
      </c>
      <c r="L358" s="620">
        <v>4000000</v>
      </c>
      <c r="M358" s="621">
        <v>0</v>
      </c>
      <c r="N358" s="620">
        <v>0</v>
      </c>
    </row>
    <row r="359" spans="1:14" ht="11.25" customHeight="1" x14ac:dyDescent="0.25">
      <c r="A359" s="615" t="s">
        <v>1954</v>
      </c>
      <c r="B359" s="616"/>
      <c r="C359" s="617"/>
      <c r="D359" s="617"/>
      <c r="E359" s="617"/>
      <c r="F359" s="1083"/>
      <c r="G359" s="1084"/>
      <c r="H359" s="1069"/>
      <c r="I359" s="618">
        <v>0</v>
      </c>
      <c r="J359" s="619">
        <v>0</v>
      </c>
      <c r="K359" s="618">
        <v>6000000</v>
      </c>
      <c r="L359" s="620">
        <v>6000000</v>
      </c>
      <c r="M359" s="621">
        <v>0</v>
      </c>
      <c r="N359" s="620">
        <v>0</v>
      </c>
    </row>
    <row r="360" spans="1:14" ht="11.25" customHeight="1" x14ac:dyDescent="0.25">
      <c r="A360" s="615" t="s">
        <v>1955</v>
      </c>
      <c r="B360" s="616"/>
      <c r="C360" s="617"/>
      <c r="D360" s="617"/>
      <c r="E360" s="617"/>
      <c r="F360" s="1083"/>
      <c r="G360" s="1084"/>
      <c r="H360" s="1069"/>
      <c r="I360" s="618">
        <v>0</v>
      </c>
      <c r="J360" s="619">
        <v>0</v>
      </c>
      <c r="K360" s="618">
        <v>500000</v>
      </c>
      <c r="L360" s="620">
        <v>500000</v>
      </c>
      <c r="M360" s="621">
        <v>0</v>
      </c>
      <c r="N360" s="620">
        <v>0</v>
      </c>
    </row>
    <row r="361" spans="1:14" ht="11.25" customHeight="1" x14ac:dyDescent="0.25">
      <c r="A361" s="615" t="s">
        <v>2051</v>
      </c>
      <c r="B361" s="616"/>
      <c r="C361" s="617"/>
      <c r="D361" s="617"/>
      <c r="E361" s="617"/>
      <c r="F361" s="1083"/>
      <c r="G361" s="1084"/>
      <c r="H361" s="1069"/>
      <c r="I361" s="618">
        <v>0</v>
      </c>
      <c r="J361" s="619">
        <v>0</v>
      </c>
      <c r="K361" s="618"/>
      <c r="L361" s="620"/>
      <c r="M361" s="621"/>
      <c r="N361" s="620"/>
    </row>
    <row r="362" spans="1:14" ht="11.25" customHeight="1" x14ac:dyDescent="0.25">
      <c r="A362" s="615" t="s">
        <v>2052</v>
      </c>
      <c r="B362" s="616"/>
      <c r="C362" s="617"/>
      <c r="D362" s="617"/>
      <c r="E362" s="617"/>
      <c r="F362" s="1083"/>
      <c r="G362" s="1084"/>
      <c r="H362" s="1069"/>
      <c r="I362" s="618"/>
      <c r="J362" s="619">
        <v>0</v>
      </c>
      <c r="K362" s="618">
        <v>600000</v>
      </c>
      <c r="L362" s="620">
        <v>600000</v>
      </c>
      <c r="M362" s="621">
        <v>0</v>
      </c>
      <c r="N362" s="620">
        <v>0</v>
      </c>
    </row>
    <row r="363" spans="1:14" ht="11.25" customHeight="1" x14ac:dyDescent="0.25">
      <c r="A363" s="615" t="s">
        <v>1956</v>
      </c>
      <c r="B363" s="616"/>
      <c r="C363" s="617"/>
      <c r="D363" s="617"/>
      <c r="E363" s="617"/>
      <c r="F363" s="1083"/>
      <c r="G363" s="1084"/>
      <c r="H363" s="1069"/>
      <c r="I363" s="618">
        <v>0</v>
      </c>
      <c r="J363" s="619">
        <v>0</v>
      </c>
      <c r="K363" s="618">
        <v>2000000</v>
      </c>
      <c r="L363" s="620">
        <v>2000000</v>
      </c>
      <c r="M363" s="621">
        <v>0</v>
      </c>
      <c r="N363" s="620">
        <v>0</v>
      </c>
    </row>
    <row r="364" spans="1:14" ht="11.25" customHeight="1" x14ac:dyDescent="0.25">
      <c r="A364" s="615" t="s">
        <v>1957</v>
      </c>
      <c r="B364" s="616"/>
      <c r="C364" s="617"/>
      <c r="D364" s="617"/>
      <c r="E364" s="617"/>
      <c r="F364" s="1083"/>
      <c r="G364" s="1084"/>
      <c r="H364" s="1069"/>
      <c r="I364" s="618">
        <v>0</v>
      </c>
      <c r="J364" s="619">
        <v>0</v>
      </c>
      <c r="K364" s="618">
        <v>1500000</v>
      </c>
      <c r="L364" s="620">
        <v>1500000</v>
      </c>
      <c r="M364" s="621">
        <v>0</v>
      </c>
      <c r="N364" s="620">
        <v>0</v>
      </c>
    </row>
    <row r="365" spans="1:14" ht="11.25" customHeight="1" x14ac:dyDescent="0.25">
      <c r="A365" s="615" t="s">
        <v>2053</v>
      </c>
      <c r="B365" s="616"/>
      <c r="C365" s="617"/>
      <c r="D365" s="617"/>
      <c r="E365" s="617"/>
      <c r="F365" s="1083"/>
      <c r="G365" s="1084"/>
      <c r="H365" s="1069"/>
      <c r="I365" s="618">
        <v>0</v>
      </c>
      <c r="J365" s="619">
        <v>0</v>
      </c>
      <c r="K365" s="618">
        <v>1500000</v>
      </c>
      <c r="L365" s="620">
        <v>1500000</v>
      </c>
      <c r="M365" s="621">
        <v>0</v>
      </c>
      <c r="N365" s="620">
        <v>0</v>
      </c>
    </row>
    <row r="366" spans="1:14" ht="11.25" customHeight="1" x14ac:dyDescent="0.25">
      <c r="A366" s="615" t="s">
        <v>2054</v>
      </c>
      <c r="B366" s="616"/>
      <c r="C366" s="617"/>
      <c r="D366" s="617"/>
      <c r="E366" s="617"/>
      <c r="F366" s="1083"/>
      <c r="G366" s="1084"/>
      <c r="H366" s="1069"/>
      <c r="I366" s="618">
        <v>0</v>
      </c>
      <c r="J366" s="619">
        <v>0</v>
      </c>
      <c r="K366" s="618">
        <v>750000</v>
      </c>
      <c r="L366" s="620">
        <v>750000</v>
      </c>
      <c r="M366" s="621">
        <v>0</v>
      </c>
      <c r="N366" s="620">
        <v>0</v>
      </c>
    </row>
    <row r="367" spans="1:14" ht="11.25" customHeight="1" x14ac:dyDescent="0.25">
      <c r="A367" s="615" t="s">
        <v>2055</v>
      </c>
      <c r="B367" s="616"/>
      <c r="C367" s="617"/>
      <c r="D367" s="617"/>
      <c r="E367" s="617"/>
      <c r="F367" s="1083"/>
      <c r="G367" s="1084"/>
      <c r="H367" s="1069"/>
      <c r="I367" s="618">
        <v>0</v>
      </c>
      <c r="J367" s="619">
        <v>0</v>
      </c>
      <c r="K367" s="618"/>
      <c r="L367" s="620"/>
      <c r="M367" s="621"/>
      <c r="N367" s="620"/>
    </row>
    <row r="368" spans="1:14" ht="11.25" customHeight="1" x14ac:dyDescent="0.25">
      <c r="A368" s="615" t="s">
        <v>2057</v>
      </c>
      <c r="B368" s="616"/>
      <c r="C368" s="617"/>
      <c r="D368" s="617"/>
      <c r="E368" s="617"/>
      <c r="F368" s="1083"/>
      <c r="G368" s="1084"/>
      <c r="H368" s="1069"/>
      <c r="I368" s="618"/>
      <c r="J368" s="619">
        <v>0</v>
      </c>
      <c r="K368" s="618"/>
      <c r="L368" s="620"/>
      <c r="M368" s="621"/>
      <c r="N368" s="620"/>
    </row>
    <row r="369" spans="1:14" ht="11.25" customHeight="1" x14ac:dyDescent="0.25">
      <c r="A369" s="615" t="s">
        <v>2058</v>
      </c>
      <c r="B369" s="616"/>
      <c r="C369" s="617"/>
      <c r="D369" s="617"/>
      <c r="E369" s="617"/>
      <c r="F369" s="1083"/>
      <c r="G369" s="1084"/>
      <c r="H369" s="1069"/>
      <c r="I369" s="618"/>
      <c r="J369" s="619">
        <v>0</v>
      </c>
      <c r="K369" s="618"/>
      <c r="L369" s="620"/>
      <c r="M369" s="621"/>
      <c r="N369" s="620"/>
    </row>
    <row r="370" spans="1:14" ht="11.25" customHeight="1" x14ac:dyDescent="0.25">
      <c r="A370" s="615" t="s">
        <v>2059</v>
      </c>
      <c r="B370" s="616"/>
      <c r="C370" s="617"/>
      <c r="D370" s="617"/>
      <c r="E370" s="617"/>
      <c r="F370" s="1083"/>
      <c r="G370" s="1084"/>
      <c r="H370" s="1069"/>
      <c r="I370" s="618"/>
      <c r="J370" s="619">
        <v>0</v>
      </c>
      <c r="K370" s="618">
        <v>500000</v>
      </c>
      <c r="L370" s="620">
        <v>500000</v>
      </c>
      <c r="M370" s="621">
        <v>0</v>
      </c>
      <c r="N370" s="620">
        <v>0</v>
      </c>
    </row>
    <row r="371" spans="1:14" ht="11.25" customHeight="1" x14ac:dyDescent="0.25">
      <c r="A371" s="615" t="s">
        <v>1958</v>
      </c>
      <c r="B371" s="616"/>
      <c r="C371" s="617"/>
      <c r="D371" s="617"/>
      <c r="E371" s="617"/>
      <c r="F371" s="1083"/>
      <c r="G371" s="1084"/>
      <c r="H371" s="1069"/>
      <c r="I371" s="618">
        <v>0</v>
      </c>
      <c r="J371" s="619">
        <v>0</v>
      </c>
      <c r="K371" s="618">
        <v>2000000</v>
      </c>
      <c r="L371" s="620">
        <v>2000000</v>
      </c>
      <c r="M371" s="621">
        <v>0</v>
      </c>
      <c r="N371" s="620">
        <v>0</v>
      </c>
    </row>
    <row r="372" spans="1:14" ht="11.25" customHeight="1" x14ac:dyDescent="0.25">
      <c r="A372" s="615" t="s">
        <v>1959</v>
      </c>
      <c r="B372" s="616"/>
      <c r="C372" s="617"/>
      <c r="D372" s="617"/>
      <c r="E372" s="617"/>
      <c r="F372" s="1083"/>
      <c r="G372" s="1084"/>
      <c r="H372" s="1069"/>
      <c r="I372" s="618">
        <v>0</v>
      </c>
      <c r="J372" s="619">
        <v>0</v>
      </c>
      <c r="K372" s="618">
        <v>3500000</v>
      </c>
      <c r="L372" s="620">
        <v>3500000</v>
      </c>
      <c r="M372" s="621">
        <v>0</v>
      </c>
      <c r="N372" s="620">
        <v>0</v>
      </c>
    </row>
    <row r="373" spans="1:14" ht="11.25" customHeight="1" x14ac:dyDescent="0.25">
      <c r="A373" s="615" t="s">
        <v>1960</v>
      </c>
      <c r="B373" s="616"/>
      <c r="C373" s="617"/>
      <c r="D373" s="617"/>
      <c r="E373" s="617"/>
      <c r="F373" s="1083"/>
      <c r="G373" s="1084"/>
      <c r="H373" s="1069"/>
      <c r="I373" s="618">
        <v>0</v>
      </c>
      <c r="J373" s="619">
        <v>0</v>
      </c>
      <c r="K373" s="618">
        <v>2500000</v>
      </c>
      <c r="L373" s="620">
        <v>2500000</v>
      </c>
      <c r="M373" s="621">
        <v>0</v>
      </c>
      <c r="N373" s="620">
        <v>0</v>
      </c>
    </row>
    <row r="374" spans="1:14" ht="11.25" customHeight="1" x14ac:dyDescent="0.25">
      <c r="A374" s="615" t="s">
        <v>2060</v>
      </c>
      <c r="B374" s="616"/>
      <c r="C374" s="617"/>
      <c r="D374" s="617"/>
      <c r="E374" s="617"/>
      <c r="F374" s="1083"/>
      <c r="G374" s="1084"/>
      <c r="H374" s="1069"/>
      <c r="I374" s="618">
        <v>0</v>
      </c>
      <c r="J374" s="619">
        <v>0</v>
      </c>
      <c r="K374" s="618">
        <v>1500000</v>
      </c>
      <c r="L374" s="620">
        <v>1500000</v>
      </c>
      <c r="M374" s="621">
        <v>0</v>
      </c>
      <c r="N374" s="620">
        <v>0</v>
      </c>
    </row>
    <row r="375" spans="1:14" ht="11.25" customHeight="1" x14ac:dyDescent="0.25">
      <c r="A375" s="615" t="s">
        <v>1961</v>
      </c>
      <c r="B375" s="616"/>
      <c r="C375" s="617"/>
      <c r="D375" s="617"/>
      <c r="E375" s="617"/>
      <c r="F375" s="1083"/>
      <c r="G375" s="1084"/>
      <c r="H375" s="1069"/>
      <c r="I375" s="618">
        <v>0</v>
      </c>
      <c r="J375" s="619">
        <v>0</v>
      </c>
      <c r="K375" s="618">
        <v>2000000</v>
      </c>
      <c r="L375" s="620">
        <v>2000000</v>
      </c>
      <c r="M375" s="621">
        <v>0</v>
      </c>
      <c r="N375" s="620">
        <v>0</v>
      </c>
    </row>
    <row r="376" spans="1:14" ht="11.25" customHeight="1" x14ac:dyDescent="0.25">
      <c r="A376" s="615" t="s">
        <v>1962</v>
      </c>
      <c r="B376" s="616"/>
      <c r="C376" s="617"/>
      <c r="D376" s="617"/>
      <c r="E376" s="617"/>
      <c r="F376" s="1083"/>
      <c r="G376" s="1084"/>
      <c r="H376" s="1069"/>
      <c r="I376" s="618">
        <v>0</v>
      </c>
      <c r="J376" s="619">
        <v>0</v>
      </c>
      <c r="K376" s="618">
        <v>57000000</v>
      </c>
      <c r="L376" s="620">
        <v>57000000</v>
      </c>
      <c r="M376" s="621">
        <v>0</v>
      </c>
      <c r="N376" s="620">
        <v>0</v>
      </c>
    </row>
    <row r="377" spans="1:14" ht="11.25" customHeight="1" x14ac:dyDescent="0.25">
      <c r="A377" s="615" t="s">
        <v>2061</v>
      </c>
      <c r="B377" s="616"/>
      <c r="C377" s="617"/>
      <c r="D377" s="617"/>
      <c r="E377" s="617"/>
      <c r="F377" s="1083"/>
      <c r="G377" s="1084"/>
      <c r="H377" s="1069"/>
      <c r="I377" s="618">
        <v>0</v>
      </c>
      <c r="J377" s="619">
        <v>0</v>
      </c>
      <c r="K377" s="618">
        <v>133000000</v>
      </c>
      <c r="L377" s="620">
        <v>133000000</v>
      </c>
      <c r="M377" s="621">
        <v>0</v>
      </c>
      <c r="N377" s="620">
        <v>0</v>
      </c>
    </row>
    <row r="378" spans="1:14" ht="11.25" customHeight="1" x14ac:dyDescent="0.25">
      <c r="A378" s="615" t="s">
        <v>2062</v>
      </c>
      <c r="B378" s="616"/>
      <c r="C378" s="617"/>
      <c r="D378" s="617"/>
      <c r="E378" s="617"/>
      <c r="F378" s="1083"/>
      <c r="G378" s="1084"/>
      <c r="H378" s="1069"/>
      <c r="I378" s="618">
        <v>0</v>
      </c>
      <c r="J378" s="619">
        <v>0</v>
      </c>
      <c r="K378" s="618">
        <v>115703000</v>
      </c>
      <c r="L378" s="620">
        <v>115703000</v>
      </c>
      <c r="M378" s="621">
        <v>0</v>
      </c>
      <c r="N378" s="620">
        <v>0</v>
      </c>
    </row>
    <row r="379" spans="1:14" ht="11.25" customHeight="1" x14ac:dyDescent="0.25">
      <c r="A379" s="615" t="s">
        <v>1963</v>
      </c>
      <c r="B379" s="616"/>
      <c r="C379" s="617"/>
      <c r="D379" s="617"/>
      <c r="E379" s="617"/>
      <c r="F379" s="1083"/>
      <c r="G379" s="1084"/>
      <c r="H379" s="1069"/>
      <c r="I379" s="618">
        <v>0</v>
      </c>
      <c r="J379" s="619">
        <v>0</v>
      </c>
      <c r="K379" s="618">
        <v>24395000</v>
      </c>
      <c r="L379" s="620">
        <v>24395000</v>
      </c>
      <c r="M379" s="621">
        <v>0</v>
      </c>
      <c r="N379" s="620">
        <v>0</v>
      </c>
    </row>
    <row r="380" spans="1:14" ht="11.25" customHeight="1" x14ac:dyDescent="0.25">
      <c r="A380" s="615" t="s">
        <v>1964</v>
      </c>
      <c r="B380" s="616"/>
      <c r="C380" s="617"/>
      <c r="D380" s="617"/>
      <c r="E380" s="617"/>
      <c r="F380" s="1083"/>
      <c r="G380" s="1084"/>
      <c r="H380" s="1069"/>
      <c r="I380" s="618">
        <v>0</v>
      </c>
      <c r="J380" s="619">
        <v>0</v>
      </c>
      <c r="K380" s="618">
        <v>16263000</v>
      </c>
      <c r="L380" s="620">
        <v>16263000</v>
      </c>
      <c r="M380" s="621">
        <v>0</v>
      </c>
      <c r="N380" s="620">
        <v>0</v>
      </c>
    </row>
    <row r="381" spans="1:14" ht="11.25" customHeight="1" x14ac:dyDescent="0.25">
      <c r="A381" s="615" t="s">
        <v>1965</v>
      </c>
      <c r="B381" s="616"/>
      <c r="C381" s="617"/>
      <c r="D381" s="617"/>
      <c r="E381" s="617"/>
      <c r="F381" s="1083"/>
      <c r="G381" s="1084"/>
      <c r="H381" s="1069"/>
      <c r="I381" s="618">
        <v>0</v>
      </c>
      <c r="J381" s="619">
        <v>0</v>
      </c>
      <c r="K381" s="618">
        <v>7000000</v>
      </c>
      <c r="L381" s="620">
        <v>7000000</v>
      </c>
      <c r="M381" s="621">
        <v>0</v>
      </c>
      <c r="N381" s="620">
        <v>0</v>
      </c>
    </row>
    <row r="382" spans="1:14" ht="11.25" customHeight="1" x14ac:dyDescent="0.25">
      <c r="A382" s="615" t="s">
        <v>1966</v>
      </c>
      <c r="B382" s="616"/>
      <c r="C382" s="617"/>
      <c r="D382" s="617"/>
      <c r="E382" s="617"/>
      <c r="F382" s="1083"/>
      <c r="G382" s="1084"/>
      <c r="H382" s="1069"/>
      <c r="I382" s="618">
        <v>0</v>
      </c>
      <c r="J382" s="619">
        <v>0</v>
      </c>
      <c r="K382" s="618">
        <v>0</v>
      </c>
      <c r="L382" s="620">
        <v>0</v>
      </c>
      <c r="M382" s="621">
        <v>3000000</v>
      </c>
      <c r="N382" s="620">
        <v>3000000</v>
      </c>
    </row>
    <row r="383" spans="1:14" ht="11.25" customHeight="1" x14ac:dyDescent="0.25">
      <c r="A383" s="615" t="s">
        <v>1854</v>
      </c>
      <c r="B383" s="616"/>
      <c r="C383" s="617"/>
      <c r="D383" s="617"/>
      <c r="E383" s="617"/>
      <c r="F383" s="1083"/>
      <c r="G383" s="1084"/>
      <c r="H383" s="1069"/>
      <c r="I383" s="618">
        <v>0</v>
      </c>
      <c r="J383" s="619">
        <v>0</v>
      </c>
      <c r="K383" s="618">
        <v>0</v>
      </c>
      <c r="L383" s="620">
        <v>0</v>
      </c>
      <c r="M383" s="621">
        <v>3500000</v>
      </c>
      <c r="N383" s="620">
        <v>3500000</v>
      </c>
    </row>
    <row r="384" spans="1:14" ht="11.25" customHeight="1" x14ac:dyDescent="0.25">
      <c r="A384" s="615" t="s">
        <v>1855</v>
      </c>
      <c r="B384" s="616"/>
      <c r="C384" s="617"/>
      <c r="D384" s="617"/>
      <c r="E384" s="617"/>
      <c r="F384" s="1083"/>
      <c r="G384" s="1084"/>
      <c r="H384" s="1069"/>
      <c r="I384" s="618">
        <v>0</v>
      </c>
      <c r="J384" s="619">
        <v>0</v>
      </c>
      <c r="K384" s="618">
        <v>0</v>
      </c>
      <c r="L384" s="620">
        <v>0</v>
      </c>
      <c r="M384" s="621">
        <v>3000000</v>
      </c>
      <c r="N384" s="620">
        <v>3000000</v>
      </c>
    </row>
    <row r="385" spans="1:14" ht="11.25" customHeight="1" x14ac:dyDescent="0.25">
      <c r="A385" s="615" t="s">
        <v>1856</v>
      </c>
      <c r="B385" s="616"/>
      <c r="C385" s="617"/>
      <c r="D385" s="617"/>
      <c r="E385" s="617"/>
      <c r="F385" s="1083"/>
      <c r="G385" s="1084"/>
      <c r="H385" s="1069"/>
      <c r="I385" s="618">
        <v>0</v>
      </c>
      <c r="J385" s="619">
        <v>0</v>
      </c>
      <c r="K385" s="618">
        <v>0</v>
      </c>
      <c r="L385" s="620">
        <v>0</v>
      </c>
      <c r="M385" s="621">
        <v>1000000</v>
      </c>
      <c r="N385" s="620">
        <v>1000000</v>
      </c>
    </row>
    <row r="386" spans="1:14" ht="11.25" customHeight="1" x14ac:dyDescent="0.25">
      <c r="A386" s="615" t="s">
        <v>1857</v>
      </c>
      <c r="B386" s="616"/>
      <c r="C386" s="617"/>
      <c r="D386" s="617"/>
      <c r="E386" s="617"/>
      <c r="F386" s="1083"/>
      <c r="G386" s="1084"/>
      <c r="H386" s="1069"/>
      <c r="I386" s="618">
        <v>0</v>
      </c>
      <c r="J386" s="619">
        <v>0</v>
      </c>
      <c r="K386" s="618">
        <v>0</v>
      </c>
      <c r="L386" s="620">
        <v>0</v>
      </c>
      <c r="M386" s="621">
        <v>15000000</v>
      </c>
      <c r="N386" s="620">
        <v>15000000</v>
      </c>
    </row>
    <row r="387" spans="1:14" ht="11.25" customHeight="1" x14ac:dyDescent="0.25">
      <c r="A387" s="615" t="s">
        <v>1858</v>
      </c>
      <c r="B387" s="616"/>
      <c r="C387" s="617"/>
      <c r="D387" s="617"/>
      <c r="E387" s="617"/>
      <c r="F387" s="1083"/>
      <c r="G387" s="1084"/>
      <c r="H387" s="1069"/>
      <c r="I387" s="618">
        <v>0</v>
      </c>
      <c r="J387" s="619">
        <v>0</v>
      </c>
      <c r="K387" s="618">
        <v>0</v>
      </c>
      <c r="L387" s="620">
        <v>0</v>
      </c>
      <c r="M387" s="621">
        <v>3000000</v>
      </c>
      <c r="N387" s="620">
        <v>3000000</v>
      </c>
    </row>
    <row r="388" spans="1:14" ht="11.25" customHeight="1" x14ac:dyDescent="0.25">
      <c r="A388" s="615" t="s">
        <v>1859</v>
      </c>
      <c r="B388" s="616"/>
      <c r="C388" s="617"/>
      <c r="D388" s="617"/>
      <c r="E388" s="617"/>
      <c r="F388" s="1083"/>
      <c r="G388" s="1084"/>
      <c r="H388" s="1069"/>
      <c r="I388" s="618">
        <v>0</v>
      </c>
      <c r="J388" s="619">
        <v>0</v>
      </c>
      <c r="K388" s="618">
        <v>0</v>
      </c>
      <c r="L388" s="620">
        <v>0</v>
      </c>
      <c r="M388" s="621">
        <v>3000000</v>
      </c>
      <c r="N388" s="620">
        <v>3000000</v>
      </c>
    </row>
    <row r="389" spans="1:14" ht="11.25" customHeight="1" x14ac:dyDescent="0.25">
      <c r="A389" s="615" t="s">
        <v>1860</v>
      </c>
      <c r="B389" s="616"/>
      <c r="C389" s="617"/>
      <c r="D389" s="617"/>
      <c r="E389" s="617"/>
      <c r="F389" s="1083"/>
      <c r="G389" s="1084"/>
      <c r="H389" s="1069"/>
      <c r="I389" s="618">
        <v>0</v>
      </c>
      <c r="J389" s="619">
        <v>0</v>
      </c>
      <c r="K389" s="618">
        <v>0</v>
      </c>
      <c r="L389" s="620">
        <v>0</v>
      </c>
      <c r="M389" s="621">
        <v>4000000</v>
      </c>
      <c r="N389" s="620">
        <v>4000000</v>
      </c>
    </row>
    <row r="390" spans="1:14" ht="11.25" customHeight="1" x14ac:dyDescent="0.25">
      <c r="A390" s="615" t="s">
        <v>1861</v>
      </c>
      <c r="B390" s="616"/>
      <c r="C390" s="617"/>
      <c r="D390" s="617"/>
      <c r="E390" s="617"/>
      <c r="F390" s="1083"/>
      <c r="G390" s="1084"/>
      <c r="H390" s="1069"/>
      <c r="I390" s="618">
        <v>0</v>
      </c>
      <c r="J390" s="619">
        <v>0</v>
      </c>
      <c r="K390" s="618">
        <v>0</v>
      </c>
      <c r="L390" s="620">
        <v>0</v>
      </c>
      <c r="M390" s="621">
        <v>5000000</v>
      </c>
      <c r="N390" s="620">
        <v>5000000</v>
      </c>
    </row>
    <row r="391" spans="1:14" ht="11.25" customHeight="1" x14ac:dyDescent="0.25">
      <c r="A391" s="615" t="s">
        <v>1862</v>
      </c>
      <c r="B391" s="616"/>
      <c r="C391" s="617"/>
      <c r="D391" s="617"/>
      <c r="E391" s="617"/>
      <c r="F391" s="1083"/>
      <c r="G391" s="1084"/>
      <c r="H391" s="1069"/>
      <c r="I391" s="618">
        <v>0</v>
      </c>
      <c r="J391" s="619">
        <v>0</v>
      </c>
      <c r="K391" s="618">
        <v>0</v>
      </c>
      <c r="L391" s="620">
        <v>0</v>
      </c>
      <c r="M391" s="621">
        <v>2700000</v>
      </c>
      <c r="N391" s="620">
        <v>2700000</v>
      </c>
    </row>
    <row r="392" spans="1:14" ht="11.25" customHeight="1" x14ac:dyDescent="0.25">
      <c r="A392" s="615" t="s">
        <v>1863</v>
      </c>
      <c r="B392" s="616"/>
      <c r="C392" s="617"/>
      <c r="D392" s="617"/>
      <c r="E392" s="617"/>
      <c r="F392" s="1083"/>
      <c r="G392" s="1084"/>
      <c r="H392" s="1069"/>
      <c r="I392" s="618">
        <v>0</v>
      </c>
      <c r="J392" s="619">
        <v>0</v>
      </c>
      <c r="K392" s="618">
        <v>0</v>
      </c>
      <c r="L392" s="620">
        <v>0</v>
      </c>
      <c r="M392" s="621">
        <v>2000000</v>
      </c>
      <c r="N392" s="620">
        <v>2000000</v>
      </c>
    </row>
    <row r="393" spans="1:14" ht="11.25" customHeight="1" x14ac:dyDescent="0.25">
      <c r="A393" s="615" t="s">
        <v>1864</v>
      </c>
      <c r="B393" s="616"/>
      <c r="C393" s="617"/>
      <c r="D393" s="617"/>
      <c r="E393" s="617"/>
      <c r="F393" s="1083"/>
      <c r="G393" s="1084"/>
      <c r="H393" s="1069"/>
      <c r="I393" s="618">
        <v>0</v>
      </c>
      <c r="J393" s="619">
        <v>0</v>
      </c>
      <c r="K393" s="618">
        <v>0</v>
      </c>
      <c r="L393" s="620">
        <v>0</v>
      </c>
      <c r="M393" s="621">
        <v>3600000</v>
      </c>
      <c r="N393" s="620">
        <v>3600000</v>
      </c>
    </row>
    <row r="394" spans="1:14" ht="11.25" customHeight="1" x14ac:dyDescent="0.25">
      <c r="A394" s="615" t="s">
        <v>1865</v>
      </c>
      <c r="B394" s="616"/>
      <c r="C394" s="617"/>
      <c r="D394" s="617"/>
      <c r="E394" s="617"/>
      <c r="F394" s="1083"/>
      <c r="G394" s="1084"/>
      <c r="H394" s="1069"/>
      <c r="I394" s="618">
        <v>0</v>
      </c>
      <c r="J394" s="619">
        <v>0</v>
      </c>
      <c r="K394" s="618">
        <v>0</v>
      </c>
      <c r="L394" s="620">
        <v>0</v>
      </c>
      <c r="M394" s="621">
        <v>1300000</v>
      </c>
      <c r="N394" s="620">
        <v>1300000</v>
      </c>
    </row>
    <row r="395" spans="1:14" ht="11.25" customHeight="1" x14ac:dyDescent="0.25">
      <c r="A395" s="615" t="s">
        <v>1866</v>
      </c>
      <c r="B395" s="616"/>
      <c r="C395" s="617"/>
      <c r="D395" s="617"/>
      <c r="E395" s="617"/>
      <c r="F395" s="1083"/>
      <c r="G395" s="1084"/>
      <c r="H395" s="1069"/>
      <c r="I395" s="618">
        <v>0</v>
      </c>
      <c r="J395" s="619">
        <v>0</v>
      </c>
      <c r="K395" s="618">
        <v>0</v>
      </c>
      <c r="L395" s="620">
        <v>0</v>
      </c>
      <c r="M395" s="621">
        <v>3630000</v>
      </c>
      <c r="N395" s="620">
        <v>3630000</v>
      </c>
    </row>
    <row r="396" spans="1:14" ht="11.25" customHeight="1" x14ac:dyDescent="0.25">
      <c r="A396" s="615" t="s">
        <v>1866</v>
      </c>
      <c r="B396" s="616"/>
      <c r="C396" s="617"/>
      <c r="D396" s="617"/>
      <c r="E396" s="617"/>
      <c r="F396" s="1083"/>
      <c r="G396" s="1084"/>
      <c r="H396" s="1069"/>
      <c r="I396" s="618">
        <v>0</v>
      </c>
      <c r="J396" s="619">
        <v>0</v>
      </c>
      <c r="K396" s="618">
        <v>0</v>
      </c>
      <c r="L396" s="620">
        <v>0</v>
      </c>
      <c r="M396" s="621">
        <v>3630000</v>
      </c>
      <c r="N396" s="620">
        <v>3630000</v>
      </c>
    </row>
    <row r="397" spans="1:14" ht="11.25" customHeight="1" x14ac:dyDescent="0.25">
      <c r="A397" s="615" t="s">
        <v>1866</v>
      </c>
      <c r="B397" s="616"/>
      <c r="C397" s="617"/>
      <c r="D397" s="617"/>
      <c r="E397" s="617"/>
      <c r="F397" s="1083"/>
      <c r="G397" s="1084"/>
      <c r="H397" s="1069"/>
      <c r="I397" s="618">
        <v>0</v>
      </c>
      <c r="J397" s="619">
        <v>0</v>
      </c>
      <c r="K397" s="618">
        <v>0</v>
      </c>
      <c r="L397" s="620">
        <v>0</v>
      </c>
      <c r="M397" s="621">
        <v>3630000</v>
      </c>
      <c r="N397" s="620">
        <v>3630000</v>
      </c>
    </row>
    <row r="398" spans="1:14" ht="11.25" customHeight="1" x14ac:dyDescent="0.25">
      <c r="A398" s="615" t="s">
        <v>1866</v>
      </c>
      <c r="B398" s="616"/>
      <c r="C398" s="617"/>
      <c r="D398" s="617"/>
      <c r="E398" s="617"/>
      <c r="F398" s="1083"/>
      <c r="G398" s="1084"/>
      <c r="H398" s="1069"/>
      <c r="I398" s="618">
        <v>0</v>
      </c>
      <c r="J398" s="619">
        <v>0</v>
      </c>
      <c r="K398" s="618">
        <v>0</v>
      </c>
      <c r="L398" s="620">
        <v>0</v>
      </c>
      <c r="M398" s="621">
        <v>968000</v>
      </c>
      <c r="N398" s="620">
        <v>968000</v>
      </c>
    </row>
    <row r="399" spans="1:14" ht="11.25" customHeight="1" x14ac:dyDescent="0.25">
      <c r="A399" s="615" t="s">
        <v>1867</v>
      </c>
      <c r="B399" s="616"/>
      <c r="C399" s="617"/>
      <c r="D399" s="617"/>
      <c r="E399" s="617"/>
      <c r="F399" s="1083"/>
      <c r="G399" s="1084"/>
      <c r="H399" s="1069"/>
      <c r="I399" s="618">
        <v>0</v>
      </c>
      <c r="J399" s="619">
        <v>0</v>
      </c>
      <c r="K399" s="618">
        <v>0</v>
      </c>
      <c r="L399" s="620">
        <v>0</v>
      </c>
      <c r="M399" s="621">
        <v>2420000</v>
      </c>
      <c r="N399" s="620">
        <v>2420000</v>
      </c>
    </row>
    <row r="400" spans="1:14" ht="11.25" customHeight="1" x14ac:dyDescent="0.25">
      <c r="A400" s="615" t="s">
        <v>1868</v>
      </c>
      <c r="B400" s="616"/>
      <c r="C400" s="617"/>
      <c r="D400" s="617"/>
      <c r="E400" s="617"/>
      <c r="F400" s="1083"/>
      <c r="G400" s="1084"/>
      <c r="H400" s="1069"/>
      <c r="I400" s="618">
        <v>0</v>
      </c>
      <c r="J400" s="619">
        <v>0</v>
      </c>
      <c r="K400" s="618">
        <v>0</v>
      </c>
      <c r="L400" s="620">
        <v>0</v>
      </c>
      <c r="M400" s="621">
        <v>8000000</v>
      </c>
      <c r="N400" s="620">
        <v>8000000</v>
      </c>
    </row>
    <row r="401" spans="1:14" ht="11.25" customHeight="1" x14ac:dyDescent="0.25">
      <c r="A401" s="615" t="s">
        <v>1876</v>
      </c>
      <c r="B401" s="616"/>
      <c r="C401" s="617"/>
      <c r="D401" s="617"/>
      <c r="E401" s="617"/>
      <c r="F401" s="1083"/>
      <c r="G401" s="1084"/>
      <c r="H401" s="1069"/>
      <c r="I401" s="618">
        <v>0</v>
      </c>
      <c r="J401" s="619">
        <v>0</v>
      </c>
      <c r="K401" s="618">
        <v>0</v>
      </c>
      <c r="L401" s="620">
        <v>0</v>
      </c>
      <c r="M401" s="621">
        <v>30000000</v>
      </c>
      <c r="N401" s="620">
        <v>30000000</v>
      </c>
    </row>
    <row r="402" spans="1:14" ht="11.25" customHeight="1" x14ac:dyDescent="0.25">
      <c r="A402" s="615" t="s">
        <v>1878</v>
      </c>
      <c r="B402" s="616"/>
      <c r="C402" s="617"/>
      <c r="D402" s="617"/>
      <c r="E402" s="617"/>
      <c r="F402" s="1083"/>
      <c r="G402" s="1084"/>
      <c r="H402" s="1069"/>
      <c r="I402" s="618">
        <v>0</v>
      </c>
      <c r="J402" s="619">
        <v>0</v>
      </c>
      <c r="K402" s="618">
        <v>0</v>
      </c>
      <c r="L402" s="620">
        <v>0</v>
      </c>
      <c r="M402" s="621">
        <v>10000000</v>
      </c>
      <c r="N402" s="620">
        <v>10000000</v>
      </c>
    </row>
    <row r="403" spans="1:14" ht="11.25" customHeight="1" x14ac:dyDescent="0.25">
      <c r="A403" s="615" t="s">
        <v>1879</v>
      </c>
      <c r="B403" s="616"/>
      <c r="C403" s="617"/>
      <c r="D403" s="617"/>
      <c r="E403" s="617"/>
      <c r="F403" s="1083"/>
      <c r="G403" s="1084"/>
      <c r="H403" s="1069"/>
      <c r="I403" s="618">
        <v>0</v>
      </c>
      <c r="J403" s="619">
        <v>0</v>
      </c>
      <c r="K403" s="618">
        <v>0</v>
      </c>
      <c r="L403" s="620">
        <v>0</v>
      </c>
      <c r="M403" s="621">
        <v>10000000</v>
      </c>
      <c r="N403" s="620">
        <v>10000000</v>
      </c>
    </row>
    <row r="404" spans="1:14" ht="11.25" customHeight="1" x14ac:dyDescent="0.25">
      <c r="A404" s="615" t="s">
        <v>1880</v>
      </c>
      <c r="B404" s="616"/>
      <c r="C404" s="617"/>
      <c r="D404" s="617"/>
      <c r="E404" s="617"/>
      <c r="F404" s="1083"/>
      <c r="G404" s="1084"/>
      <c r="H404" s="1069"/>
      <c r="I404" s="618">
        <v>0</v>
      </c>
      <c r="J404" s="619">
        <v>0</v>
      </c>
      <c r="K404" s="618">
        <v>0</v>
      </c>
      <c r="L404" s="620">
        <v>0</v>
      </c>
      <c r="M404" s="621">
        <v>2500000</v>
      </c>
      <c r="N404" s="620">
        <v>2500000</v>
      </c>
    </row>
    <row r="405" spans="1:14" ht="11.25" customHeight="1" x14ac:dyDescent="0.25">
      <c r="A405" s="615" t="s">
        <v>1881</v>
      </c>
      <c r="B405" s="616"/>
      <c r="C405" s="617"/>
      <c r="D405" s="617"/>
      <c r="E405" s="617"/>
      <c r="F405" s="1083"/>
      <c r="G405" s="1084"/>
      <c r="H405" s="1069"/>
      <c r="I405" s="618">
        <v>0</v>
      </c>
      <c r="J405" s="619">
        <v>0</v>
      </c>
      <c r="K405" s="618">
        <v>0</v>
      </c>
      <c r="L405" s="620">
        <v>0</v>
      </c>
      <c r="M405" s="621">
        <v>10000000</v>
      </c>
      <c r="N405" s="620">
        <v>10000000</v>
      </c>
    </row>
    <row r="406" spans="1:14" ht="11.25" customHeight="1" x14ac:dyDescent="0.25">
      <c r="A406" s="615" t="s">
        <v>1882</v>
      </c>
      <c r="B406" s="616"/>
      <c r="C406" s="617"/>
      <c r="D406" s="617"/>
      <c r="E406" s="617"/>
      <c r="F406" s="1083"/>
      <c r="G406" s="1084"/>
      <c r="H406" s="1069"/>
      <c r="I406" s="618">
        <v>0</v>
      </c>
      <c r="J406" s="619">
        <v>0</v>
      </c>
      <c r="K406" s="618">
        <v>0</v>
      </c>
      <c r="L406" s="620">
        <v>0</v>
      </c>
      <c r="M406" s="621">
        <v>10000000</v>
      </c>
      <c r="N406" s="620">
        <v>10000000</v>
      </c>
    </row>
    <row r="407" spans="1:14" ht="11.25" customHeight="1" x14ac:dyDescent="0.25">
      <c r="A407" s="615" t="s">
        <v>1883</v>
      </c>
      <c r="B407" s="616"/>
      <c r="C407" s="617"/>
      <c r="D407" s="617"/>
      <c r="E407" s="617"/>
      <c r="F407" s="1083"/>
      <c r="G407" s="1084"/>
      <c r="H407" s="1069"/>
      <c r="I407" s="618">
        <v>0</v>
      </c>
      <c r="J407" s="619">
        <v>0</v>
      </c>
      <c r="K407" s="618">
        <v>0</v>
      </c>
      <c r="L407" s="620">
        <v>0</v>
      </c>
      <c r="M407" s="621">
        <v>10000000</v>
      </c>
      <c r="N407" s="620">
        <v>10000000</v>
      </c>
    </row>
    <row r="408" spans="1:14" ht="11.25" customHeight="1" x14ac:dyDescent="0.25">
      <c r="A408" s="615" t="s">
        <v>1885</v>
      </c>
      <c r="B408" s="616"/>
      <c r="C408" s="617"/>
      <c r="D408" s="617"/>
      <c r="E408" s="617"/>
      <c r="F408" s="1083"/>
      <c r="G408" s="1084"/>
      <c r="H408" s="1069"/>
      <c r="I408" s="618">
        <v>0</v>
      </c>
      <c r="J408" s="619">
        <v>0</v>
      </c>
      <c r="K408" s="618">
        <v>0</v>
      </c>
      <c r="L408" s="620">
        <v>0</v>
      </c>
      <c r="M408" s="621">
        <v>10000000</v>
      </c>
      <c r="N408" s="620">
        <v>10000000</v>
      </c>
    </row>
    <row r="409" spans="1:14" ht="11.25" customHeight="1" x14ac:dyDescent="0.25">
      <c r="A409" s="615" t="s">
        <v>1886</v>
      </c>
      <c r="B409" s="616"/>
      <c r="C409" s="617"/>
      <c r="D409" s="617"/>
      <c r="E409" s="617"/>
      <c r="F409" s="1083"/>
      <c r="G409" s="1084"/>
      <c r="H409" s="1069"/>
      <c r="I409" s="618">
        <v>0</v>
      </c>
      <c r="J409" s="619">
        <v>0</v>
      </c>
      <c r="K409" s="618">
        <v>0</v>
      </c>
      <c r="L409" s="620">
        <v>0</v>
      </c>
      <c r="M409" s="621">
        <v>5000000</v>
      </c>
      <c r="N409" s="620">
        <v>5000000</v>
      </c>
    </row>
    <row r="410" spans="1:14" ht="11.25" customHeight="1" x14ac:dyDescent="0.25">
      <c r="A410" s="615" t="s">
        <v>1861</v>
      </c>
      <c r="B410" s="616"/>
      <c r="C410" s="617"/>
      <c r="D410" s="617"/>
      <c r="E410" s="617"/>
      <c r="F410" s="1083"/>
      <c r="G410" s="1084"/>
      <c r="H410" s="1069"/>
      <c r="I410" s="618">
        <v>0</v>
      </c>
      <c r="J410" s="619">
        <v>0</v>
      </c>
      <c r="K410" s="618">
        <v>0</v>
      </c>
      <c r="L410" s="620">
        <v>0</v>
      </c>
      <c r="M410" s="621">
        <v>1100000</v>
      </c>
      <c r="N410" s="620">
        <v>1100000</v>
      </c>
    </row>
    <row r="411" spans="1:14" ht="11.25" customHeight="1" x14ac:dyDescent="0.25">
      <c r="A411" s="615" t="s">
        <v>1991</v>
      </c>
      <c r="B411" s="616"/>
      <c r="C411" s="617"/>
      <c r="D411" s="617"/>
      <c r="E411" s="617"/>
      <c r="F411" s="1083"/>
      <c r="G411" s="1084"/>
      <c r="H411" s="1069"/>
      <c r="I411" s="618">
        <v>0</v>
      </c>
      <c r="J411" s="619">
        <v>0</v>
      </c>
      <c r="K411" s="618">
        <v>0</v>
      </c>
      <c r="L411" s="620">
        <v>0</v>
      </c>
      <c r="M411" s="621">
        <v>2750000</v>
      </c>
      <c r="N411" s="620">
        <v>2750000</v>
      </c>
    </row>
    <row r="412" spans="1:14" ht="11.25" customHeight="1" x14ac:dyDescent="0.25">
      <c r="A412" s="615" t="s">
        <v>1995</v>
      </c>
      <c r="B412" s="616"/>
      <c r="C412" s="617"/>
      <c r="D412" s="617"/>
      <c r="E412" s="617"/>
      <c r="F412" s="1083"/>
      <c r="G412" s="1084"/>
      <c r="H412" s="1069"/>
      <c r="I412" s="618">
        <v>0</v>
      </c>
      <c r="J412" s="619">
        <v>0</v>
      </c>
      <c r="K412" s="618">
        <v>0</v>
      </c>
      <c r="L412" s="620">
        <v>0</v>
      </c>
      <c r="M412" s="621">
        <v>15000000</v>
      </c>
      <c r="N412" s="620">
        <v>15000000</v>
      </c>
    </row>
    <row r="413" spans="1:14" ht="11.25" customHeight="1" x14ac:dyDescent="0.25">
      <c r="A413" s="615" t="s">
        <v>1889</v>
      </c>
      <c r="B413" s="616"/>
      <c r="C413" s="617"/>
      <c r="D413" s="617"/>
      <c r="E413" s="617"/>
      <c r="F413" s="1083"/>
      <c r="G413" s="1084"/>
      <c r="H413" s="1069"/>
      <c r="I413" s="618">
        <v>0</v>
      </c>
      <c r="J413" s="619">
        <v>0</v>
      </c>
      <c r="K413" s="618">
        <v>0</v>
      </c>
      <c r="L413" s="620">
        <v>0</v>
      </c>
      <c r="M413" s="621">
        <v>8000000</v>
      </c>
      <c r="N413" s="620">
        <v>8000000</v>
      </c>
    </row>
    <row r="414" spans="1:14" ht="11.25" customHeight="1" x14ac:dyDescent="0.25">
      <c r="A414" s="615" t="s">
        <v>1891</v>
      </c>
      <c r="B414" s="616"/>
      <c r="C414" s="617"/>
      <c r="D414" s="617"/>
      <c r="E414" s="617"/>
      <c r="F414" s="1083"/>
      <c r="G414" s="1084"/>
      <c r="H414" s="1069"/>
      <c r="I414" s="618">
        <v>0</v>
      </c>
      <c r="J414" s="619">
        <v>0</v>
      </c>
      <c r="K414" s="618">
        <v>0</v>
      </c>
      <c r="L414" s="620">
        <v>0</v>
      </c>
      <c r="M414" s="621">
        <v>2000000</v>
      </c>
      <c r="N414" s="620">
        <v>2000000</v>
      </c>
    </row>
    <row r="415" spans="1:14" ht="11.25" customHeight="1" x14ac:dyDescent="0.25">
      <c r="A415" s="615" t="s">
        <v>1892</v>
      </c>
      <c r="B415" s="616"/>
      <c r="C415" s="617"/>
      <c r="D415" s="617"/>
      <c r="E415" s="617"/>
      <c r="F415" s="1083"/>
      <c r="G415" s="1084"/>
      <c r="H415" s="1069"/>
      <c r="I415" s="618">
        <v>0</v>
      </c>
      <c r="J415" s="619">
        <v>0</v>
      </c>
      <c r="K415" s="618">
        <v>0</v>
      </c>
      <c r="L415" s="620">
        <v>0</v>
      </c>
      <c r="M415" s="621">
        <v>6000000</v>
      </c>
      <c r="N415" s="620">
        <v>6000000</v>
      </c>
    </row>
    <row r="416" spans="1:14" ht="11.25" customHeight="1" x14ac:dyDescent="0.25">
      <c r="A416" s="615" t="s">
        <v>1893</v>
      </c>
      <c r="B416" s="616"/>
      <c r="C416" s="617"/>
      <c r="D416" s="617"/>
      <c r="E416" s="617"/>
      <c r="F416" s="1083"/>
      <c r="G416" s="1084"/>
      <c r="H416" s="1069"/>
      <c r="I416" s="618">
        <v>0</v>
      </c>
      <c r="J416" s="619">
        <v>0</v>
      </c>
      <c r="K416" s="618">
        <v>0</v>
      </c>
      <c r="L416" s="620">
        <v>0</v>
      </c>
      <c r="M416" s="621">
        <v>15000000</v>
      </c>
      <c r="N416" s="620">
        <v>15000000</v>
      </c>
    </row>
    <row r="417" spans="1:14" ht="11.25" customHeight="1" x14ac:dyDescent="0.25">
      <c r="A417" s="615" t="s">
        <v>1894</v>
      </c>
      <c r="B417" s="616"/>
      <c r="C417" s="617"/>
      <c r="D417" s="617"/>
      <c r="E417" s="617"/>
      <c r="F417" s="1083"/>
      <c r="G417" s="1084"/>
      <c r="H417" s="1069"/>
      <c r="I417" s="618">
        <v>0</v>
      </c>
      <c r="J417" s="619">
        <v>0</v>
      </c>
      <c r="K417" s="618">
        <v>0</v>
      </c>
      <c r="L417" s="620">
        <v>0</v>
      </c>
      <c r="M417" s="621">
        <v>3000000</v>
      </c>
      <c r="N417" s="620">
        <v>3000000</v>
      </c>
    </row>
    <row r="418" spans="1:14" ht="11.25" customHeight="1" x14ac:dyDescent="0.25">
      <c r="A418" s="615" t="s">
        <v>1895</v>
      </c>
      <c r="B418" s="616"/>
      <c r="C418" s="617"/>
      <c r="D418" s="617"/>
      <c r="E418" s="617"/>
      <c r="F418" s="1083"/>
      <c r="G418" s="1084"/>
      <c r="H418" s="1069"/>
      <c r="I418" s="618">
        <v>0</v>
      </c>
      <c r="J418" s="619">
        <v>0</v>
      </c>
      <c r="K418" s="618">
        <v>0</v>
      </c>
      <c r="L418" s="620">
        <v>0</v>
      </c>
      <c r="M418" s="621">
        <v>20000000</v>
      </c>
      <c r="N418" s="620">
        <v>20000000</v>
      </c>
    </row>
    <row r="419" spans="1:14" ht="11.25" customHeight="1" x14ac:dyDescent="0.25">
      <c r="A419" s="615" t="s">
        <v>1896</v>
      </c>
      <c r="B419" s="616"/>
      <c r="C419" s="617"/>
      <c r="D419" s="617"/>
      <c r="E419" s="617"/>
      <c r="F419" s="1083"/>
      <c r="G419" s="1084"/>
      <c r="H419" s="1069"/>
      <c r="I419" s="618">
        <v>0</v>
      </c>
      <c r="J419" s="619">
        <v>0</v>
      </c>
      <c r="K419" s="618">
        <v>0</v>
      </c>
      <c r="L419" s="620">
        <v>0</v>
      </c>
      <c r="M419" s="621">
        <v>12000000</v>
      </c>
      <c r="N419" s="620">
        <v>12000000</v>
      </c>
    </row>
    <row r="420" spans="1:14" ht="11.25" customHeight="1" x14ac:dyDescent="0.25">
      <c r="A420" s="615" t="s">
        <v>1897</v>
      </c>
      <c r="B420" s="616"/>
      <c r="C420" s="617"/>
      <c r="D420" s="617"/>
      <c r="E420" s="617"/>
      <c r="F420" s="1083"/>
      <c r="G420" s="1084"/>
      <c r="H420" s="1069"/>
      <c r="I420" s="618">
        <v>0</v>
      </c>
      <c r="J420" s="619">
        <v>0</v>
      </c>
      <c r="K420" s="618">
        <v>0</v>
      </c>
      <c r="L420" s="620">
        <v>0</v>
      </c>
      <c r="M420" s="621">
        <v>10000000</v>
      </c>
      <c r="N420" s="620">
        <v>10000000</v>
      </c>
    </row>
    <row r="421" spans="1:14" ht="11.25" customHeight="1" x14ac:dyDescent="0.25">
      <c r="A421" s="615" t="s">
        <v>1898</v>
      </c>
      <c r="B421" s="616"/>
      <c r="C421" s="617"/>
      <c r="D421" s="617"/>
      <c r="E421" s="617"/>
      <c r="F421" s="1083"/>
      <c r="G421" s="1084"/>
      <c r="H421" s="1069"/>
      <c r="I421" s="618">
        <v>0</v>
      </c>
      <c r="J421" s="619">
        <v>0</v>
      </c>
      <c r="K421" s="618">
        <v>0</v>
      </c>
      <c r="L421" s="620">
        <v>0</v>
      </c>
      <c r="M421" s="621">
        <v>16500000</v>
      </c>
      <c r="N421" s="620">
        <v>16500000</v>
      </c>
    </row>
    <row r="422" spans="1:14" ht="11.25" customHeight="1" x14ac:dyDescent="0.25">
      <c r="A422" s="615" t="s">
        <v>1899</v>
      </c>
      <c r="B422" s="616"/>
      <c r="C422" s="617"/>
      <c r="D422" s="617"/>
      <c r="E422" s="617"/>
      <c r="F422" s="1083"/>
      <c r="G422" s="1084"/>
      <c r="H422" s="1069"/>
      <c r="I422" s="618">
        <v>0</v>
      </c>
      <c r="J422" s="619">
        <v>0</v>
      </c>
      <c r="K422" s="618">
        <v>0</v>
      </c>
      <c r="L422" s="620">
        <v>0</v>
      </c>
      <c r="M422" s="621">
        <v>6482000</v>
      </c>
      <c r="N422" s="620">
        <v>6482000</v>
      </c>
    </row>
    <row r="423" spans="1:14" ht="11.25" customHeight="1" x14ac:dyDescent="0.25">
      <c r="A423" s="615" t="s">
        <v>1900</v>
      </c>
      <c r="B423" s="616"/>
      <c r="C423" s="617"/>
      <c r="D423" s="617"/>
      <c r="E423" s="617"/>
      <c r="F423" s="1083"/>
      <c r="G423" s="1084"/>
      <c r="H423" s="1069"/>
      <c r="I423" s="618">
        <v>0</v>
      </c>
      <c r="J423" s="619">
        <v>0</v>
      </c>
      <c r="K423" s="618">
        <v>0</v>
      </c>
      <c r="L423" s="620">
        <v>0</v>
      </c>
      <c r="M423" s="621">
        <v>3000000</v>
      </c>
      <c r="N423" s="620">
        <v>3000000</v>
      </c>
    </row>
    <row r="424" spans="1:14" ht="11.25" customHeight="1" x14ac:dyDescent="0.25">
      <c r="A424" s="615" t="s">
        <v>1901</v>
      </c>
      <c r="B424" s="616"/>
      <c r="C424" s="617"/>
      <c r="D424" s="617"/>
      <c r="E424" s="617"/>
      <c r="F424" s="1083"/>
      <c r="G424" s="1084"/>
      <c r="H424" s="1069"/>
      <c r="I424" s="618">
        <v>0</v>
      </c>
      <c r="J424" s="619">
        <v>0</v>
      </c>
      <c r="K424" s="618">
        <v>0</v>
      </c>
      <c r="L424" s="620">
        <v>0</v>
      </c>
      <c r="M424" s="621">
        <v>5000000</v>
      </c>
      <c r="N424" s="620">
        <v>5000000</v>
      </c>
    </row>
    <row r="425" spans="1:14" ht="11.25" customHeight="1" x14ac:dyDescent="0.25">
      <c r="A425" s="615" t="s">
        <v>1902</v>
      </c>
      <c r="B425" s="616"/>
      <c r="C425" s="617"/>
      <c r="D425" s="617"/>
      <c r="E425" s="617"/>
      <c r="F425" s="1083"/>
      <c r="G425" s="1084"/>
      <c r="H425" s="1069"/>
      <c r="I425" s="618">
        <v>0</v>
      </c>
      <c r="J425" s="619">
        <v>0</v>
      </c>
      <c r="K425" s="618">
        <v>0</v>
      </c>
      <c r="L425" s="620">
        <v>0</v>
      </c>
      <c r="M425" s="621">
        <v>3000000</v>
      </c>
      <c r="N425" s="620">
        <v>3000000</v>
      </c>
    </row>
    <row r="426" spans="1:14" ht="11.25" customHeight="1" x14ac:dyDescent="0.25">
      <c r="A426" s="615" t="s">
        <v>1903</v>
      </c>
      <c r="B426" s="616"/>
      <c r="C426" s="617"/>
      <c r="D426" s="617"/>
      <c r="E426" s="617"/>
      <c r="F426" s="1083"/>
      <c r="G426" s="1084"/>
      <c r="H426" s="1069"/>
      <c r="I426" s="618">
        <v>0</v>
      </c>
      <c r="J426" s="619">
        <v>0</v>
      </c>
      <c r="K426" s="618">
        <v>0</v>
      </c>
      <c r="L426" s="620">
        <v>0</v>
      </c>
      <c r="M426" s="621">
        <v>3000000</v>
      </c>
      <c r="N426" s="620">
        <v>3000000</v>
      </c>
    </row>
    <row r="427" spans="1:14" ht="11.25" customHeight="1" x14ac:dyDescent="0.25">
      <c r="A427" s="615" t="s">
        <v>1904</v>
      </c>
      <c r="B427" s="616"/>
      <c r="C427" s="617"/>
      <c r="D427" s="617"/>
      <c r="E427" s="617"/>
      <c r="F427" s="1083"/>
      <c r="G427" s="1084"/>
      <c r="H427" s="1069"/>
      <c r="I427" s="618">
        <v>0</v>
      </c>
      <c r="J427" s="619">
        <v>0</v>
      </c>
      <c r="K427" s="618">
        <v>0</v>
      </c>
      <c r="L427" s="620">
        <v>0</v>
      </c>
      <c r="M427" s="621">
        <v>10000000</v>
      </c>
      <c r="N427" s="620">
        <v>10000000</v>
      </c>
    </row>
    <row r="428" spans="1:14" ht="11.25" customHeight="1" x14ac:dyDescent="0.25">
      <c r="A428" s="615" t="s">
        <v>1905</v>
      </c>
      <c r="B428" s="616"/>
      <c r="C428" s="617"/>
      <c r="D428" s="617"/>
      <c r="E428" s="617"/>
      <c r="F428" s="1083"/>
      <c r="G428" s="1084"/>
      <c r="H428" s="1069"/>
      <c r="I428" s="618">
        <v>0</v>
      </c>
      <c r="J428" s="619">
        <v>0</v>
      </c>
      <c r="K428" s="618">
        <v>0</v>
      </c>
      <c r="L428" s="620">
        <v>0</v>
      </c>
      <c r="M428" s="621">
        <v>10000000</v>
      </c>
      <c r="N428" s="620">
        <v>10000000</v>
      </c>
    </row>
    <row r="429" spans="1:14" ht="11.25" customHeight="1" x14ac:dyDescent="0.25">
      <c r="A429" s="615" t="s">
        <v>2015</v>
      </c>
      <c r="B429" s="616"/>
      <c r="C429" s="617"/>
      <c r="D429" s="617"/>
      <c r="E429" s="617"/>
      <c r="F429" s="1083"/>
      <c r="G429" s="1084"/>
      <c r="H429" s="1069"/>
      <c r="I429" s="618">
        <v>0</v>
      </c>
      <c r="J429" s="619">
        <v>0</v>
      </c>
      <c r="K429" s="618">
        <v>0</v>
      </c>
      <c r="L429" s="620">
        <v>0</v>
      </c>
      <c r="M429" s="621">
        <v>2000000</v>
      </c>
      <c r="N429" s="620">
        <v>2000000</v>
      </c>
    </row>
    <row r="430" spans="1:14" ht="11.25" customHeight="1" x14ac:dyDescent="0.25">
      <c r="A430" s="615" t="s">
        <v>2063</v>
      </c>
      <c r="B430" s="616"/>
      <c r="C430" s="617"/>
      <c r="D430" s="617"/>
      <c r="E430" s="617"/>
      <c r="F430" s="1083"/>
      <c r="G430" s="1084"/>
      <c r="H430" s="1069"/>
      <c r="I430" s="618">
        <v>0</v>
      </c>
      <c r="J430" s="619">
        <v>0</v>
      </c>
      <c r="K430" s="618">
        <v>0</v>
      </c>
      <c r="L430" s="620">
        <v>0</v>
      </c>
      <c r="M430" s="621">
        <v>2000000</v>
      </c>
      <c r="N430" s="620">
        <v>2000000</v>
      </c>
    </row>
    <row r="431" spans="1:14" ht="11.25" customHeight="1" x14ac:dyDescent="0.25">
      <c r="A431" s="615" t="s">
        <v>2016</v>
      </c>
      <c r="B431" s="616"/>
      <c r="C431" s="617"/>
      <c r="D431" s="617"/>
      <c r="E431" s="617"/>
      <c r="F431" s="1083"/>
      <c r="G431" s="1084"/>
      <c r="H431" s="1069"/>
      <c r="I431" s="618">
        <v>0</v>
      </c>
      <c r="J431" s="619">
        <v>0</v>
      </c>
      <c r="K431" s="618">
        <v>0</v>
      </c>
      <c r="L431" s="620">
        <v>0</v>
      </c>
      <c r="M431" s="621">
        <v>2200000</v>
      </c>
      <c r="N431" s="620">
        <v>2200000</v>
      </c>
    </row>
    <row r="432" spans="1:14" ht="11.25" customHeight="1" x14ac:dyDescent="0.25">
      <c r="A432" s="615" t="s">
        <v>2017</v>
      </c>
      <c r="B432" s="616"/>
      <c r="C432" s="617"/>
      <c r="D432" s="617"/>
      <c r="E432" s="617"/>
      <c r="F432" s="1083"/>
      <c r="G432" s="1084"/>
      <c r="H432" s="1069"/>
      <c r="I432" s="618">
        <v>0</v>
      </c>
      <c r="J432" s="619">
        <v>0</v>
      </c>
      <c r="K432" s="618">
        <v>0</v>
      </c>
      <c r="L432" s="620">
        <v>0</v>
      </c>
      <c r="M432" s="621">
        <v>5000000</v>
      </c>
      <c r="N432" s="620">
        <v>5000000</v>
      </c>
    </row>
    <row r="433" spans="1:14" ht="11.25" customHeight="1" x14ac:dyDescent="0.25">
      <c r="A433" s="615" t="s">
        <v>1906</v>
      </c>
      <c r="B433" s="616"/>
      <c r="C433" s="617"/>
      <c r="D433" s="617"/>
      <c r="E433" s="617"/>
      <c r="F433" s="1083"/>
      <c r="G433" s="1084"/>
      <c r="H433" s="1069"/>
      <c r="I433" s="618">
        <v>0</v>
      </c>
      <c r="J433" s="619">
        <v>0</v>
      </c>
      <c r="K433" s="618">
        <v>0</v>
      </c>
      <c r="L433" s="620">
        <v>0</v>
      </c>
      <c r="M433" s="621">
        <v>4500000</v>
      </c>
      <c r="N433" s="620">
        <v>4500000</v>
      </c>
    </row>
    <row r="434" spans="1:14" ht="11.25" customHeight="1" x14ac:dyDescent="0.25">
      <c r="A434" s="615" t="s">
        <v>1907</v>
      </c>
      <c r="B434" s="616"/>
      <c r="C434" s="617"/>
      <c r="D434" s="617"/>
      <c r="E434" s="617"/>
      <c r="F434" s="1083"/>
      <c r="G434" s="1084"/>
      <c r="H434" s="1069"/>
      <c r="I434" s="618">
        <v>0</v>
      </c>
      <c r="J434" s="619">
        <v>0</v>
      </c>
      <c r="K434" s="618">
        <v>0</v>
      </c>
      <c r="L434" s="620">
        <v>0</v>
      </c>
      <c r="M434" s="621">
        <v>3500000</v>
      </c>
      <c r="N434" s="620">
        <v>3500000</v>
      </c>
    </row>
    <row r="435" spans="1:14" ht="11.25" customHeight="1" x14ac:dyDescent="0.25">
      <c r="A435" s="615" t="s">
        <v>1908</v>
      </c>
      <c r="B435" s="616"/>
      <c r="C435" s="617"/>
      <c r="D435" s="617"/>
      <c r="E435" s="617"/>
      <c r="F435" s="1083"/>
      <c r="G435" s="1084"/>
      <c r="H435" s="1069"/>
      <c r="I435" s="618">
        <v>0</v>
      </c>
      <c r="J435" s="619">
        <v>0</v>
      </c>
      <c r="K435" s="618">
        <v>0</v>
      </c>
      <c r="L435" s="620">
        <v>0</v>
      </c>
      <c r="M435" s="621">
        <v>4000000</v>
      </c>
      <c r="N435" s="620">
        <v>4000000</v>
      </c>
    </row>
    <row r="436" spans="1:14" ht="11.25" customHeight="1" x14ac:dyDescent="0.25">
      <c r="A436" s="615" t="s">
        <v>1909</v>
      </c>
      <c r="B436" s="616"/>
      <c r="C436" s="617"/>
      <c r="D436" s="617"/>
      <c r="E436" s="617"/>
      <c r="F436" s="1083"/>
      <c r="G436" s="1084"/>
      <c r="H436" s="1069"/>
      <c r="I436" s="618">
        <v>0</v>
      </c>
      <c r="J436" s="619">
        <v>0</v>
      </c>
      <c r="K436" s="618">
        <v>0</v>
      </c>
      <c r="L436" s="620">
        <v>0</v>
      </c>
      <c r="M436" s="621">
        <v>3000000</v>
      </c>
      <c r="N436" s="620">
        <v>3000000</v>
      </c>
    </row>
    <row r="437" spans="1:14" ht="11.25" customHeight="1" x14ac:dyDescent="0.25">
      <c r="A437" s="615" t="s">
        <v>1910</v>
      </c>
      <c r="B437" s="616"/>
      <c r="C437" s="617"/>
      <c r="D437" s="617"/>
      <c r="E437" s="617"/>
      <c r="F437" s="1083"/>
      <c r="G437" s="1084"/>
      <c r="H437" s="1069"/>
      <c r="I437" s="618">
        <v>0</v>
      </c>
      <c r="J437" s="619">
        <v>0</v>
      </c>
      <c r="K437" s="618">
        <v>0</v>
      </c>
      <c r="L437" s="620">
        <v>0</v>
      </c>
      <c r="M437" s="621">
        <v>3000000</v>
      </c>
      <c r="N437" s="620">
        <v>3000000</v>
      </c>
    </row>
    <row r="438" spans="1:14" ht="11.25" customHeight="1" x14ac:dyDescent="0.25">
      <c r="A438" s="615" t="s">
        <v>1911</v>
      </c>
      <c r="B438" s="616"/>
      <c r="C438" s="617"/>
      <c r="D438" s="617"/>
      <c r="E438" s="617"/>
      <c r="F438" s="1083"/>
      <c r="G438" s="1084"/>
      <c r="H438" s="1069"/>
      <c r="I438" s="618">
        <v>0</v>
      </c>
      <c r="J438" s="619">
        <v>0</v>
      </c>
      <c r="K438" s="618">
        <v>0</v>
      </c>
      <c r="L438" s="620">
        <v>0</v>
      </c>
      <c r="M438" s="621">
        <v>2000000</v>
      </c>
      <c r="N438" s="620">
        <v>2000000</v>
      </c>
    </row>
    <row r="439" spans="1:14" ht="11.25" customHeight="1" x14ac:dyDescent="0.25">
      <c r="A439" s="615" t="s">
        <v>1912</v>
      </c>
      <c r="B439" s="616"/>
      <c r="C439" s="617"/>
      <c r="D439" s="617"/>
      <c r="E439" s="617"/>
      <c r="F439" s="1083"/>
      <c r="G439" s="1084"/>
      <c r="H439" s="1069"/>
      <c r="I439" s="618">
        <v>0</v>
      </c>
      <c r="J439" s="619">
        <v>0</v>
      </c>
      <c r="K439" s="618">
        <v>0</v>
      </c>
      <c r="L439" s="620">
        <v>0</v>
      </c>
      <c r="M439" s="621">
        <v>11000000</v>
      </c>
      <c r="N439" s="620">
        <v>11000000</v>
      </c>
    </row>
    <row r="440" spans="1:14" ht="11.25" customHeight="1" x14ac:dyDescent="0.25">
      <c r="A440" s="615" t="s">
        <v>2023</v>
      </c>
      <c r="B440" s="616"/>
      <c r="C440" s="617"/>
      <c r="D440" s="617"/>
      <c r="E440" s="617"/>
      <c r="F440" s="1083"/>
      <c r="G440" s="1084"/>
      <c r="H440" s="1069"/>
      <c r="I440" s="618">
        <v>0</v>
      </c>
      <c r="J440" s="619">
        <v>0</v>
      </c>
      <c r="K440" s="618">
        <v>0</v>
      </c>
      <c r="L440" s="620">
        <v>0</v>
      </c>
      <c r="M440" s="621">
        <v>6000000</v>
      </c>
      <c r="N440" s="620">
        <v>6000000</v>
      </c>
    </row>
    <row r="441" spans="1:14" ht="11.25" customHeight="1" x14ac:dyDescent="0.25">
      <c r="A441" s="615" t="s">
        <v>2024</v>
      </c>
      <c r="B441" s="616"/>
      <c r="C441" s="617"/>
      <c r="D441" s="617"/>
      <c r="E441" s="617"/>
      <c r="F441" s="1083"/>
      <c r="G441" s="1084"/>
      <c r="H441" s="1069"/>
      <c r="I441" s="618">
        <v>0</v>
      </c>
      <c r="J441" s="619">
        <v>0</v>
      </c>
      <c r="K441" s="618">
        <v>0</v>
      </c>
      <c r="L441" s="620">
        <v>0</v>
      </c>
      <c r="M441" s="621">
        <v>4000000</v>
      </c>
      <c r="N441" s="620">
        <v>4000000</v>
      </c>
    </row>
    <row r="442" spans="1:14" ht="11.25" customHeight="1" x14ac:dyDescent="0.25">
      <c r="A442" s="615" t="s">
        <v>2025</v>
      </c>
      <c r="B442" s="616"/>
      <c r="C442" s="617"/>
      <c r="D442" s="617"/>
      <c r="E442" s="617"/>
      <c r="F442" s="1083"/>
      <c r="G442" s="1084"/>
      <c r="H442" s="1069"/>
      <c r="I442" s="618">
        <v>0</v>
      </c>
      <c r="J442" s="619">
        <v>0</v>
      </c>
      <c r="K442" s="618">
        <v>0</v>
      </c>
      <c r="L442" s="620">
        <v>0</v>
      </c>
      <c r="M442" s="621">
        <v>5000000</v>
      </c>
      <c r="N442" s="620">
        <v>5000000</v>
      </c>
    </row>
    <row r="443" spans="1:14" ht="11.25" customHeight="1" x14ac:dyDescent="0.25">
      <c r="A443" s="615" t="s">
        <v>2026</v>
      </c>
      <c r="B443" s="616"/>
      <c r="C443" s="617"/>
      <c r="D443" s="617"/>
      <c r="E443" s="617"/>
      <c r="F443" s="1083"/>
      <c r="G443" s="1084"/>
      <c r="H443" s="1069"/>
      <c r="I443" s="618">
        <v>0</v>
      </c>
      <c r="J443" s="619">
        <v>0</v>
      </c>
      <c r="K443" s="618">
        <v>0</v>
      </c>
      <c r="L443" s="620">
        <v>0</v>
      </c>
      <c r="M443" s="621">
        <v>3000000</v>
      </c>
      <c r="N443" s="620">
        <v>3000000</v>
      </c>
    </row>
    <row r="444" spans="1:14" ht="11.25" customHeight="1" x14ac:dyDescent="0.25">
      <c r="A444" s="615" t="s">
        <v>2027</v>
      </c>
      <c r="B444" s="616"/>
      <c r="C444" s="617"/>
      <c r="D444" s="617"/>
      <c r="E444" s="617"/>
      <c r="F444" s="1083"/>
      <c r="G444" s="1084"/>
      <c r="H444" s="1069"/>
      <c r="I444" s="618">
        <v>0</v>
      </c>
      <c r="J444" s="619">
        <v>0</v>
      </c>
      <c r="K444" s="618">
        <v>0</v>
      </c>
      <c r="L444" s="620">
        <v>0</v>
      </c>
      <c r="M444" s="621">
        <v>2000000</v>
      </c>
      <c r="N444" s="620">
        <v>2000000</v>
      </c>
    </row>
    <row r="445" spans="1:14" ht="11.25" customHeight="1" x14ac:dyDescent="0.25">
      <c r="A445" s="615" t="s">
        <v>2028</v>
      </c>
      <c r="B445" s="616"/>
      <c r="C445" s="617"/>
      <c r="D445" s="617"/>
      <c r="E445" s="617"/>
      <c r="F445" s="1083"/>
      <c r="G445" s="1084"/>
      <c r="H445" s="1069"/>
      <c r="I445" s="618">
        <v>0</v>
      </c>
      <c r="J445" s="619">
        <v>0</v>
      </c>
      <c r="K445" s="618">
        <v>0</v>
      </c>
      <c r="L445" s="620">
        <v>0</v>
      </c>
      <c r="M445" s="621">
        <v>3300000</v>
      </c>
      <c r="N445" s="620">
        <v>3300000</v>
      </c>
    </row>
    <row r="446" spans="1:14" ht="11.25" customHeight="1" x14ac:dyDescent="0.25">
      <c r="A446" s="615" t="s">
        <v>2029</v>
      </c>
      <c r="B446" s="616"/>
      <c r="C446" s="617"/>
      <c r="D446" s="617"/>
      <c r="E446" s="617"/>
      <c r="F446" s="1083"/>
      <c r="G446" s="1084"/>
      <c r="H446" s="1069"/>
      <c r="I446" s="618">
        <v>0</v>
      </c>
      <c r="J446" s="619">
        <v>0</v>
      </c>
      <c r="K446" s="618">
        <v>0</v>
      </c>
      <c r="L446" s="620">
        <v>0</v>
      </c>
      <c r="M446" s="621">
        <v>2200000</v>
      </c>
      <c r="N446" s="620">
        <v>2200000</v>
      </c>
    </row>
    <row r="447" spans="1:14" ht="11.25" customHeight="1" x14ac:dyDescent="0.25">
      <c r="A447" s="615" t="s">
        <v>2030</v>
      </c>
      <c r="B447" s="616"/>
      <c r="C447" s="617"/>
      <c r="D447" s="617"/>
      <c r="E447" s="617"/>
      <c r="F447" s="1083"/>
      <c r="G447" s="1084"/>
      <c r="H447" s="1069"/>
      <c r="I447" s="618">
        <v>0</v>
      </c>
      <c r="J447" s="619">
        <v>0</v>
      </c>
      <c r="K447" s="618">
        <v>0</v>
      </c>
      <c r="L447" s="620">
        <v>0</v>
      </c>
      <c r="M447" s="621">
        <v>2200000</v>
      </c>
      <c r="N447" s="620">
        <v>2200000</v>
      </c>
    </row>
    <row r="448" spans="1:14" ht="11.25" customHeight="1" x14ac:dyDescent="0.25">
      <c r="A448" s="615" t="s">
        <v>2031</v>
      </c>
      <c r="B448" s="616"/>
      <c r="C448" s="617"/>
      <c r="D448" s="617"/>
      <c r="E448" s="617"/>
      <c r="F448" s="1083"/>
      <c r="G448" s="1084"/>
      <c r="H448" s="1069"/>
      <c r="I448" s="618">
        <v>0</v>
      </c>
      <c r="J448" s="619">
        <v>0</v>
      </c>
      <c r="K448" s="618">
        <v>0</v>
      </c>
      <c r="L448" s="620">
        <v>0</v>
      </c>
      <c r="M448" s="621">
        <v>2000000</v>
      </c>
      <c r="N448" s="620">
        <v>2000000</v>
      </c>
    </row>
    <row r="449" spans="1:14" ht="11.25" customHeight="1" x14ac:dyDescent="0.25">
      <c r="A449" s="615" t="s">
        <v>2032</v>
      </c>
      <c r="B449" s="616"/>
      <c r="C449" s="617"/>
      <c r="D449" s="617"/>
      <c r="E449" s="617"/>
      <c r="F449" s="1083"/>
      <c r="G449" s="1084"/>
      <c r="H449" s="1069"/>
      <c r="I449" s="618">
        <v>0</v>
      </c>
      <c r="J449" s="619">
        <v>0</v>
      </c>
      <c r="K449" s="618">
        <v>0</v>
      </c>
      <c r="L449" s="620">
        <v>0</v>
      </c>
      <c r="M449" s="621">
        <v>2200000</v>
      </c>
      <c r="N449" s="620">
        <v>2200000</v>
      </c>
    </row>
    <row r="450" spans="1:14" ht="11.25" customHeight="1" x14ac:dyDescent="0.25">
      <c r="A450" s="615" t="s">
        <v>2033</v>
      </c>
      <c r="B450" s="616"/>
      <c r="C450" s="617"/>
      <c r="D450" s="617"/>
      <c r="E450" s="617"/>
      <c r="F450" s="1083"/>
      <c r="G450" s="1084"/>
      <c r="H450" s="1069"/>
      <c r="I450" s="618">
        <v>0</v>
      </c>
      <c r="J450" s="619">
        <v>0</v>
      </c>
      <c r="K450" s="618">
        <v>0</v>
      </c>
      <c r="L450" s="620">
        <v>0</v>
      </c>
      <c r="M450" s="621">
        <v>800000</v>
      </c>
      <c r="N450" s="620">
        <v>800000</v>
      </c>
    </row>
    <row r="451" spans="1:14" ht="11.25" customHeight="1" x14ac:dyDescent="0.25">
      <c r="A451" s="615" t="s">
        <v>2034</v>
      </c>
      <c r="B451" s="616"/>
      <c r="C451" s="617"/>
      <c r="D451" s="617"/>
      <c r="E451" s="617"/>
      <c r="F451" s="1083"/>
      <c r="G451" s="1084"/>
      <c r="H451" s="1069"/>
      <c r="I451" s="618">
        <v>0</v>
      </c>
      <c r="J451" s="619">
        <v>0</v>
      </c>
      <c r="K451" s="618">
        <v>0</v>
      </c>
      <c r="L451" s="620">
        <v>0</v>
      </c>
      <c r="M451" s="621">
        <v>2000000</v>
      </c>
      <c r="N451" s="620">
        <v>2000000</v>
      </c>
    </row>
    <row r="452" spans="1:14" ht="11.25" customHeight="1" x14ac:dyDescent="0.25">
      <c r="A452" s="615" t="s">
        <v>1917</v>
      </c>
      <c r="B452" s="616"/>
      <c r="C452" s="617"/>
      <c r="D452" s="617"/>
      <c r="E452" s="617"/>
      <c r="F452" s="1083"/>
      <c r="G452" s="1084"/>
      <c r="H452" s="1069"/>
      <c r="I452" s="618">
        <v>0</v>
      </c>
      <c r="J452" s="619">
        <v>0</v>
      </c>
      <c r="K452" s="618">
        <v>0</v>
      </c>
      <c r="L452" s="620">
        <v>0</v>
      </c>
      <c r="M452" s="621">
        <v>600000</v>
      </c>
      <c r="N452" s="620">
        <v>600000</v>
      </c>
    </row>
    <row r="453" spans="1:14" ht="11.25" customHeight="1" x14ac:dyDescent="0.25">
      <c r="A453" s="615" t="s">
        <v>1924</v>
      </c>
      <c r="B453" s="616"/>
      <c r="C453" s="617"/>
      <c r="D453" s="617"/>
      <c r="E453" s="617"/>
      <c r="F453" s="1083"/>
      <c r="G453" s="1084"/>
      <c r="H453" s="1069"/>
      <c r="I453" s="618">
        <v>0</v>
      </c>
      <c r="J453" s="619">
        <v>0</v>
      </c>
      <c r="K453" s="618">
        <v>0</v>
      </c>
      <c r="L453" s="620">
        <v>0</v>
      </c>
      <c r="M453" s="621">
        <v>750000</v>
      </c>
      <c r="N453" s="620">
        <v>750000</v>
      </c>
    </row>
    <row r="454" spans="1:14" ht="11.25" customHeight="1" x14ac:dyDescent="0.25">
      <c r="A454" s="615" t="s">
        <v>1933</v>
      </c>
      <c r="B454" s="616"/>
      <c r="C454" s="617"/>
      <c r="D454" s="617"/>
      <c r="E454" s="617"/>
      <c r="F454" s="1083"/>
      <c r="G454" s="1084"/>
      <c r="H454" s="1069"/>
      <c r="I454" s="618">
        <v>0</v>
      </c>
      <c r="J454" s="619">
        <v>0</v>
      </c>
      <c r="K454" s="618">
        <v>0</v>
      </c>
      <c r="L454" s="620">
        <v>0</v>
      </c>
      <c r="M454" s="621">
        <v>650000</v>
      </c>
      <c r="N454" s="620">
        <v>650000</v>
      </c>
    </row>
    <row r="455" spans="1:14" ht="11.25" customHeight="1" x14ac:dyDescent="0.25">
      <c r="A455" s="615" t="s">
        <v>1934</v>
      </c>
      <c r="B455" s="616"/>
      <c r="C455" s="617"/>
      <c r="D455" s="617"/>
      <c r="E455" s="617"/>
      <c r="F455" s="1083"/>
      <c r="G455" s="1084"/>
      <c r="H455" s="1069"/>
      <c r="I455" s="618">
        <v>0</v>
      </c>
      <c r="J455" s="619">
        <v>0</v>
      </c>
      <c r="K455" s="618">
        <v>0</v>
      </c>
      <c r="L455" s="620">
        <v>0</v>
      </c>
      <c r="M455" s="621">
        <v>990000</v>
      </c>
      <c r="N455" s="620">
        <v>990000</v>
      </c>
    </row>
    <row r="456" spans="1:14" ht="11.25" customHeight="1" x14ac:dyDescent="0.25">
      <c r="A456" s="615" t="s">
        <v>1935</v>
      </c>
      <c r="B456" s="616"/>
      <c r="C456" s="617"/>
      <c r="D456" s="617"/>
      <c r="E456" s="617"/>
      <c r="F456" s="1083"/>
      <c r="G456" s="1084"/>
      <c r="H456" s="1069"/>
      <c r="I456" s="618">
        <v>0</v>
      </c>
      <c r="J456" s="619">
        <v>0</v>
      </c>
      <c r="K456" s="618">
        <v>0</v>
      </c>
      <c r="L456" s="620">
        <v>0</v>
      </c>
      <c r="M456" s="621">
        <v>700000</v>
      </c>
      <c r="N456" s="620">
        <v>700000</v>
      </c>
    </row>
    <row r="457" spans="1:14" ht="11.25" customHeight="1" x14ac:dyDescent="0.25">
      <c r="A457" s="615" t="s">
        <v>1937</v>
      </c>
      <c r="B457" s="616"/>
      <c r="C457" s="617"/>
      <c r="D457" s="617"/>
      <c r="E457" s="617"/>
      <c r="F457" s="1083"/>
      <c r="G457" s="1084"/>
      <c r="H457" s="1069"/>
      <c r="I457" s="618">
        <v>0</v>
      </c>
      <c r="J457" s="619">
        <v>0</v>
      </c>
      <c r="K457" s="618">
        <v>0</v>
      </c>
      <c r="L457" s="620">
        <v>0</v>
      </c>
      <c r="M457" s="621">
        <v>700000</v>
      </c>
      <c r="N457" s="620">
        <v>700000</v>
      </c>
    </row>
    <row r="458" spans="1:14" ht="11.25" customHeight="1" x14ac:dyDescent="0.25">
      <c r="A458" s="615" t="s">
        <v>1938</v>
      </c>
      <c r="B458" s="616"/>
      <c r="C458" s="617"/>
      <c r="D458" s="617"/>
      <c r="E458" s="617"/>
      <c r="F458" s="1083"/>
      <c r="G458" s="1084"/>
      <c r="H458" s="1069"/>
      <c r="I458" s="618">
        <v>0</v>
      </c>
      <c r="J458" s="619">
        <v>0</v>
      </c>
      <c r="K458" s="618">
        <v>0</v>
      </c>
      <c r="L458" s="620">
        <v>0</v>
      </c>
      <c r="M458" s="621">
        <v>1500000</v>
      </c>
      <c r="N458" s="620">
        <v>1500000</v>
      </c>
    </row>
    <row r="459" spans="1:14" ht="11.25" customHeight="1" x14ac:dyDescent="0.25">
      <c r="A459" s="615" t="s">
        <v>2039</v>
      </c>
      <c r="B459" s="616"/>
      <c r="C459" s="617"/>
      <c r="D459" s="617"/>
      <c r="E459" s="617"/>
      <c r="F459" s="1083"/>
      <c r="G459" s="1084"/>
      <c r="H459" s="1069"/>
      <c r="I459" s="618">
        <v>0</v>
      </c>
      <c r="J459" s="619">
        <v>0</v>
      </c>
      <c r="K459" s="618">
        <v>0</v>
      </c>
      <c r="L459" s="620">
        <v>0</v>
      </c>
      <c r="M459" s="621">
        <v>700000</v>
      </c>
      <c r="N459" s="620">
        <v>700000</v>
      </c>
    </row>
    <row r="460" spans="1:14" ht="11.25" customHeight="1" x14ac:dyDescent="0.25">
      <c r="A460" s="615" t="s">
        <v>1939</v>
      </c>
      <c r="B460" s="616"/>
      <c r="C460" s="617"/>
      <c r="D460" s="617"/>
      <c r="E460" s="617"/>
      <c r="F460" s="1083"/>
      <c r="G460" s="1084"/>
      <c r="H460" s="1069"/>
      <c r="I460" s="618">
        <v>0</v>
      </c>
      <c r="J460" s="619">
        <v>0</v>
      </c>
      <c r="K460" s="618">
        <v>0</v>
      </c>
      <c r="L460" s="620">
        <v>0</v>
      </c>
      <c r="M460" s="621">
        <v>400000</v>
      </c>
      <c r="N460" s="620">
        <v>400000</v>
      </c>
    </row>
    <row r="461" spans="1:14" ht="11.25" customHeight="1" x14ac:dyDescent="0.25">
      <c r="A461" s="615" t="s">
        <v>1940</v>
      </c>
      <c r="B461" s="616"/>
      <c r="C461" s="617"/>
      <c r="D461" s="617"/>
      <c r="E461" s="617"/>
      <c r="F461" s="1083"/>
      <c r="G461" s="1084"/>
      <c r="H461" s="1069"/>
      <c r="I461" s="618">
        <v>0</v>
      </c>
      <c r="J461" s="619">
        <v>0</v>
      </c>
      <c r="K461" s="618">
        <v>0</v>
      </c>
      <c r="L461" s="620">
        <v>0</v>
      </c>
      <c r="M461" s="621">
        <v>50000</v>
      </c>
      <c r="N461" s="620">
        <v>50000</v>
      </c>
    </row>
    <row r="462" spans="1:14" ht="11.25" customHeight="1" x14ac:dyDescent="0.25">
      <c r="A462" s="615" t="s">
        <v>1941</v>
      </c>
      <c r="B462" s="616"/>
      <c r="C462" s="617"/>
      <c r="D462" s="617"/>
      <c r="E462" s="617"/>
      <c r="F462" s="1083"/>
      <c r="G462" s="1084"/>
      <c r="H462" s="1069"/>
      <c r="I462" s="618">
        <v>0</v>
      </c>
      <c r="J462" s="619">
        <v>0</v>
      </c>
      <c r="K462" s="618">
        <v>0</v>
      </c>
      <c r="L462" s="620">
        <v>0</v>
      </c>
      <c r="M462" s="621">
        <v>600000</v>
      </c>
      <c r="N462" s="620">
        <v>600000</v>
      </c>
    </row>
    <row r="463" spans="1:14" ht="11.25" customHeight="1" x14ac:dyDescent="0.25">
      <c r="A463" s="615" t="s">
        <v>1942</v>
      </c>
      <c r="B463" s="616"/>
      <c r="C463" s="617"/>
      <c r="D463" s="617"/>
      <c r="E463" s="617"/>
      <c r="F463" s="1083"/>
      <c r="G463" s="1084"/>
      <c r="H463" s="1069"/>
      <c r="I463" s="618">
        <v>0</v>
      </c>
      <c r="J463" s="619">
        <v>0</v>
      </c>
      <c r="K463" s="618">
        <v>0</v>
      </c>
      <c r="L463" s="620">
        <v>0</v>
      </c>
      <c r="M463" s="621">
        <v>600000</v>
      </c>
      <c r="N463" s="620">
        <v>600000</v>
      </c>
    </row>
    <row r="464" spans="1:14" ht="11.25" customHeight="1" x14ac:dyDescent="0.25">
      <c r="A464" s="615" t="s">
        <v>1943</v>
      </c>
      <c r="B464" s="616"/>
      <c r="C464" s="617"/>
      <c r="D464" s="617"/>
      <c r="E464" s="617"/>
      <c r="F464" s="1083"/>
      <c r="G464" s="1084"/>
      <c r="H464" s="1069"/>
      <c r="I464" s="618">
        <v>0</v>
      </c>
      <c r="J464" s="619">
        <v>0</v>
      </c>
      <c r="K464" s="618">
        <v>0</v>
      </c>
      <c r="L464" s="620">
        <v>0</v>
      </c>
      <c r="M464" s="621">
        <v>400000</v>
      </c>
      <c r="N464" s="620">
        <v>400000</v>
      </c>
    </row>
    <row r="465" spans="1:14" ht="11.25" customHeight="1" x14ac:dyDescent="0.25">
      <c r="A465" s="615" t="s">
        <v>1944</v>
      </c>
      <c r="B465" s="616"/>
      <c r="C465" s="617"/>
      <c r="D465" s="617"/>
      <c r="E465" s="617"/>
      <c r="F465" s="1083"/>
      <c r="G465" s="1084"/>
      <c r="H465" s="1069"/>
      <c r="I465" s="618">
        <v>0</v>
      </c>
      <c r="J465" s="619">
        <v>0</v>
      </c>
      <c r="K465" s="618">
        <v>0</v>
      </c>
      <c r="L465" s="620">
        <v>0</v>
      </c>
      <c r="M465" s="621">
        <v>50000</v>
      </c>
      <c r="N465" s="620">
        <v>50000</v>
      </c>
    </row>
    <row r="466" spans="1:14" ht="11.25" customHeight="1" x14ac:dyDescent="0.25">
      <c r="A466" s="615" t="s">
        <v>1946</v>
      </c>
      <c r="B466" s="616"/>
      <c r="C466" s="617"/>
      <c r="D466" s="617"/>
      <c r="E466" s="617"/>
      <c r="F466" s="1083"/>
      <c r="G466" s="1084"/>
      <c r="H466" s="1069"/>
      <c r="I466" s="618">
        <v>0</v>
      </c>
      <c r="J466" s="619">
        <v>0</v>
      </c>
      <c r="K466" s="618">
        <v>0</v>
      </c>
      <c r="L466" s="620">
        <v>0</v>
      </c>
      <c r="M466" s="621">
        <v>300000</v>
      </c>
      <c r="N466" s="620">
        <v>300000</v>
      </c>
    </row>
    <row r="467" spans="1:14" ht="11.25" customHeight="1" x14ac:dyDescent="0.25">
      <c r="A467" s="615" t="s">
        <v>2042</v>
      </c>
      <c r="B467" s="616"/>
      <c r="C467" s="617"/>
      <c r="D467" s="617"/>
      <c r="E467" s="617"/>
      <c r="F467" s="1083"/>
      <c r="G467" s="1084"/>
      <c r="H467" s="1069"/>
      <c r="I467" s="618">
        <v>0</v>
      </c>
      <c r="J467" s="619">
        <v>0</v>
      </c>
      <c r="K467" s="618">
        <v>0</v>
      </c>
      <c r="L467" s="620">
        <v>0</v>
      </c>
      <c r="M467" s="621">
        <v>8000000</v>
      </c>
      <c r="N467" s="620">
        <v>8000000</v>
      </c>
    </row>
    <row r="468" spans="1:14" ht="11.25" customHeight="1" x14ac:dyDescent="0.25">
      <c r="A468" s="615" t="s">
        <v>2043</v>
      </c>
      <c r="B468" s="616"/>
      <c r="C468" s="617"/>
      <c r="D468" s="617"/>
      <c r="E468" s="617"/>
      <c r="F468" s="1083"/>
      <c r="G468" s="1084"/>
      <c r="H468" s="1069"/>
      <c r="I468" s="618">
        <v>0</v>
      </c>
      <c r="J468" s="619">
        <v>0</v>
      </c>
      <c r="K468" s="618">
        <v>0</v>
      </c>
      <c r="L468" s="620">
        <v>0</v>
      </c>
      <c r="M468" s="621">
        <v>5000000</v>
      </c>
      <c r="N468" s="620">
        <v>5000000</v>
      </c>
    </row>
    <row r="469" spans="1:14" ht="11.25" customHeight="1" x14ac:dyDescent="0.25">
      <c r="A469" s="615" t="s">
        <v>2066</v>
      </c>
      <c r="B469" s="616"/>
      <c r="C469" s="617"/>
      <c r="D469" s="617"/>
      <c r="E469" s="617"/>
      <c r="F469" s="1083"/>
      <c r="G469" s="1084"/>
      <c r="H469" s="1069"/>
      <c r="I469" s="618">
        <v>0</v>
      </c>
      <c r="J469" s="619">
        <v>230550</v>
      </c>
      <c r="K469" s="618">
        <v>0</v>
      </c>
      <c r="L469" s="620">
        <v>0</v>
      </c>
      <c r="M469" s="621">
        <v>12000000</v>
      </c>
      <c r="N469" s="620">
        <v>12000000</v>
      </c>
    </row>
    <row r="470" spans="1:14" ht="11.25" customHeight="1" x14ac:dyDescent="0.25">
      <c r="A470" s="615" t="s">
        <v>1951</v>
      </c>
      <c r="B470" s="616"/>
      <c r="C470" s="617"/>
      <c r="D470" s="617"/>
      <c r="E470" s="617"/>
      <c r="F470" s="1083"/>
      <c r="G470" s="1084"/>
      <c r="H470" s="1069"/>
      <c r="I470" s="618">
        <v>0</v>
      </c>
      <c r="J470" s="619">
        <v>0</v>
      </c>
      <c r="K470" s="618">
        <v>0</v>
      </c>
      <c r="L470" s="620">
        <v>0</v>
      </c>
      <c r="M470" s="621">
        <v>20000000</v>
      </c>
      <c r="N470" s="620">
        <v>20000000</v>
      </c>
    </row>
    <row r="471" spans="1:14" ht="11.25" customHeight="1" x14ac:dyDescent="0.25">
      <c r="A471" s="615" t="s">
        <v>1952</v>
      </c>
      <c r="B471" s="616"/>
      <c r="C471" s="617"/>
      <c r="D471" s="617"/>
      <c r="E471" s="617"/>
      <c r="F471" s="1083"/>
      <c r="G471" s="1084"/>
      <c r="H471" s="1069"/>
      <c r="I471" s="618">
        <v>0</v>
      </c>
      <c r="J471" s="619">
        <v>0</v>
      </c>
      <c r="K471" s="618">
        <v>0</v>
      </c>
      <c r="L471" s="620">
        <v>0</v>
      </c>
      <c r="M471" s="621">
        <v>3000000</v>
      </c>
      <c r="N471" s="620">
        <v>3000000</v>
      </c>
    </row>
    <row r="472" spans="1:14" ht="11.25" customHeight="1" x14ac:dyDescent="0.25">
      <c r="A472" s="615" t="s">
        <v>1953</v>
      </c>
      <c r="B472" s="616"/>
      <c r="C472" s="617"/>
      <c r="D472" s="617"/>
      <c r="E472" s="617"/>
      <c r="F472" s="1083"/>
      <c r="G472" s="1084"/>
      <c r="H472" s="1069"/>
      <c r="I472" s="618">
        <v>0</v>
      </c>
      <c r="J472" s="619">
        <v>0</v>
      </c>
      <c r="K472" s="618">
        <v>0</v>
      </c>
      <c r="L472" s="620">
        <v>0</v>
      </c>
      <c r="M472" s="621">
        <v>4000000</v>
      </c>
      <c r="N472" s="620">
        <v>4000000</v>
      </c>
    </row>
    <row r="473" spans="1:14" ht="11.25" customHeight="1" x14ac:dyDescent="0.25">
      <c r="A473" s="615" t="s">
        <v>1954</v>
      </c>
      <c r="B473" s="616"/>
      <c r="C473" s="617"/>
      <c r="D473" s="617"/>
      <c r="E473" s="617"/>
      <c r="F473" s="1083"/>
      <c r="G473" s="1084"/>
      <c r="H473" s="1069"/>
      <c r="I473" s="618">
        <v>0</v>
      </c>
      <c r="J473" s="619">
        <v>0</v>
      </c>
      <c r="K473" s="618">
        <v>0</v>
      </c>
      <c r="L473" s="620">
        <v>0</v>
      </c>
      <c r="M473" s="621">
        <v>6000000</v>
      </c>
      <c r="N473" s="620">
        <v>6000000</v>
      </c>
    </row>
    <row r="474" spans="1:14" ht="11.25" customHeight="1" x14ac:dyDescent="0.25">
      <c r="A474" s="615" t="s">
        <v>1955</v>
      </c>
      <c r="B474" s="616"/>
      <c r="C474" s="617"/>
      <c r="D474" s="617"/>
      <c r="E474" s="617"/>
      <c r="F474" s="1083"/>
      <c r="G474" s="1084"/>
      <c r="H474" s="1069"/>
      <c r="I474" s="618">
        <v>0</v>
      </c>
      <c r="J474" s="619">
        <v>0</v>
      </c>
      <c r="K474" s="618">
        <v>0</v>
      </c>
      <c r="L474" s="620">
        <v>0</v>
      </c>
      <c r="M474" s="621">
        <v>550000</v>
      </c>
      <c r="N474" s="620">
        <v>550000</v>
      </c>
    </row>
    <row r="475" spans="1:14" ht="11.25" customHeight="1" x14ac:dyDescent="0.25">
      <c r="A475" s="615" t="s">
        <v>2051</v>
      </c>
      <c r="B475" s="616"/>
      <c r="C475" s="617"/>
      <c r="D475" s="617"/>
      <c r="E475" s="617"/>
      <c r="F475" s="1083"/>
      <c r="G475" s="1084"/>
      <c r="H475" s="1069"/>
      <c r="I475" s="618">
        <v>0</v>
      </c>
      <c r="J475" s="619">
        <v>0</v>
      </c>
      <c r="K475" s="618">
        <v>0</v>
      </c>
      <c r="L475" s="620">
        <v>0</v>
      </c>
      <c r="M475" s="621">
        <v>600000</v>
      </c>
      <c r="N475" s="620">
        <v>600000</v>
      </c>
    </row>
    <row r="476" spans="1:14" ht="11.25" customHeight="1" x14ac:dyDescent="0.25">
      <c r="A476" s="615" t="s">
        <v>1956</v>
      </c>
      <c r="B476" s="616"/>
      <c r="C476" s="617"/>
      <c r="D476" s="617"/>
      <c r="E476" s="617"/>
      <c r="F476" s="1083"/>
      <c r="G476" s="1084"/>
      <c r="H476" s="1069"/>
      <c r="I476" s="618">
        <v>0</v>
      </c>
      <c r="J476" s="619">
        <v>0</v>
      </c>
      <c r="K476" s="618">
        <v>0</v>
      </c>
      <c r="L476" s="620">
        <v>0</v>
      </c>
      <c r="M476" s="621">
        <v>2200000</v>
      </c>
      <c r="N476" s="620">
        <v>2200000</v>
      </c>
    </row>
    <row r="477" spans="1:14" ht="11.25" customHeight="1" x14ac:dyDescent="0.25">
      <c r="A477" s="615" t="s">
        <v>1957</v>
      </c>
      <c r="B477" s="616"/>
      <c r="C477" s="617"/>
      <c r="D477" s="617"/>
      <c r="E477" s="617"/>
      <c r="F477" s="1083"/>
      <c r="G477" s="1084"/>
      <c r="H477" s="1069"/>
      <c r="I477" s="618">
        <v>0</v>
      </c>
      <c r="J477" s="619">
        <v>0</v>
      </c>
      <c r="K477" s="618">
        <v>0</v>
      </c>
      <c r="L477" s="620">
        <v>0</v>
      </c>
      <c r="M477" s="621">
        <v>800000</v>
      </c>
      <c r="N477" s="620">
        <v>800000</v>
      </c>
    </row>
    <row r="478" spans="1:14" ht="11.25" customHeight="1" x14ac:dyDescent="0.25">
      <c r="A478" s="615" t="s">
        <v>2056</v>
      </c>
      <c r="B478" s="616"/>
      <c r="C478" s="617"/>
      <c r="D478" s="617"/>
      <c r="E478" s="617"/>
      <c r="F478" s="1083"/>
      <c r="G478" s="1084"/>
      <c r="H478" s="1069"/>
      <c r="I478" s="618">
        <v>0</v>
      </c>
      <c r="J478" s="619">
        <v>0</v>
      </c>
      <c r="K478" s="618">
        <v>0</v>
      </c>
      <c r="L478" s="620">
        <v>0</v>
      </c>
      <c r="M478" s="621">
        <v>500000</v>
      </c>
      <c r="N478" s="620">
        <v>500000</v>
      </c>
    </row>
    <row r="479" spans="1:14" ht="11.25" customHeight="1" x14ac:dyDescent="0.25">
      <c r="A479" s="615" t="s">
        <v>1958</v>
      </c>
      <c r="B479" s="616"/>
      <c r="C479" s="617"/>
      <c r="D479" s="617"/>
      <c r="E479" s="617"/>
      <c r="F479" s="1083"/>
      <c r="G479" s="1084"/>
      <c r="H479" s="1069"/>
      <c r="I479" s="618">
        <v>0</v>
      </c>
      <c r="J479" s="619">
        <v>0</v>
      </c>
      <c r="K479" s="618">
        <v>0</v>
      </c>
      <c r="L479" s="620">
        <v>0</v>
      </c>
      <c r="M479" s="621">
        <v>2000000</v>
      </c>
      <c r="N479" s="620">
        <v>2000000</v>
      </c>
    </row>
    <row r="480" spans="1:14" ht="11.25" customHeight="1" x14ac:dyDescent="0.25">
      <c r="A480" s="615" t="s">
        <v>1959</v>
      </c>
      <c r="B480" s="616"/>
      <c r="C480" s="617"/>
      <c r="D480" s="617"/>
      <c r="E480" s="617"/>
      <c r="F480" s="1083"/>
      <c r="G480" s="1084"/>
      <c r="H480" s="1069"/>
      <c r="I480" s="618">
        <v>0</v>
      </c>
      <c r="J480" s="619">
        <v>0</v>
      </c>
      <c r="K480" s="618">
        <v>0</v>
      </c>
      <c r="L480" s="620">
        <v>0</v>
      </c>
      <c r="M480" s="621">
        <v>4000000</v>
      </c>
      <c r="N480" s="620">
        <v>4000000</v>
      </c>
    </row>
    <row r="481" spans="1:14" ht="11.25" customHeight="1" x14ac:dyDescent="0.25">
      <c r="A481" s="615" t="s">
        <v>1960</v>
      </c>
      <c r="B481" s="616"/>
      <c r="C481" s="617"/>
      <c r="D481" s="617"/>
      <c r="E481" s="617"/>
      <c r="F481" s="1083"/>
      <c r="G481" s="1084"/>
      <c r="H481" s="1069"/>
      <c r="I481" s="618">
        <v>0</v>
      </c>
      <c r="J481" s="619">
        <v>0</v>
      </c>
      <c r="K481" s="618">
        <v>0</v>
      </c>
      <c r="L481" s="620">
        <v>0</v>
      </c>
      <c r="M481" s="621">
        <v>3000000</v>
      </c>
      <c r="N481" s="620">
        <v>3000000</v>
      </c>
    </row>
    <row r="482" spans="1:14" ht="11.25" customHeight="1" x14ac:dyDescent="0.25">
      <c r="A482" s="615" t="s">
        <v>2060</v>
      </c>
      <c r="B482" s="616"/>
      <c r="C482" s="617"/>
      <c r="D482" s="617"/>
      <c r="E482" s="617"/>
      <c r="F482" s="1083"/>
      <c r="G482" s="1084"/>
      <c r="H482" s="1069"/>
      <c r="I482" s="618">
        <v>0</v>
      </c>
      <c r="J482" s="619">
        <v>0</v>
      </c>
      <c r="K482" s="618">
        <v>0</v>
      </c>
      <c r="L482" s="620">
        <v>0</v>
      </c>
      <c r="M482" s="621">
        <v>1500000</v>
      </c>
      <c r="N482" s="620">
        <v>1500000</v>
      </c>
    </row>
    <row r="483" spans="1:14" ht="11.25" customHeight="1" x14ac:dyDescent="0.25">
      <c r="A483" s="615" t="s">
        <v>1961</v>
      </c>
      <c r="B483" s="616"/>
      <c r="C483" s="617"/>
      <c r="D483" s="617"/>
      <c r="E483" s="617"/>
      <c r="F483" s="1083"/>
      <c r="G483" s="1084"/>
      <c r="H483" s="1069"/>
      <c r="I483" s="618">
        <v>0</v>
      </c>
      <c r="J483" s="619">
        <v>0</v>
      </c>
      <c r="K483" s="618">
        <v>0</v>
      </c>
      <c r="L483" s="620">
        <v>0</v>
      </c>
      <c r="M483" s="621">
        <v>500000</v>
      </c>
      <c r="N483" s="620">
        <v>500000</v>
      </c>
    </row>
    <row r="484" spans="1:14" ht="11.25" customHeight="1" x14ac:dyDescent="0.25">
      <c r="A484" s="615" t="s">
        <v>1962</v>
      </c>
      <c r="B484" s="616"/>
      <c r="C484" s="617"/>
      <c r="D484" s="617"/>
      <c r="E484" s="617"/>
      <c r="F484" s="1083"/>
      <c r="G484" s="1084"/>
      <c r="H484" s="1069"/>
      <c r="I484" s="618">
        <v>0</v>
      </c>
      <c r="J484" s="619">
        <v>0</v>
      </c>
      <c r="K484" s="618">
        <v>0</v>
      </c>
      <c r="L484" s="620">
        <v>0</v>
      </c>
      <c r="M484" s="621">
        <v>24395000</v>
      </c>
      <c r="N484" s="620">
        <v>24395000</v>
      </c>
    </row>
    <row r="485" spans="1:14" ht="11.25" customHeight="1" x14ac:dyDescent="0.25">
      <c r="A485" s="615" t="s">
        <v>1963</v>
      </c>
      <c r="B485" s="616"/>
      <c r="C485" s="617"/>
      <c r="D485" s="617"/>
      <c r="E485" s="617"/>
      <c r="F485" s="1083"/>
      <c r="G485" s="1084"/>
      <c r="H485" s="1069"/>
      <c r="I485" s="618">
        <v>0</v>
      </c>
      <c r="J485" s="619">
        <v>0</v>
      </c>
      <c r="K485" s="618">
        <v>0</v>
      </c>
      <c r="L485" s="620">
        <v>0</v>
      </c>
      <c r="M485" s="621">
        <v>23199000</v>
      </c>
      <c r="N485" s="620">
        <v>23199000</v>
      </c>
    </row>
    <row r="486" spans="1:14" ht="11.25" customHeight="1" x14ac:dyDescent="0.25">
      <c r="A486" s="615" t="s">
        <v>1964</v>
      </c>
      <c r="B486" s="616"/>
      <c r="C486" s="617"/>
      <c r="D486" s="617"/>
      <c r="E486" s="617"/>
      <c r="F486" s="1083"/>
      <c r="G486" s="1084"/>
      <c r="H486" s="1069"/>
      <c r="I486" s="618">
        <v>0</v>
      </c>
      <c r="J486" s="619">
        <v>0</v>
      </c>
      <c r="K486" s="618">
        <v>0</v>
      </c>
      <c r="L486" s="620">
        <v>0</v>
      </c>
      <c r="M486" s="621">
        <v>15466000</v>
      </c>
      <c r="N486" s="620">
        <v>15466000</v>
      </c>
    </row>
    <row r="487" spans="1:14" ht="11.25" customHeight="1" x14ac:dyDescent="0.25">
      <c r="A487" s="615" t="s">
        <v>1965</v>
      </c>
      <c r="B487" s="616"/>
      <c r="C487" s="617"/>
      <c r="D487" s="617"/>
      <c r="E487" s="617"/>
      <c r="F487" s="1083"/>
      <c r="G487" s="1084"/>
      <c r="H487" s="1069"/>
      <c r="I487" s="618">
        <v>0</v>
      </c>
      <c r="J487" s="619">
        <v>0</v>
      </c>
      <c r="K487" s="618">
        <v>0</v>
      </c>
      <c r="L487" s="620">
        <v>0</v>
      </c>
      <c r="M487" s="621">
        <v>7000000</v>
      </c>
      <c r="N487" s="620">
        <v>7000000</v>
      </c>
    </row>
    <row r="488" spans="1:14" ht="11.25" customHeight="1" x14ac:dyDescent="0.25">
      <c r="A488" s="615" t="s">
        <v>1966</v>
      </c>
      <c r="B488" s="616"/>
      <c r="C488" s="617"/>
      <c r="D488" s="617"/>
      <c r="E488" s="617"/>
      <c r="F488" s="1083"/>
      <c r="G488" s="1084"/>
      <c r="H488" s="1069"/>
      <c r="I488" s="618">
        <v>0</v>
      </c>
      <c r="J488" s="619">
        <v>0</v>
      </c>
      <c r="K488" s="618">
        <v>0</v>
      </c>
      <c r="L488" s="620">
        <v>0</v>
      </c>
      <c r="M488" s="621">
        <v>0</v>
      </c>
      <c r="N488" s="620">
        <v>0</v>
      </c>
    </row>
    <row r="489" spans="1:14" ht="11.25" customHeight="1" x14ac:dyDescent="0.25">
      <c r="A489" s="615" t="s">
        <v>1967</v>
      </c>
      <c r="B489" s="616"/>
      <c r="C489" s="617"/>
      <c r="D489" s="617"/>
      <c r="E489" s="617"/>
      <c r="F489" s="1083"/>
      <c r="G489" s="1084"/>
      <c r="H489" s="1069"/>
      <c r="I489" s="618">
        <v>0</v>
      </c>
      <c r="J489" s="619">
        <v>1320200</v>
      </c>
      <c r="K489" s="618">
        <v>0</v>
      </c>
      <c r="L489" s="620">
        <v>0</v>
      </c>
      <c r="M489" s="621">
        <v>0</v>
      </c>
      <c r="N489" s="620">
        <v>0</v>
      </c>
    </row>
    <row r="490" spans="1:14" ht="11.25" customHeight="1" x14ac:dyDescent="0.25">
      <c r="A490" s="615" t="s">
        <v>2067</v>
      </c>
      <c r="B490" s="616"/>
      <c r="C490" s="617"/>
      <c r="D490" s="617"/>
      <c r="E490" s="617"/>
      <c r="F490" s="1083"/>
      <c r="G490" s="1084"/>
      <c r="H490" s="1069"/>
      <c r="I490" s="618">
        <v>0</v>
      </c>
      <c r="J490" s="619">
        <v>1638260</v>
      </c>
      <c r="K490" s="618">
        <v>0</v>
      </c>
      <c r="L490" s="620">
        <v>0</v>
      </c>
      <c r="M490" s="621">
        <v>0</v>
      </c>
      <c r="N490" s="620">
        <v>0</v>
      </c>
    </row>
    <row r="491" spans="1:14" ht="11.25" customHeight="1" x14ac:dyDescent="0.25">
      <c r="A491" s="615" t="s">
        <v>1972</v>
      </c>
      <c r="B491" s="616"/>
      <c r="C491" s="617"/>
      <c r="D491" s="617"/>
      <c r="E491" s="617"/>
      <c r="F491" s="1083"/>
      <c r="G491" s="1084"/>
      <c r="H491" s="1069"/>
      <c r="I491" s="618">
        <v>0</v>
      </c>
      <c r="J491" s="619">
        <v>3935960</v>
      </c>
      <c r="K491" s="618">
        <v>0</v>
      </c>
      <c r="L491" s="620">
        <v>0</v>
      </c>
      <c r="M491" s="621">
        <v>0</v>
      </c>
      <c r="N491" s="620">
        <v>0</v>
      </c>
    </row>
    <row r="492" spans="1:14" ht="11.25" customHeight="1" x14ac:dyDescent="0.25">
      <c r="A492" s="615" t="s">
        <v>1981</v>
      </c>
      <c r="B492" s="616"/>
      <c r="C492" s="617"/>
      <c r="D492" s="617"/>
      <c r="E492" s="617"/>
      <c r="F492" s="1083"/>
      <c r="G492" s="1084"/>
      <c r="H492" s="1069"/>
      <c r="I492" s="618">
        <v>0</v>
      </c>
      <c r="J492" s="619">
        <v>269331</v>
      </c>
      <c r="K492" s="618">
        <v>0</v>
      </c>
      <c r="L492" s="620">
        <v>0</v>
      </c>
      <c r="M492" s="621">
        <v>0</v>
      </c>
      <c r="N492" s="620">
        <v>0</v>
      </c>
    </row>
    <row r="493" spans="1:14" ht="11.25" customHeight="1" x14ac:dyDescent="0.25">
      <c r="A493" s="615" t="s">
        <v>1982</v>
      </c>
      <c r="B493" s="616"/>
      <c r="C493" s="617"/>
      <c r="D493" s="617"/>
      <c r="E493" s="617"/>
      <c r="F493" s="1083"/>
      <c r="G493" s="1084"/>
      <c r="H493" s="1069"/>
      <c r="I493" s="618">
        <v>0</v>
      </c>
      <c r="J493" s="619">
        <v>922387</v>
      </c>
      <c r="K493" s="618">
        <v>0</v>
      </c>
      <c r="L493" s="620">
        <v>0</v>
      </c>
      <c r="M493" s="621">
        <v>0</v>
      </c>
      <c r="N493" s="620">
        <v>0</v>
      </c>
    </row>
    <row r="494" spans="1:14" ht="11.25" customHeight="1" x14ac:dyDescent="0.25">
      <c r="A494" s="615" t="s">
        <v>1983</v>
      </c>
      <c r="B494" s="616"/>
      <c r="C494" s="617"/>
      <c r="D494" s="617"/>
      <c r="E494" s="617"/>
      <c r="F494" s="1083"/>
      <c r="G494" s="1084"/>
      <c r="H494" s="1069"/>
      <c r="I494" s="618">
        <v>0</v>
      </c>
      <c r="J494" s="619">
        <v>4000500</v>
      </c>
      <c r="K494" s="618">
        <v>0</v>
      </c>
      <c r="L494" s="620">
        <v>0</v>
      </c>
      <c r="M494" s="621">
        <v>0</v>
      </c>
      <c r="N494" s="620">
        <v>0</v>
      </c>
    </row>
    <row r="495" spans="1:14" ht="11.25" customHeight="1" x14ac:dyDescent="0.25">
      <c r="A495" s="615" t="s">
        <v>1985</v>
      </c>
      <c r="B495" s="616"/>
      <c r="C495" s="617"/>
      <c r="D495" s="617"/>
      <c r="E495" s="617"/>
      <c r="F495" s="1083"/>
      <c r="G495" s="1084"/>
      <c r="H495" s="1069"/>
      <c r="I495" s="618">
        <v>0</v>
      </c>
      <c r="J495" s="619">
        <v>798661</v>
      </c>
      <c r="K495" s="618">
        <v>0</v>
      </c>
      <c r="L495" s="620">
        <v>0</v>
      </c>
      <c r="M495" s="621">
        <v>0</v>
      </c>
      <c r="N495" s="620">
        <v>0</v>
      </c>
    </row>
    <row r="496" spans="1:14" ht="11.25" customHeight="1" x14ac:dyDescent="0.25">
      <c r="A496" s="615" t="s">
        <v>1986</v>
      </c>
      <c r="B496" s="616"/>
      <c r="C496" s="617"/>
      <c r="D496" s="617"/>
      <c r="E496" s="617"/>
      <c r="F496" s="1083"/>
      <c r="G496" s="1084"/>
      <c r="H496" s="1069"/>
      <c r="I496" s="618">
        <v>0</v>
      </c>
      <c r="J496" s="619">
        <v>468000</v>
      </c>
      <c r="K496" s="618">
        <v>0</v>
      </c>
      <c r="L496" s="620">
        <v>0</v>
      </c>
      <c r="M496" s="621">
        <v>0</v>
      </c>
      <c r="N496" s="620">
        <v>0</v>
      </c>
    </row>
    <row r="497" spans="1:14" ht="11.25" customHeight="1" x14ac:dyDescent="0.25">
      <c r="A497" s="615" t="s">
        <v>1986</v>
      </c>
      <c r="B497" s="616"/>
      <c r="C497" s="617"/>
      <c r="D497" s="617"/>
      <c r="E497" s="617"/>
      <c r="F497" s="1083"/>
      <c r="G497" s="1084"/>
      <c r="H497" s="1069"/>
      <c r="I497" s="618">
        <v>0</v>
      </c>
      <c r="J497" s="619">
        <v>29970</v>
      </c>
      <c r="K497" s="618">
        <v>0</v>
      </c>
      <c r="L497" s="620">
        <v>0</v>
      </c>
      <c r="M497" s="621">
        <v>0</v>
      </c>
      <c r="N497" s="620">
        <v>0</v>
      </c>
    </row>
    <row r="498" spans="1:14" ht="11.25" customHeight="1" x14ac:dyDescent="0.25">
      <c r="A498" s="615" t="s">
        <v>1987</v>
      </c>
      <c r="B498" s="616"/>
      <c r="C498" s="617"/>
      <c r="D498" s="617"/>
      <c r="E498" s="617"/>
      <c r="F498" s="1083"/>
      <c r="G498" s="1084"/>
      <c r="H498" s="1069"/>
      <c r="I498" s="618">
        <v>0</v>
      </c>
      <c r="J498" s="619">
        <v>1885371</v>
      </c>
      <c r="K498" s="618">
        <v>0</v>
      </c>
      <c r="L498" s="620">
        <v>0</v>
      </c>
      <c r="M498" s="621">
        <v>0</v>
      </c>
      <c r="N498" s="620">
        <v>0</v>
      </c>
    </row>
    <row r="499" spans="1:14" ht="11.25" customHeight="1" x14ac:dyDescent="0.25">
      <c r="A499" s="615" t="s">
        <v>1987</v>
      </c>
      <c r="B499" s="616"/>
      <c r="C499" s="617"/>
      <c r="D499" s="617"/>
      <c r="E499" s="617"/>
      <c r="F499" s="1083"/>
      <c r="G499" s="1084"/>
      <c r="H499" s="1069"/>
      <c r="I499" s="618">
        <v>0</v>
      </c>
      <c r="J499" s="619">
        <v>33601</v>
      </c>
      <c r="K499" s="618">
        <v>0</v>
      </c>
      <c r="L499" s="620">
        <v>0</v>
      </c>
      <c r="M499" s="621">
        <v>0</v>
      </c>
      <c r="N499" s="620">
        <v>0</v>
      </c>
    </row>
    <row r="500" spans="1:14" ht="11.25" customHeight="1" x14ac:dyDescent="0.25">
      <c r="A500" s="615" t="s">
        <v>1988</v>
      </c>
      <c r="B500" s="616"/>
      <c r="C500" s="617"/>
      <c r="D500" s="617"/>
      <c r="E500" s="617"/>
      <c r="F500" s="1083"/>
      <c r="G500" s="1084"/>
      <c r="H500" s="1069"/>
      <c r="I500" s="618">
        <v>0</v>
      </c>
      <c r="J500" s="619">
        <v>778268</v>
      </c>
      <c r="K500" s="618">
        <v>0</v>
      </c>
      <c r="L500" s="620">
        <v>0</v>
      </c>
      <c r="M500" s="621">
        <v>0</v>
      </c>
      <c r="N500" s="620">
        <v>0</v>
      </c>
    </row>
    <row r="501" spans="1:14" ht="11.25" customHeight="1" x14ac:dyDescent="0.25">
      <c r="A501" s="615" t="s">
        <v>1990</v>
      </c>
      <c r="B501" s="616"/>
      <c r="C501" s="617"/>
      <c r="D501" s="617"/>
      <c r="E501" s="617"/>
      <c r="F501" s="1083"/>
      <c r="G501" s="1084"/>
      <c r="H501" s="1069"/>
      <c r="I501" s="618">
        <v>0</v>
      </c>
      <c r="J501" s="619">
        <v>5705700</v>
      </c>
      <c r="K501" s="618">
        <v>0</v>
      </c>
      <c r="L501" s="620">
        <v>0</v>
      </c>
      <c r="M501" s="621">
        <v>0</v>
      </c>
      <c r="N501" s="620">
        <v>0</v>
      </c>
    </row>
    <row r="502" spans="1:14" ht="11.25" customHeight="1" x14ac:dyDescent="0.25">
      <c r="A502" s="615" t="s">
        <v>2068</v>
      </c>
      <c r="B502" s="616"/>
      <c r="C502" s="617"/>
      <c r="D502" s="617"/>
      <c r="E502" s="617"/>
      <c r="F502" s="1083"/>
      <c r="G502" s="1084"/>
      <c r="H502" s="1069"/>
      <c r="I502" s="618">
        <v>0</v>
      </c>
      <c r="J502" s="619">
        <v>595360</v>
      </c>
      <c r="K502" s="618">
        <v>0</v>
      </c>
      <c r="L502" s="620">
        <v>0</v>
      </c>
      <c r="M502" s="621">
        <v>0</v>
      </c>
      <c r="N502" s="620">
        <v>0</v>
      </c>
    </row>
    <row r="503" spans="1:14" ht="11.25" customHeight="1" x14ac:dyDescent="0.25">
      <c r="A503" s="615" t="s">
        <v>1996</v>
      </c>
      <c r="B503" s="616"/>
      <c r="C503" s="617"/>
      <c r="D503" s="617"/>
      <c r="E503" s="617"/>
      <c r="F503" s="1083"/>
      <c r="G503" s="1084"/>
      <c r="H503" s="1069"/>
      <c r="I503" s="618">
        <v>0</v>
      </c>
      <c r="J503" s="619">
        <v>270820</v>
      </c>
      <c r="K503" s="618">
        <v>0</v>
      </c>
      <c r="L503" s="620">
        <v>0</v>
      </c>
      <c r="M503" s="621">
        <v>0</v>
      </c>
      <c r="N503" s="620">
        <v>0</v>
      </c>
    </row>
    <row r="504" spans="1:14" ht="11.25" customHeight="1" x14ac:dyDescent="0.25">
      <c r="A504" s="615" t="s">
        <v>1997</v>
      </c>
      <c r="B504" s="616"/>
      <c r="C504" s="617"/>
      <c r="D504" s="617"/>
      <c r="E504" s="617"/>
      <c r="F504" s="1083"/>
      <c r="G504" s="1084"/>
      <c r="H504" s="1069"/>
      <c r="I504" s="618">
        <v>0</v>
      </c>
      <c r="J504" s="619">
        <v>458820</v>
      </c>
      <c r="K504" s="618">
        <v>0</v>
      </c>
      <c r="L504" s="620">
        <v>0</v>
      </c>
      <c r="M504" s="621">
        <v>0</v>
      </c>
      <c r="N504" s="620">
        <v>0</v>
      </c>
    </row>
    <row r="505" spans="1:14" ht="11.25" customHeight="1" x14ac:dyDescent="0.25">
      <c r="A505" s="615" t="s">
        <v>1998</v>
      </c>
      <c r="B505" s="616"/>
      <c r="C505" s="617"/>
      <c r="D505" s="617"/>
      <c r="E505" s="617"/>
      <c r="F505" s="1083"/>
      <c r="G505" s="1084"/>
      <c r="H505" s="1069"/>
      <c r="I505" s="618">
        <v>0</v>
      </c>
      <c r="J505" s="619">
        <v>5701200</v>
      </c>
      <c r="K505" s="618">
        <v>0</v>
      </c>
      <c r="L505" s="620">
        <v>0</v>
      </c>
      <c r="M505" s="621">
        <v>0</v>
      </c>
      <c r="N505" s="620">
        <v>0</v>
      </c>
    </row>
    <row r="506" spans="1:14" ht="11.25" customHeight="1" x14ac:dyDescent="0.25">
      <c r="A506" s="615" t="s">
        <v>2001</v>
      </c>
      <c r="B506" s="616"/>
      <c r="C506" s="617"/>
      <c r="D506" s="617"/>
      <c r="E506" s="617"/>
      <c r="F506" s="1083"/>
      <c r="G506" s="1084"/>
      <c r="H506" s="1069"/>
      <c r="I506" s="618">
        <v>0</v>
      </c>
      <c r="J506" s="619">
        <v>20840200</v>
      </c>
      <c r="K506" s="618">
        <v>0</v>
      </c>
      <c r="L506" s="620">
        <v>0</v>
      </c>
      <c r="M506" s="621">
        <v>0</v>
      </c>
      <c r="N506" s="620">
        <v>0</v>
      </c>
    </row>
    <row r="507" spans="1:14" ht="11.25" customHeight="1" x14ac:dyDescent="0.25">
      <c r="A507" s="615" t="s">
        <v>2002</v>
      </c>
      <c r="B507" s="616"/>
      <c r="C507" s="617"/>
      <c r="D507" s="617"/>
      <c r="E507" s="617"/>
      <c r="F507" s="1083"/>
      <c r="G507" s="1084"/>
      <c r="H507" s="1069"/>
      <c r="I507" s="618">
        <v>0</v>
      </c>
      <c r="J507" s="619">
        <v>324118</v>
      </c>
      <c r="K507" s="618">
        <v>0</v>
      </c>
      <c r="L507" s="620">
        <v>0</v>
      </c>
      <c r="M507" s="621">
        <v>0</v>
      </c>
      <c r="N507" s="620">
        <v>0</v>
      </c>
    </row>
    <row r="508" spans="1:14" ht="11.25" customHeight="1" x14ac:dyDescent="0.25">
      <c r="A508" s="615" t="s">
        <v>2002</v>
      </c>
      <c r="B508" s="616"/>
      <c r="C508" s="617"/>
      <c r="D508" s="617"/>
      <c r="E508" s="617"/>
      <c r="F508" s="1083"/>
      <c r="G508" s="1084"/>
      <c r="H508" s="1069"/>
      <c r="I508" s="618">
        <v>0</v>
      </c>
      <c r="J508" s="619">
        <v>14152</v>
      </c>
      <c r="K508" s="618">
        <v>0</v>
      </c>
      <c r="L508" s="620">
        <v>0</v>
      </c>
      <c r="M508" s="621">
        <v>0</v>
      </c>
      <c r="N508" s="620">
        <v>0</v>
      </c>
    </row>
    <row r="509" spans="1:14" ht="11.25" customHeight="1" x14ac:dyDescent="0.25">
      <c r="A509" s="615" t="s">
        <v>2003</v>
      </c>
      <c r="B509" s="616"/>
      <c r="C509" s="617"/>
      <c r="D509" s="617"/>
      <c r="E509" s="617"/>
      <c r="F509" s="1083"/>
      <c r="G509" s="1084"/>
      <c r="H509" s="1069"/>
      <c r="I509" s="618">
        <v>0</v>
      </c>
      <c r="J509" s="619">
        <v>221010</v>
      </c>
      <c r="K509" s="618">
        <v>0</v>
      </c>
      <c r="L509" s="620">
        <v>0</v>
      </c>
      <c r="M509" s="621">
        <v>0</v>
      </c>
      <c r="N509" s="620">
        <v>0</v>
      </c>
    </row>
    <row r="510" spans="1:14" ht="11.25" customHeight="1" x14ac:dyDescent="0.25">
      <c r="A510" s="615" t="s">
        <v>2004</v>
      </c>
      <c r="B510" s="616"/>
      <c r="C510" s="617"/>
      <c r="D510" s="617"/>
      <c r="E510" s="617"/>
      <c r="F510" s="1083"/>
      <c r="G510" s="1084"/>
      <c r="H510" s="1069"/>
      <c r="I510" s="618">
        <v>0</v>
      </c>
      <c r="J510" s="619">
        <v>18857</v>
      </c>
      <c r="K510" s="618">
        <v>0</v>
      </c>
      <c r="L510" s="620">
        <v>0</v>
      </c>
      <c r="M510" s="621">
        <v>0</v>
      </c>
      <c r="N510" s="620">
        <v>0</v>
      </c>
    </row>
    <row r="511" spans="1:14" ht="11.25" customHeight="1" x14ac:dyDescent="0.25">
      <c r="A511" s="615" t="s">
        <v>2005</v>
      </c>
      <c r="B511" s="616"/>
      <c r="C511" s="617"/>
      <c r="D511" s="617"/>
      <c r="E511" s="617"/>
      <c r="F511" s="1083"/>
      <c r="G511" s="1084"/>
      <c r="H511" s="1069"/>
      <c r="I511" s="618">
        <v>0</v>
      </c>
      <c r="J511" s="619">
        <v>10214380</v>
      </c>
      <c r="K511" s="618">
        <v>0</v>
      </c>
      <c r="L511" s="620">
        <v>0</v>
      </c>
      <c r="M511" s="621">
        <v>0</v>
      </c>
      <c r="N511" s="620">
        <v>0</v>
      </c>
    </row>
    <row r="512" spans="1:14" ht="11.25" customHeight="1" x14ac:dyDescent="0.25">
      <c r="A512" s="615" t="s">
        <v>2006</v>
      </c>
      <c r="B512" s="616"/>
      <c r="C512" s="617"/>
      <c r="D512" s="617"/>
      <c r="E512" s="617"/>
      <c r="F512" s="1083"/>
      <c r="G512" s="1084"/>
      <c r="H512" s="1069"/>
      <c r="I512" s="618">
        <v>0</v>
      </c>
      <c r="J512" s="619">
        <v>8119720</v>
      </c>
      <c r="K512" s="618">
        <v>0</v>
      </c>
      <c r="L512" s="620">
        <v>0</v>
      </c>
      <c r="M512" s="621">
        <v>0</v>
      </c>
      <c r="N512" s="620">
        <v>0</v>
      </c>
    </row>
    <row r="513" spans="1:14" ht="11.25" customHeight="1" x14ac:dyDescent="0.25">
      <c r="A513" s="615" t="s">
        <v>2007</v>
      </c>
      <c r="B513" s="616"/>
      <c r="C513" s="617"/>
      <c r="D513" s="617"/>
      <c r="E513" s="617"/>
      <c r="F513" s="1083"/>
      <c r="G513" s="1084"/>
      <c r="H513" s="1069"/>
      <c r="I513" s="618">
        <v>0</v>
      </c>
      <c r="J513" s="619">
        <v>703307</v>
      </c>
      <c r="K513" s="618">
        <v>0</v>
      </c>
      <c r="L513" s="620">
        <v>0</v>
      </c>
      <c r="M513" s="621">
        <v>0</v>
      </c>
      <c r="N513" s="620">
        <v>0</v>
      </c>
    </row>
    <row r="514" spans="1:14" ht="11.25" customHeight="1" x14ac:dyDescent="0.25">
      <c r="A514" s="615" t="s">
        <v>2007</v>
      </c>
      <c r="B514" s="616"/>
      <c r="C514" s="617"/>
      <c r="D514" s="617"/>
      <c r="E514" s="617"/>
      <c r="F514" s="1083"/>
      <c r="G514" s="1084"/>
      <c r="H514" s="1069"/>
      <c r="I514" s="618">
        <v>0</v>
      </c>
      <c r="J514" s="619">
        <v>657903</v>
      </c>
      <c r="K514" s="618">
        <v>0</v>
      </c>
      <c r="L514" s="620">
        <v>0</v>
      </c>
      <c r="M514" s="621">
        <v>0</v>
      </c>
      <c r="N514" s="620">
        <v>0</v>
      </c>
    </row>
    <row r="515" spans="1:14" ht="11.25" customHeight="1" x14ac:dyDescent="0.25">
      <c r="A515" s="615" t="s">
        <v>2008</v>
      </c>
      <c r="B515" s="616"/>
      <c r="C515" s="617"/>
      <c r="D515" s="617"/>
      <c r="E515" s="617"/>
      <c r="F515" s="1083"/>
      <c r="G515" s="1084"/>
      <c r="H515" s="1069"/>
      <c r="I515" s="618">
        <v>0</v>
      </c>
      <c r="J515" s="619">
        <v>13496790</v>
      </c>
      <c r="K515" s="618">
        <v>0</v>
      </c>
      <c r="L515" s="620">
        <v>0</v>
      </c>
      <c r="M515" s="621">
        <v>0</v>
      </c>
      <c r="N515" s="620">
        <v>0</v>
      </c>
    </row>
    <row r="516" spans="1:14" ht="11.25" customHeight="1" x14ac:dyDescent="0.25">
      <c r="A516" s="615" t="s">
        <v>2009</v>
      </c>
      <c r="B516" s="616"/>
      <c r="C516" s="617"/>
      <c r="D516" s="617"/>
      <c r="E516" s="617"/>
      <c r="F516" s="1083"/>
      <c r="G516" s="1084"/>
      <c r="H516" s="1069"/>
      <c r="I516" s="618">
        <v>0</v>
      </c>
      <c r="J516" s="619">
        <v>5687920</v>
      </c>
      <c r="K516" s="618">
        <v>0</v>
      </c>
      <c r="L516" s="620">
        <v>0</v>
      </c>
      <c r="M516" s="621">
        <v>0</v>
      </c>
      <c r="N516" s="620">
        <v>0</v>
      </c>
    </row>
    <row r="517" spans="1:14" ht="11.25" customHeight="1" x14ac:dyDescent="0.25">
      <c r="A517" s="615" t="s">
        <v>2011</v>
      </c>
      <c r="B517" s="616"/>
      <c r="C517" s="617"/>
      <c r="D517" s="617"/>
      <c r="E517" s="617"/>
      <c r="F517" s="1083"/>
      <c r="G517" s="1084"/>
      <c r="H517" s="1069"/>
      <c r="I517" s="618">
        <v>0</v>
      </c>
      <c r="J517" s="619">
        <v>5437060</v>
      </c>
      <c r="K517" s="618">
        <v>0</v>
      </c>
      <c r="L517" s="620">
        <v>0</v>
      </c>
      <c r="M517" s="621">
        <v>0</v>
      </c>
      <c r="N517" s="620">
        <v>0</v>
      </c>
    </row>
    <row r="518" spans="1:14" ht="11.25" customHeight="1" x14ac:dyDescent="0.25">
      <c r="A518" s="615" t="s">
        <v>2012</v>
      </c>
      <c r="B518" s="616"/>
      <c r="C518" s="617"/>
      <c r="D518" s="617"/>
      <c r="E518" s="617"/>
      <c r="F518" s="1083"/>
      <c r="G518" s="1084"/>
      <c r="H518" s="1069"/>
      <c r="I518" s="618">
        <v>0</v>
      </c>
      <c r="J518" s="619">
        <v>404649</v>
      </c>
      <c r="K518" s="618">
        <v>0</v>
      </c>
      <c r="L518" s="620">
        <v>0</v>
      </c>
      <c r="M518" s="621">
        <v>0</v>
      </c>
      <c r="N518" s="620">
        <v>0</v>
      </c>
    </row>
    <row r="519" spans="1:14" ht="11.25" customHeight="1" x14ac:dyDescent="0.25">
      <c r="A519" s="615" t="s">
        <v>2013</v>
      </c>
      <c r="B519" s="616"/>
      <c r="C519" s="617"/>
      <c r="D519" s="617"/>
      <c r="E519" s="617"/>
      <c r="F519" s="1083"/>
      <c r="G519" s="1084"/>
      <c r="H519" s="1069"/>
      <c r="I519" s="618">
        <v>0</v>
      </c>
      <c r="J519" s="619">
        <v>702115</v>
      </c>
      <c r="K519" s="618">
        <v>0</v>
      </c>
      <c r="L519" s="620">
        <v>0</v>
      </c>
      <c r="M519" s="621">
        <v>0</v>
      </c>
      <c r="N519" s="620">
        <v>0</v>
      </c>
    </row>
    <row r="520" spans="1:14" ht="11.25" customHeight="1" x14ac:dyDescent="0.25">
      <c r="A520" s="615" t="s">
        <v>2014</v>
      </c>
      <c r="B520" s="616"/>
      <c r="C520" s="617"/>
      <c r="D520" s="617"/>
      <c r="E520" s="617"/>
      <c r="F520" s="1083"/>
      <c r="G520" s="1084"/>
      <c r="H520" s="1069"/>
      <c r="I520" s="618">
        <v>0</v>
      </c>
      <c r="J520" s="619">
        <v>5466870</v>
      </c>
      <c r="K520" s="618">
        <v>0</v>
      </c>
      <c r="L520" s="620">
        <v>0</v>
      </c>
      <c r="M520" s="621">
        <v>0</v>
      </c>
      <c r="N520" s="620">
        <v>0</v>
      </c>
    </row>
    <row r="521" spans="1:14" ht="11.25" customHeight="1" x14ac:dyDescent="0.25">
      <c r="A521" s="615" t="s">
        <v>2069</v>
      </c>
      <c r="B521" s="616"/>
      <c r="C521" s="617"/>
      <c r="D521" s="617"/>
      <c r="E521" s="617"/>
      <c r="F521" s="1083"/>
      <c r="G521" s="1084"/>
      <c r="H521" s="1069"/>
      <c r="I521" s="618">
        <v>0</v>
      </c>
      <c r="J521" s="619">
        <v>924969.21</v>
      </c>
      <c r="K521" s="618">
        <v>0</v>
      </c>
      <c r="L521" s="620">
        <v>0</v>
      </c>
      <c r="M521" s="621">
        <v>0</v>
      </c>
      <c r="N521" s="620">
        <v>0</v>
      </c>
    </row>
    <row r="522" spans="1:14" ht="11.25" customHeight="1" x14ac:dyDescent="0.25">
      <c r="A522" s="615" t="s">
        <v>2018</v>
      </c>
      <c r="B522" s="616"/>
      <c r="C522" s="617"/>
      <c r="D522" s="617"/>
      <c r="E522" s="617"/>
      <c r="F522" s="1083"/>
      <c r="G522" s="1084"/>
      <c r="H522" s="1069"/>
      <c r="I522" s="618">
        <v>0</v>
      </c>
      <c r="J522" s="619">
        <v>1000000</v>
      </c>
      <c r="K522" s="618">
        <v>0</v>
      </c>
      <c r="L522" s="620">
        <v>0</v>
      </c>
      <c r="M522" s="621">
        <v>0</v>
      </c>
      <c r="N522" s="620">
        <v>0</v>
      </c>
    </row>
    <row r="523" spans="1:14" ht="11.25" customHeight="1" x14ac:dyDescent="0.25">
      <c r="A523" s="615" t="s">
        <v>2021</v>
      </c>
      <c r="B523" s="616"/>
      <c r="C523" s="617"/>
      <c r="D523" s="617"/>
      <c r="E523" s="617"/>
      <c r="F523" s="1083"/>
      <c r="G523" s="1084"/>
      <c r="H523" s="1069"/>
      <c r="I523" s="618">
        <v>0</v>
      </c>
      <c r="J523" s="619">
        <v>502360</v>
      </c>
      <c r="K523" s="618">
        <v>0</v>
      </c>
      <c r="L523" s="620">
        <v>0</v>
      </c>
      <c r="M523" s="621">
        <v>0</v>
      </c>
      <c r="N523" s="620">
        <v>0</v>
      </c>
    </row>
    <row r="524" spans="1:14" ht="11.25" customHeight="1" x14ac:dyDescent="0.25">
      <c r="A524" s="615" t="s">
        <v>2022</v>
      </c>
      <c r="B524" s="616"/>
      <c r="C524" s="617"/>
      <c r="D524" s="617"/>
      <c r="E524" s="617"/>
      <c r="F524" s="1083"/>
      <c r="G524" s="1084"/>
      <c r="H524" s="1069"/>
      <c r="I524" s="618">
        <v>0</v>
      </c>
      <c r="J524" s="619">
        <v>2887980</v>
      </c>
      <c r="K524" s="618">
        <v>0</v>
      </c>
      <c r="L524" s="620">
        <v>0</v>
      </c>
      <c r="M524" s="621">
        <v>0</v>
      </c>
      <c r="N524" s="620">
        <v>0</v>
      </c>
    </row>
    <row r="525" spans="1:14" ht="11.25" customHeight="1" x14ac:dyDescent="0.25">
      <c r="A525" s="615" t="s">
        <v>2046</v>
      </c>
      <c r="B525" s="616"/>
      <c r="C525" s="617"/>
      <c r="D525" s="617"/>
      <c r="E525" s="617"/>
      <c r="F525" s="1083"/>
      <c r="G525" s="1084"/>
      <c r="H525" s="1069"/>
      <c r="I525" s="618">
        <v>0</v>
      </c>
      <c r="J525" s="619">
        <v>309320</v>
      </c>
      <c r="K525" s="618">
        <v>0</v>
      </c>
      <c r="L525" s="620">
        <v>0</v>
      </c>
      <c r="M525" s="621">
        <v>0</v>
      </c>
      <c r="N525" s="620">
        <v>0</v>
      </c>
    </row>
    <row r="526" spans="1:14" ht="11.25" customHeight="1" x14ac:dyDescent="0.25">
      <c r="A526" s="615" t="s">
        <v>2047</v>
      </c>
      <c r="B526" s="616"/>
      <c r="C526" s="617"/>
      <c r="D526" s="617"/>
      <c r="E526" s="617"/>
      <c r="F526" s="1083"/>
      <c r="G526" s="1084"/>
      <c r="H526" s="1069"/>
      <c r="I526" s="618">
        <v>0</v>
      </c>
      <c r="J526" s="619">
        <v>6655240</v>
      </c>
      <c r="K526" s="618">
        <v>0</v>
      </c>
      <c r="L526" s="620">
        <v>0</v>
      </c>
      <c r="M526" s="621">
        <v>0</v>
      </c>
      <c r="N526" s="620">
        <v>0</v>
      </c>
    </row>
    <row r="527" spans="1:14" ht="11.25" customHeight="1" x14ac:dyDescent="0.25">
      <c r="A527" s="615" t="s">
        <v>2070</v>
      </c>
      <c r="B527" s="616"/>
      <c r="C527" s="617"/>
      <c r="D527" s="617"/>
      <c r="E527" s="617"/>
      <c r="F527" s="1083"/>
      <c r="G527" s="1084"/>
      <c r="H527" s="1069"/>
      <c r="I527" s="618">
        <v>0</v>
      </c>
      <c r="J527" s="619">
        <v>2978170</v>
      </c>
      <c r="K527" s="618">
        <v>0</v>
      </c>
      <c r="L527" s="620">
        <v>0</v>
      </c>
      <c r="M527" s="621">
        <v>0</v>
      </c>
      <c r="N527" s="620">
        <v>0</v>
      </c>
    </row>
    <row r="528" spans="1:14" ht="11.25" customHeight="1" x14ac:dyDescent="0.25">
      <c r="A528" s="615" t="s">
        <v>2071</v>
      </c>
      <c r="B528" s="616"/>
      <c r="C528" s="617"/>
      <c r="D528" s="617"/>
      <c r="E528" s="617"/>
      <c r="F528" s="1083"/>
      <c r="G528" s="1084"/>
      <c r="H528" s="1069"/>
      <c r="I528" s="618">
        <v>0</v>
      </c>
      <c r="J528" s="619">
        <v>245440</v>
      </c>
      <c r="K528" s="618">
        <v>0</v>
      </c>
      <c r="L528" s="620">
        <v>0</v>
      </c>
      <c r="M528" s="621">
        <v>0</v>
      </c>
      <c r="N528" s="620">
        <v>0</v>
      </c>
    </row>
    <row r="529" spans="1:14" ht="11.25" customHeight="1" x14ac:dyDescent="0.25">
      <c r="A529" s="615" t="s">
        <v>2048</v>
      </c>
      <c r="B529" s="616"/>
      <c r="C529" s="617"/>
      <c r="D529" s="617"/>
      <c r="E529" s="617"/>
      <c r="F529" s="1083"/>
      <c r="G529" s="1084"/>
      <c r="H529" s="1069"/>
      <c r="I529" s="618">
        <v>0</v>
      </c>
      <c r="J529" s="619">
        <v>230670</v>
      </c>
      <c r="K529" s="618">
        <v>0</v>
      </c>
      <c r="L529" s="620">
        <v>0</v>
      </c>
      <c r="M529" s="621">
        <v>0</v>
      </c>
      <c r="N529" s="620">
        <v>0</v>
      </c>
    </row>
    <row r="530" spans="1:14" ht="11.25" customHeight="1" x14ac:dyDescent="0.25">
      <c r="A530" s="615" t="s">
        <v>2049</v>
      </c>
      <c r="B530" s="616"/>
      <c r="C530" s="617"/>
      <c r="D530" s="617"/>
      <c r="E530" s="617"/>
      <c r="F530" s="1083"/>
      <c r="G530" s="1084"/>
      <c r="H530" s="1069"/>
      <c r="I530" s="618">
        <v>0</v>
      </c>
      <c r="J530" s="619">
        <v>2617462</v>
      </c>
      <c r="K530" s="618">
        <v>0</v>
      </c>
      <c r="L530" s="620">
        <v>0</v>
      </c>
      <c r="M530" s="621">
        <v>0</v>
      </c>
      <c r="N530" s="620">
        <v>0</v>
      </c>
    </row>
    <row r="531" spans="1:14" ht="11.25" customHeight="1" x14ac:dyDescent="0.25">
      <c r="A531" s="615" t="s">
        <v>2049</v>
      </c>
      <c r="B531" s="616"/>
      <c r="C531" s="617"/>
      <c r="D531" s="617"/>
      <c r="E531" s="617"/>
      <c r="F531" s="1083"/>
      <c r="G531" s="1084"/>
      <c r="H531" s="1069"/>
      <c r="I531" s="618">
        <v>0</v>
      </c>
      <c r="J531" s="619">
        <v>230668</v>
      </c>
      <c r="K531" s="618">
        <v>0</v>
      </c>
      <c r="L531" s="620">
        <v>0</v>
      </c>
      <c r="M531" s="621">
        <v>0</v>
      </c>
      <c r="N531" s="620">
        <v>0</v>
      </c>
    </row>
    <row r="532" spans="1:14" ht="11.25" customHeight="1" x14ac:dyDescent="0.25">
      <c r="A532" s="615" t="s">
        <v>2072</v>
      </c>
      <c r="B532" s="616"/>
      <c r="C532" s="617"/>
      <c r="D532" s="617"/>
      <c r="E532" s="617"/>
      <c r="F532" s="1083"/>
      <c r="G532" s="1084"/>
      <c r="H532" s="1069"/>
      <c r="I532" s="618">
        <v>0</v>
      </c>
      <c r="J532" s="619">
        <v>1153000</v>
      </c>
      <c r="K532" s="618">
        <v>0</v>
      </c>
      <c r="L532" s="620">
        <v>0</v>
      </c>
      <c r="M532" s="621">
        <v>0</v>
      </c>
      <c r="N532" s="620">
        <v>0</v>
      </c>
    </row>
    <row r="533" spans="1:14" ht="11.25" customHeight="1" x14ac:dyDescent="0.25">
      <c r="A533" s="615" t="s">
        <v>2073</v>
      </c>
      <c r="B533" s="616"/>
      <c r="C533" s="617"/>
      <c r="D533" s="617"/>
      <c r="E533" s="617"/>
      <c r="F533" s="1083"/>
      <c r="G533" s="1084"/>
      <c r="H533" s="1069"/>
      <c r="I533" s="618">
        <v>0</v>
      </c>
      <c r="J533" s="619">
        <v>1558520</v>
      </c>
      <c r="K533" s="618">
        <v>0</v>
      </c>
      <c r="L533" s="620">
        <v>0</v>
      </c>
      <c r="M533" s="621">
        <v>0</v>
      </c>
      <c r="N533" s="620">
        <v>0</v>
      </c>
    </row>
    <row r="534" spans="1:14" ht="11.25" customHeight="1" x14ac:dyDescent="0.25">
      <c r="A534" s="615" t="s">
        <v>2074</v>
      </c>
      <c r="B534" s="616"/>
      <c r="C534" s="617"/>
      <c r="D534" s="617"/>
      <c r="E534" s="617"/>
      <c r="F534" s="1083"/>
      <c r="G534" s="1084"/>
      <c r="H534" s="1069"/>
      <c r="I534" s="618">
        <v>0</v>
      </c>
      <c r="J534" s="619">
        <v>644160</v>
      </c>
      <c r="K534" s="618">
        <v>0</v>
      </c>
      <c r="L534" s="620">
        <v>0</v>
      </c>
      <c r="M534" s="621">
        <v>0</v>
      </c>
      <c r="N534" s="620">
        <v>0</v>
      </c>
    </row>
    <row r="535" spans="1:14" ht="11.25" customHeight="1" x14ac:dyDescent="0.25">
      <c r="A535" s="615" t="s">
        <v>2075</v>
      </c>
      <c r="B535" s="616"/>
      <c r="C535" s="617"/>
      <c r="D535" s="617"/>
      <c r="E535" s="617"/>
      <c r="F535" s="1083"/>
      <c r="G535" s="1084"/>
      <c r="H535" s="1069"/>
      <c r="I535" s="618">
        <v>0</v>
      </c>
      <c r="J535" s="619">
        <v>372351</v>
      </c>
      <c r="K535" s="618">
        <v>0</v>
      </c>
      <c r="L535" s="620">
        <v>0</v>
      </c>
      <c r="M535" s="621">
        <v>0</v>
      </c>
      <c r="N535" s="620">
        <v>0</v>
      </c>
    </row>
    <row r="536" spans="1:14" ht="11.25" customHeight="1" x14ac:dyDescent="0.25">
      <c r="A536" s="615" t="s">
        <v>2076</v>
      </c>
      <c r="B536" s="616"/>
      <c r="C536" s="617"/>
      <c r="D536" s="617"/>
      <c r="E536" s="617"/>
      <c r="F536" s="1083"/>
      <c r="G536" s="1084"/>
      <c r="H536" s="1069"/>
      <c r="I536" s="618">
        <v>0</v>
      </c>
      <c r="J536" s="619">
        <v>1118851</v>
      </c>
      <c r="K536" s="618">
        <v>0</v>
      </c>
      <c r="L536" s="620">
        <v>0</v>
      </c>
      <c r="M536" s="621">
        <v>0</v>
      </c>
      <c r="N536" s="620">
        <v>0</v>
      </c>
    </row>
    <row r="537" spans="1:14" ht="11.25" customHeight="1" x14ac:dyDescent="0.25">
      <c r="A537" s="615" t="s">
        <v>2061</v>
      </c>
      <c r="B537" s="616"/>
      <c r="C537" s="617"/>
      <c r="D537" s="617"/>
      <c r="E537" s="617"/>
      <c r="F537" s="1083"/>
      <c r="G537" s="1084"/>
      <c r="H537" s="1069"/>
      <c r="I537" s="618">
        <v>0</v>
      </c>
      <c r="J537" s="619">
        <v>1615205</v>
      </c>
      <c r="K537" s="618">
        <v>0</v>
      </c>
      <c r="L537" s="620">
        <v>0</v>
      </c>
      <c r="M537" s="621">
        <v>0</v>
      </c>
      <c r="N537" s="620">
        <v>0</v>
      </c>
    </row>
    <row r="538" spans="1:14" ht="11.25" customHeight="1" x14ac:dyDescent="0.25">
      <c r="A538" s="615" t="s">
        <v>2062</v>
      </c>
      <c r="B538" s="616"/>
      <c r="C538" s="617"/>
      <c r="D538" s="617"/>
      <c r="E538" s="617"/>
      <c r="F538" s="1083"/>
      <c r="G538" s="1084"/>
      <c r="H538" s="1069"/>
      <c r="I538" s="618">
        <v>0</v>
      </c>
      <c r="J538" s="619">
        <v>26552663</v>
      </c>
      <c r="K538" s="618">
        <v>0</v>
      </c>
      <c r="L538" s="620">
        <v>0</v>
      </c>
      <c r="M538" s="621">
        <v>0</v>
      </c>
      <c r="N538" s="620">
        <v>0</v>
      </c>
    </row>
    <row r="539" spans="1:14" ht="11.25" customHeight="1" x14ac:dyDescent="0.25">
      <c r="A539" s="615" t="s">
        <v>1996</v>
      </c>
      <c r="B539" s="616"/>
      <c r="C539" s="617"/>
      <c r="D539" s="617"/>
      <c r="E539" s="617"/>
      <c r="F539" s="1083"/>
      <c r="G539" s="1084"/>
      <c r="H539" s="1069"/>
      <c r="I539" s="618">
        <v>0</v>
      </c>
      <c r="J539" s="619">
        <v>373909</v>
      </c>
      <c r="K539" s="618"/>
      <c r="L539" s="620"/>
      <c r="M539" s="621"/>
      <c r="N539" s="620"/>
    </row>
    <row r="540" spans="1:14" ht="11.25" customHeight="1" x14ac:dyDescent="0.25">
      <c r="A540" s="615"/>
      <c r="B540" s="616"/>
      <c r="C540" s="617"/>
      <c r="D540" s="617"/>
      <c r="E540" s="617"/>
      <c r="F540" s="1083"/>
      <c r="G540" s="1084"/>
      <c r="H540" s="1069"/>
      <c r="I540" s="618"/>
      <c r="J540" s="619"/>
      <c r="K540" s="618"/>
      <c r="L540" s="620"/>
      <c r="M540" s="621"/>
      <c r="N540" s="620"/>
    </row>
    <row r="541" spans="1:14" ht="11.25" customHeight="1" x14ac:dyDescent="0.25">
      <c r="A541" s="615"/>
      <c r="B541" s="616"/>
      <c r="C541" s="617"/>
      <c r="D541" s="617"/>
      <c r="E541" s="617"/>
      <c r="F541" s="1083"/>
      <c r="G541" s="1084"/>
      <c r="H541" s="1069"/>
      <c r="I541" s="618"/>
      <c r="J541" s="619"/>
      <c r="K541" s="618"/>
      <c r="L541" s="620"/>
      <c r="M541" s="621"/>
      <c r="N541" s="620"/>
    </row>
    <row r="542" spans="1:14" ht="11.25" customHeight="1" x14ac:dyDescent="0.25">
      <c r="A542" s="615"/>
      <c r="B542" s="616"/>
      <c r="C542" s="617"/>
      <c r="D542" s="617"/>
      <c r="E542" s="617"/>
      <c r="F542" s="1083"/>
      <c r="G542" s="1084"/>
      <c r="H542" s="1069"/>
      <c r="I542" s="618"/>
      <c r="J542" s="619"/>
      <c r="K542" s="618"/>
      <c r="L542" s="620"/>
      <c r="M542" s="621"/>
      <c r="N542" s="620"/>
    </row>
    <row r="543" spans="1:14" ht="11.25" customHeight="1" x14ac:dyDescent="0.25">
      <c r="A543" s="615"/>
      <c r="B543" s="616"/>
      <c r="C543" s="617"/>
      <c r="D543" s="617"/>
      <c r="E543" s="617"/>
      <c r="F543" s="1083"/>
      <c r="G543" s="1084"/>
      <c r="H543" s="1069"/>
      <c r="I543" s="618"/>
      <c r="J543" s="619"/>
      <c r="K543" s="618"/>
      <c r="L543" s="620"/>
      <c r="M543" s="621"/>
      <c r="N543" s="620"/>
    </row>
    <row r="544" spans="1:14" ht="11.25" customHeight="1" x14ac:dyDescent="0.25">
      <c r="A544" s="615"/>
      <c r="B544" s="616"/>
      <c r="C544" s="617"/>
      <c r="D544" s="617"/>
      <c r="E544" s="617"/>
      <c r="F544" s="1083"/>
      <c r="G544" s="1084"/>
      <c r="H544" s="1069"/>
      <c r="I544" s="618"/>
      <c r="J544" s="619"/>
      <c r="K544" s="618"/>
      <c r="L544" s="620"/>
      <c r="M544" s="621"/>
      <c r="N544" s="620"/>
    </row>
    <row r="545" spans="1:14" ht="11.25" customHeight="1" x14ac:dyDescent="0.25">
      <c r="A545" s="615"/>
      <c r="B545" s="616"/>
      <c r="C545" s="617"/>
      <c r="D545" s="617"/>
      <c r="E545" s="617"/>
      <c r="F545" s="1083"/>
      <c r="G545" s="1084"/>
      <c r="H545" s="1069"/>
      <c r="I545" s="618"/>
      <c r="J545" s="619"/>
      <c r="K545" s="618"/>
      <c r="L545" s="620"/>
      <c r="M545" s="621"/>
      <c r="N545" s="620"/>
    </row>
    <row r="546" spans="1:14" ht="11.25" customHeight="1" x14ac:dyDescent="0.25">
      <c r="A546" s="615"/>
      <c r="B546" s="616"/>
      <c r="C546" s="617"/>
      <c r="D546" s="617"/>
      <c r="E546" s="617"/>
      <c r="F546" s="1083"/>
      <c r="G546" s="1084"/>
      <c r="H546" s="1069"/>
      <c r="I546" s="618"/>
      <c r="J546" s="619"/>
      <c r="K546" s="618"/>
      <c r="L546" s="620"/>
      <c r="M546" s="621"/>
      <c r="N546" s="620"/>
    </row>
    <row r="547" spans="1:14" ht="11.25" customHeight="1" x14ac:dyDescent="0.25">
      <c r="A547" s="615"/>
      <c r="B547" s="616"/>
      <c r="C547" s="617"/>
      <c r="D547" s="617"/>
      <c r="E547" s="617"/>
      <c r="F547" s="1083"/>
      <c r="G547" s="1084"/>
      <c r="H547" s="1069"/>
      <c r="I547" s="618"/>
      <c r="J547" s="619"/>
      <c r="K547" s="618"/>
      <c r="L547" s="620"/>
      <c r="M547" s="621"/>
      <c r="N547" s="620"/>
    </row>
    <row r="548" spans="1:14" ht="11.25" customHeight="1" x14ac:dyDescent="0.25">
      <c r="A548" s="615"/>
      <c r="B548" s="616"/>
      <c r="C548" s="617"/>
      <c r="D548" s="617"/>
      <c r="E548" s="617"/>
      <c r="F548" s="1083"/>
      <c r="G548" s="1084"/>
      <c r="H548" s="1069"/>
      <c r="I548" s="618"/>
      <c r="J548" s="619"/>
      <c r="K548" s="618"/>
      <c r="L548" s="620"/>
      <c r="M548" s="621"/>
      <c r="N548" s="620"/>
    </row>
    <row r="549" spans="1:14" ht="11.25" customHeight="1" x14ac:dyDescent="0.25">
      <c r="A549" s="615"/>
      <c r="B549" s="616"/>
      <c r="C549" s="617"/>
      <c r="D549" s="617"/>
      <c r="E549" s="617"/>
      <c r="F549" s="1083"/>
      <c r="G549" s="1084"/>
      <c r="H549" s="1069"/>
      <c r="I549" s="618"/>
      <c r="J549" s="619"/>
      <c r="K549" s="618"/>
      <c r="L549" s="620"/>
      <c r="M549" s="621"/>
      <c r="N549" s="620"/>
    </row>
    <row r="550" spans="1:14" ht="11.25" customHeight="1" x14ac:dyDescent="0.25">
      <c r="A550" s="615"/>
      <c r="B550" s="616"/>
      <c r="C550" s="617"/>
      <c r="D550" s="617"/>
      <c r="E550" s="617"/>
      <c r="F550" s="1083"/>
      <c r="G550" s="1084"/>
      <c r="H550" s="1069"/>
      <c r="I550" s="618"/>
      <c r="J550" s="619"/>
      <c r="K550" s="618"/>
      <c r="L550" s="620"/>
      <c r="M550" s="621"/>
      <c r="N550" s="620"/>
    </row>
    <row r="551" spans="1:14" ht="11.25" customHeight="1" x14ac:dyDescent="0.25">
      <c r="A551" s="615"/>
      <c r="B551" s="616"/>
      <c r="C551" s="617"/>
      <c r="D551" s="617"/>
      <c r="E551" s="617"/>
      <c r="F551" s="1083"/>
      <c r="G551" s="1084"/>
      <c r="H551" s="1069"/>
      <c r="I551" s="618"/>
      <c r="J551" s="619"/>
      <c r="K551" s="618"/>
      <c r="L551" s="620"/>
      <c r="M551" s="621"/>
      <c r="N551" s="620"/>
    </row>
    <row r="552" spans="1:14" ht="11.25" customHeight="1" x14ac:dyDescent="0.25">
      <c r="A552" s="615"/>
      <c r="B552" s="616"/>
      <c r="C552" s="617"/>
      <c r="D552" s="617"/>
      <c r="E552" s="617"/>
      <c r="F552" s="1083"/>
      <c r="G552" s="1084"/>
      <c r="H552" s="1069"/>
      <c r="I552" s="618"/>
      <c r="J552" s="619"/>
      <c r="K552" s="618"/>
      <c r="L552" s="620"/>
      <c r="M552" s="621"/>
      <c r="N552" s="620"/>
    </row>
    <row r="553" spans="1:14" ht="11.25" customHeight="1" x14ac:dyDescent="0.25">
      <c r="A553" s="615"/>
      <c r="B553" s="616"/>
      <c r="C553" s="617"/>
      <c r="D553" s="617"/>
      <c r="E553" s="617"/>
      <c r="F553" s="1083"/>
      <c r="G553" s="1084"/>
      <c r="H553" s="1069"/>
      <c r="I553" s="618"/>
      <c r="J553" s="619"/>
      <c r="K553" s="618"/>
      <c r="L553" s="620"/>
      <c r="M553" s="621"/>
      <c r="N553" s="620"/>
    </row>
    <row r="554" spans="1:14" ht="11.25" customHeight="1" x14ac:dyDescent="0.25">
      <c r="A554" s="615"/>
      <c r="B554" s="616"/>
      <c r="C554" s="617"/>
      <c r="D554" s="617"/>
      <c r="E554" s="617"/>
      <c r="F554" s="1083"/>
      <c r="G554" s="1084"/>
      <c r="H554" s="1069"/>
      <c r="I554" s="618"/>
      <c r="J554" s="619"/>
      <c r="K554" s="618"/>
      <c r="L554" s="620"/>
      <c r="M554" s="621"/>
      <c r="N554" s="620"/>
    </row>
    <row r="555" spans="1:14" ht="11.25" customHeight="1" x14ac:dyDescent="0.25">
      <c r="A555" s="615"/>
      <c r="B555" s="616"/>
      <c r="C555" s="617"/>
      <c r="D555" s="617"/>
      <c r="E555" s="617"/>
      <c r="F555" s="1083"/>
      <c r="G555" s="1084"/>
      <c r="H555" s="1069"/>
      <c r="I555" s="618"/>
      <c r="J555" s="619"/>
      <c r="K555" s="618"/>
      <c r="L555" s="620"/>
      <c r="M555" s="621"/>
      <c r="N555" s="620"/>
    </row>
    <row r="556" spans="1:14" ht="11.25" customHeight="1" x14ac:dyDescent="0.25">
      <c r="A556" s="615"/>
      <c r="B556" s="616"/>
      <c r="C556" s="617"/>
      <c r="D556" s="617"/>
      <c r="E556" s="617"/>
      <c r="F556" s="1083"/>
      <c r="G556" s="1084"/>
      <c r="H556" s="1069"/>
      <c r="I556" s="618"/>
      <c r="J556" s="619"/>
      <c r="K556" s="618"/>
      <c r="L556" s="620"/>
      <c r="M556" s="621"/>
      <c r="N556" s="620"/>
    </row>
    <row r="557" spans="1:14" ht="11.25" customHeight="1" x14ac:dyDescent="0.25">
      <c r="A557" s="615"/>
      <c r="B557" s="616"/>
      <c r="C557" s="617"/>
      <c r="D557" s="617"/>
      <c r="E557" s="617"/>
      <c r="F557" s="1083"/>
      <c r="G557" s="1084"/>
      <c r="H557" s="1069"/>
      <c r="I557" s="618"/>
      <c r="J557" s="619"/>
      <c r="K557" s="618"/>
      <c r="L557" s="620"/>
      <c r="M557" s="621"/>
      <c r="N557" s="620"/>
    </row>
    <row r="558" spans="1:14" ht="11.25" customHeight="1" x14ac:dyDescent="0.25">
      <c r="A558" s="615"/>
      <c r="B558" s="616"/>
      <c r="C558" s="617"/>
      <c r="D558" s="617"/>
      <c r="E558" s="617"/>
      <c r="F558" s="1083"/>
      <c r="G558" s="1084"/>
      <c r="H558" s="1069"/>
      <c r="I558" s="618"/>
      <c r="J558" s="619"/>
      <c r="K558" s="618"/>
      <c r="L558" s="620"/>
      <c r="M558" s="621"/>
      <c r="N558" s="620"/>
    </row>
    <row r="559" spans="1:14" ht="11.25" customHeight="1" x14ac:dyDescent="0.25">
      <c r="A559" s="615"/>
      <c r="B559" s="616"/>
      <c r="C559" s="617"/>
      <c r="D559" s="617"/>
      <c r="E559" s="617"/>
      <c r="F559" s="1083"/>
      <c r="G559" s="1084"/>
      <c r="H559" s="1069"/>
      <c r="I559" s="618"/>
      <c r="J559" s="619"/>
      <c r="K559" s="618"/>
      <c r="L559" s="620"/>
      <c r="M559" s="621"/>
      <c r="N559" s="620"/>
    </row>
    <row r="560" spans="1:14" ht="11.25" customHeight="1" x14ac:dyDescent="0.25">
      <c r="A560" s="615"/>
      <c r="B560" s="616"/>
      <c r="C560" s="617"/>
      <c r="D560" s="617"/>
      <c r="E560" s="617"/>
      <c r="F560" s="1083"/>
      <c r="G560" s="1084"/>
      <c r="H560" s="1069"/>
      <c r="I560" s="618"/>
      <c r="J560" s="619"/>
      <c r="K560" s="618"/>
      <c r="L560" s="620"/>
      <c r="M560" s="621"/>
      <c r="N560" s="620"/>
    </row>
    <row r="561" spans="1:14" ht="11.25" customHeight="1" x14ac:dyDescent="0.25">
      <c r="A561" s="615"/>
      <c r="B561" s="616"/>
      <c r="C561" s="617"/>
      <c r="D561" s="617"/>
      <c r="E561" s="617"/>
      <c r="F561" s="1083"/>
      <c r="G561" s="1084"/>
      <c r="H561" s="1069"/>
      <c r="I561" s="618"/>
      <c r="J561" s="619"/>
      <c r="K561" s="618"/>
      <c r="L561" s="620"/>
      <c r="M561" s="621"/>
      <c r="N561" s="620"/>
    </row>
    <row r="562" spans="1:14" ht="11.25" customHeight="1" x14ac:dyDescent="0.25">
      <c r="A562" s="615"/>
      <c r="B562" s="616"/>
      <c r="C562" s="617"/>
      <c r="D562" s="617"/>
      <c r="E562" s="617"/>
      <c r="F562" s="1083"/>
      <c r="G562" s="1084"/>
      <c r="H562" s="1069"/>
      <c r="I562" s="618"/>
      <c r="J562" s="619"/>
      <c r="K562" s="618"/>
      <c r="L562" s="620"/>
      <c r="M562" s="621"/>
      <c r="N562" s="620"/>
    </row>
    <row r="563" spans="1:14" ht="11.25" customHeight="1" x14ac:dyDescent="0.25">
      <c r="A563" s="615"/>
      <c r="B563" s="616"/>
      <c r="C563" s="617"/>
      <c r="D563" s="617"/>
      <c r="E563" s="617"/>
      <c r="F563" s="1083"/>
      <c r="G563" s="1084"/>
      <c r="H563" s="1069"/>
      <c r="I563" s="618"/>
      <c r="J563" s="619"/>
      <c r="K563" s="618"/>
      <c r="L563" s="620"/>
      <c r="M563" s="621"/>
      <c r="N563" s="620"/>
    </row>
    <row r="564" spans="1:14" ht="11.25" customHeight="1" x14ac:dyDescent="0.25">
      <c r="A564" s="615"/>
      <c r="B564" s="616"/>
      <c r="C564" s="617"/>
      <c r="D564" s="617"/>
      <c r="E564" s="617"/>
      <c r="F564" s="1083"/>
      <c r="G564" s="1084"/>
      <c r="H564" s="1069"/>
      <c r="I564" s="618"/>
      <c r="J564" s="619"/>
      <c r="K564" s="618"/>
      <c r="L564" s="620"/>
      <c r="M564" s="621"/>
      <c r="N564" s="620"/>
    </row>
    <row r="565" spans="1:14" ht="11.25" customHeight="1" x14ac:dyDescent="0.25">
      <c r="A565" s="615"/>
      <c r="B565" s="616"/>
      <c r="C565" s="617"/>
      <c r="D565" s="617"/>
      <c r="E565" s="617"/>
      <c r="F565" s="1083"/>
      <c r="G565" s="1084"/>
      <c r="H565" s="1069"/>
      <c r="I565" s="618"/>
      <c r="J565" s="619"/>
      <c r="K565" s="618"/>
      <c r="L565" s="620"/>
      <c r="M565" s="621"/>
      <c r="N565" s="620"/>
    </row>
    <row r="566" spans="1:14" ht="11.25" customHeight="1" x14ac:dyDescent="0.25">
      <c r="A566" s="615"/>
      <c r="B566" s="616"/>
      <c r="C566" s="617"/>
      <c r="D566" s="617"/>
      <c r="E566" s="617"/>
      <c r="F566" s="1083"/>
      <c r="G566" s="1084"/>
      <c r="H566" s="1069"/>
      <c r="I566" s="618"/>
      <c r="J566" s="619"/>
      <c r="K566" s="618"/>
      <c r="L566" s="620"/>
      <c r="M566" s="621"/>
      <c r="N566" s="620"/>
    </row>
    <row r="567" spans="1:14" ht="11.25" customHeight="1" x14ac:dyDescent="0.25">
      <c r="A567" s="615"/>
      <c r="B567" s="616"/>
      <c r="C567" s="617"/>
      <c r="D567" s="617"/>
      <c r="E567" s="617"/>
      <c r="F567" s="1083"/>
      <c r="G567" s="1084"/>
      <c r="H567" s="1069"/>
      <c r="I567" s="618"/>
      <c r="J567" s="619"/>
      <c r="K567" s="618"/>
      <c r="L567" s="620"/>
      <c r="M567" s="621"/>
      <c r="N567" s="620"/>
    </row>
    <row r="568" spans="1:14" ht="11.25" customHeight="1" x14ac:dyDescent="0.25">
      <c r="A568" s="615"/>
      <c r="B568" s="616"/>
      <c r="C568" s="617"/>
      <c r="D568" s="617"/>
      <c r="E568" s="617"/>
      <c r="F568" s="1083"/>
      <c r="G568" s="1084"/>
      <c r="H568" s="1069"/>
      <c r="I568" s="618"/>
      <c r="J568" s="619"/>
      <c r="K568" s="618"/>
      <c r="L568" s="620"/>
      <c r="M568" s="621"/>
      <c r="N568" s="620"/>
    </row>
    <row r="569" spans="1:14" ht="11.25" customHeight="1" x14ac:dyDescent="0.25">
      <c r="A569" s="615"/>
      <c r="B569" s="616"/>
      <c r="C569" s="617"/>
      <c r="D569" s="617"/>
      <c r="E569" s="617"/>
      <c r="F569" s="1083"/>
      <c r="G569" s="1084"/>
      <c r="H569" s="1069"/>
      <c r="I569" s="618"/>
      <c r="J569" s="619"/>
      <c r="K569" s="618"/>
      <c r="L569" s="620"/>
      <c r="M569" s="621"/>
      <c r="N569" s="620"/>
    </row>
    <row r="570" spans="1:14" ht="11.25" customHeight="1" x14ac:dyDescent="0.25">
      <c r="A570" s="615"/>
      <c r="B570" s="616"/>
      <c r="C570" s="617"/>
      <c r="D570" s="617"/>
      <c r="E570" s="617"/>
      <c r="F570" s="1083"/>
      <c r="G570" s="1084"/>
      <c r="H570" s="1069"/>
      <c r="I570" s="618"/>
      <c r="J570" s="619"/>
      <c r="K570" s="618"/>
      <c r="L570" s="620"/>
      <c r="M570" s="621"/>
      <c r="N570" s="620"/>
    </row>
    <row r="571" spans="1:14" ht="11.25" customHeight="1" x14ac:dyDescent="0.25">
      <c r="A571" s="615"/>
      <c r="B571" s="616"/>
      <c r="C571" s="617"/>
      <c r="D571" s="617"/>
      <c r="E571" s="617"/>
      <c r="F571" s="1083"/>
      <c r="G571" s="1084"/>
      <c r="H571" s="1069"/>
      <c r="I571" s="618"/>
      <c r="J571" s="619"/>
      <c r="K571" s="618"/>
      <c r="L571" s="620"/>
      <c r="M571" s="621"/>
      <c r="N571" s="620"/>
    </row>
    <row r="572" spans="1:14" ht="11.25" customHeight="1" x14ac:dyDescent="0.25">
      <c r="A572" s="615"/>
      <c r="B572" s="616"/>
      <c r="C572" s="617"/>
      <c r="D572" s="617"/>
      <c r="E572" s="617"/>
      <c r="F572" s="1083"/>
      <c r="G572" s="1084"/>
      <c r="H572" s="1069"/>
      <c r="I572" s="618"/>
      <c r="J572" s="619"/>
      <c r="K572" s="618"/>
      <c r="L572" s="620"/>
      <c r="M572" s="621"/>
      <c r="N572" s="620"/>
    </row>
    <row r="573" spans="1:14" ht="11.25" customHeight="1" x14ac:dyDescent="0.25">
      <c r="A573" s="615"/>
      <c r="B573" s="616"/>
      <c r="C573" s="617"/>
      <c r="D573" s="617"/>
      <c r="E573" s="617"/>
      <c r="F573" s="1083"/>
      <c r="G573" s="1084"/>
      <c r="H573" s="1069"/>
      <c r="I573" s="618"/>
      <c r="J573" s="619"/>
      <c r="K573" s="618"/>
      <c r="L573" s="620"/>
      <c r="M573" s="621"/>
      <c r="N573" s="620"/>
    </row>
    <row r="574" spans="1:14" ht="11.25" customHeight="1" x14ac:dyDescent="0.25">
      <c r="A574" s="615"/>
      <c r="B574" s="616"/>
      <c r="C574" s="617"/>
      <c r="D574" s="617"/>
      <c r="E574" s="617"/>
      <c r="F574" s="1083"/>
      <c r="G574" s="1084"/>
      <c r="H574" s="1069"/>
      <c r="I574" s="618"/>
      <c r="J574" s="619"/>
      <c r="K574" s="618"/>
      <c r="L574" s="620"/>
      <c r="M574" s="621"/>
      <c r="N574" s="620"/>
    </row>
    <row r="575" spans="1:14" ht="11.25" customHeight="1" x14ac:dyDescent="0.25">
      <c r="A575" s="615"/>
      <c r="B575" s="616"/>
      <c r="C575" s="617"/>
      <c r="D575" s="617"/>
      <c r="E575" s="617"/>
      <c r="F575" s="1083"/>
      <c r="G575" s="1084"/>
      <c r="H575" s="1069"/>
      <c r="I575" s="618"/>
      <c r="J575" s="619"/>
      <c r="K575" s="618"/>
      <c r="L575" s="620"/>
      <c r="M575" s="621"/>
      <c r="N575" s="620"/>
    </row>
    <row r="576" spans="1:14" ht="11.25" customHeight="1" x14ac:dyDescent="0.25">
      <c r="A576" s="615"/>
      <c r="B576" s="616"/>
      <c r="C576" s="617"/>
      <c r="D576" s="617"/>
      <c r="E576" s="617"/>
      <c r="F576" s="1083"/>
      <c r="G576" s="1084"/>
      <c r="H576" s="1069"/>
      <c r="I576" s="618"/>
      <c r="J576" s="619"/>
      <c r="K576" s="618"/>
      <c r="L576" s="620"/>
      <c r="M576" s="621"/>
      <c r="N576" s="620"/>
    </row>
    <row r="577" spans="1:14" ht="11.25" customHeight="1" x14ac:dyDescent="0.25">
      <c r="A577" s="615"/>
      <c r="B577" s="616"/>
      <c r="C577" s="617"/>
      <c r="D577" s="617"/>
      <c r="E577" s="617"/>
      <c r="F577" s="1083"/>
      <c r="G577" s="1084"/>
      <c r="H577" s="1069"/>
      <c r="I577" s="618"/>
      <c r="J577" s="619"/>
      <c r="K577" s="618"/>
      <c r="L577" s="620"/>
      <c r="M577" s="621"/>
      <c r="N577" s="620"/>
    </row>
    <row r="578" spans="1:14" ht="11.25" customHeight="1" x14ac:dyDescent="0.25">
      <c r="A578" s="615"/>
      <c r="B578" s="616"/>
      <c r="C578" s="617"/>
      <c r="D578" s="617"/>
      <c r="E578" s="617"/>
      <c r="F578" s="1083"/>
      <c r="G578" s="1084"/>
      <c r="H578" s="1069"/>
      <c r="I578" s="618"/>
      <c r="J578" s="619"/>
      <c r="K578" s="618"/>
      <c r="L578" s="620"/>
      <c r="M578" s="621"/>
      <c r="N578" s="620"/>
    </row>
    <row r="579" spans="1:14" ht="11.25" customHeight="1" x14ac:dyDescent="0.25">
      <c r="A579" s="615"/>
      <c r="B579" s="616"/>
      <c r="C579" s="617"/>
      <c r="D579" s="617"/>
      <c r="E579" s="617"/>
      <c r="F579" s="1083"/>
      <c r="G579" s="1084"/>
      <c r="H579" s="1069"/>
      <c r="I579" s="618"/>
      <c r="J579" s="619"/>
      <c r="K579" s="618"/>
      <c r="L579" s="620"/>
      <c r="M579" s="621"/>
      <c r="N579" s="620"/>
    </row>
    <row r="580" spans="1:14" ht="11.25" customHeight="1" x14ac:dyDescent="0.25">
      <c r="A580" s="615"/>
      <c r="B580" s="616"/>
      <c r="C580" s="617"/>
      <c r="D580" s="617"/>
      <c r="E580" s="617"/>
      <c r="F580" s="1083"/>
      <c r="G580" s="1084"/>
      <c r="H580" s="1069"/>
      <c r="I580" s="618"/>
      <c r="J580" s="619"/>
      <c r="K580" s="618"/>
      <c r="L580" s="620"/>
      <c r="M580" s="621"/>
      <c r="N580" s="620"/>
    </row>
    <row r="581" spans="1:14" ht="11.25" customHeight="1" x14ac:dyDescent="0.25">
      <c r="A581" s="615"/>
      <c r="B581" s="616"/>
      <c r="C581" s="617"/>
      <c r="D581" s="617"/>
      <c r="E581" s="617"/>
      <c r="F581" s="1083"/>
      <c r="G581" s="1084"/>
      <c r="H581" s="1069"/>
      <c r="I581" s="618"/>
      <c r="J581" s="619"/>
      <c r="K581" s="618"/>
      <c r="L581" s="620"/>
      <c r="M581" s="621"/>
      <c r="N581" s="620"/>
    </row>
    <row r="582" spans="1:14" ht="11.25" customHeight="1" x14ac:dyDescent="0.25">
      <c r="A582" s="615"/>
      <c r="B582" s="616"/>
      <c r="C582" s="617"/>
      <c r="D582" s="617"/>
      <c r="E582" s="617"/>
      <c r="F582" s="1083"/>
      <c r="G582" s="1084"/>
      <c r="H582" s="1069"/>
      <c r="I582" s="618"/>
      <c r="J582" s="619"/>
      <c r="K582" s="618"/>
      <c r="L582" s="620"/>
      <c r="M582" s="621"/>
      <c r="N582" s="620"/>
    </row>
    <row r="583" spans="1:14" ht="11.25" customHeight="1" x14ac:dyDescent="0.25">
      <c r="A583" s="615"/>
      <c r="B583" s="616"/>
      <c r="C583" s="617"/>
      <c r="D583" s="617"/>
      <c r="E583" s="617"/>
      <c r="F583" s="1083"/>
      <c r="G583" s="1084"/>
      <c r="H583" s="1069"/>
      <c r="I583" s="618"/>
      <c r="J583" s="619"/>
      <c r="K583" s="618"/>
      <c r="L583" s="620"/>
      <c r="M583" s="621"/>
      <c r="N583" s="620"/>
    </row>
    <row r="584" spans="1:14" ht="11.25" customHeight="1" x14ac:dyDescent="0.25">
      <c r="A584" s="615"/>
      <c r="B584" s="616"/>
      <c r="C584" s="617"/>
      <c r="D584" s="617"/>
      <c r="E584" s="617"/>
      <c r="F584" s="1083"/>
      <c r="G584" s="1084"/>
      <c r="H584" s="1069"/>
      <c r="I584" s="618"/>
      <c r="J584" s="619"/>
      <c r="K584" s="618"/>
      <c r="L584" s="620"/>
      <c r="M584" s="621"/>
      <c r="N584" s="620"/>
    </row>
    <row r="585" spans="1:14" ht="11.25" customHeight="1" x14ac:dyDescent="0.25">
      <c r="A585" s="615"/>
      <c r="B585" s="616"/>
      <c r="C585" s="617"/>
      <c r="D585" s="617"/>
      <c r="E585" s="617"/>
      <c r="F585" s="1083"/>
      <c r="G585" s="1084"/>
      <c r="H585" s="1069"/>
      <c r="I585" s="618"/>
      <c r="J585" s="619"/>
      <c r="K585" s="618"/>
      <c r="L585" s="620"/>
      <c r="M585" s="621"/>
      <c r="N585" s="620"/>
    </row>
    <row r="586" spans="1:14" ht="11.25" customHeight="1" x14ac:dyDescent="0.25">
      <c r="A586" s="615"/>
      <c r="B586" s="616"/>
      <c r="C586" s="617"/>
      <c r="D586" s="617"/>
      <c r="E586" s="617"/>
      <c r="F586" s="1083"/>
      <c r="G586" s="1084"/>
      <c r="H586" s="1069"/>
      <c r="I586" s="618"/>
      <c r="J586" s="619"/>
      <c r="K586" s="618"/>
      <c r="L586" s="620"/>
      <c r="M586" s="621"/>
      <c r="N586" s="620"/>
    </row>
    <row r="587" spans="1:14" ht="11.25" customHeight="1" x14ac:dyDescent="0.25">
      <c r="A587" s="615"/>
      <c r="B587" s="616"/>
      <c r="C587" s="617"/>
      <c r="D587" s="617"/>
      <c r="E587" s="617"/>
      <c r="F587" s="1083"/>
      <c r="G587" s="1084"/>
      <c r="H587" s="1069"/>
      <c r="I587" s="618"/>
      <c r="J587" s="619"/>
      <c r="K587" s="618"/>
      <c r="L587" s="620"/>
      <c r="M587" s="621"/>
      <c r="N587" s="620"/>
    </row>
    <row r="588" spans="1:14" ht="11.25" customHeight="1" x14ac:dyDescent="0.25">
      <c r="A588" s="615"/>
      <c r="B588" s="616"/>
      <c r="C588" s="617"/>
      <c r="D588" s="617"/>
      <c r="E588" s="617"/>
      <c r="F588" s="1083"/>
      <c r="G588" s="1084"/>
      <c r="H588" s="1069"/>
      <c r="I588" s="618"/>
      <c r="J588" s="619"/>
      <c r="K588" s="618"/>
      <c r="L588" s="620"/>
      <c r="M588" s="621"/>
      <c r="N588" s="620"/>
    </row>
    <row r="589" spans="1:14" ht="11.25" customHeight="1" x14ac:dyDescent="0.25">
      <c r="A589" s="615"/>
      <c r="B589" s="616"/>
      <c r="C589" s="617"/>
      <c r="D589" s="617"/>
      <c r="E589" s="617"/>
      <c r="F589" s="1083"/>
      <c r="G589" s="1084"/>
      <c r="H589" s="1069"/>
      <c r="I589" s="618"/>
      <c r="J589" s="619"/>
      <c r="K589" s="618"/>
      <c r="L589" s="620"/>
      <c r="M589" s="621"/>
      <c r="N589" s="620"/>
    </row>
    <row r="590" spans="1:14" ht="11.25" customHeight="1" x14ac:dyDescent="0.25">
      <c r="A590" s="615"/>
      <c r="B590" s="616"/>
      <c r="C590" s="617"/>
      <c r="D590" s="617"/>
      <c r="E590" s="617"/>
      <c r="F590" s="1083"/>
      <c r="G590" s="1084"/>
      <c r="H590" s="1069"/>
      <c r="I590" s="618"/>
      <c r="J590" s="619"/>
      <c r="K590" s="618"/>
      <c r="L590" s="620"/>
      <c r="M590" s="621"/>
      <c r="N590" s="620"/>
    </row>
    <row r="591" spans="1:14" ht="11.25" customHeight="1" x14ac:dyDescent="0.25">
      <c r="A591" s="615"/>
      <c r="B591" s="616"/>
      <c r="C591" s="617"/>
      <c r="D591" s="617"/>
      <c r="E591" s="617"/>
      <c r="F591" s="1083"/>
      <c r="G591" s="1084"/>
      <c r="H591" s="1069"/>
      <c r="I591" s="618"/>
      <c r="J591" s="619"/>
      <c r="K591" s="618"/>
      <c r="L591" s="620"/>
      <c r="M591" s="621"/>
      <c r="N591" s="620"/>
    </row>
    <row r="592" spans="1:14" ht="11.25" customHeight="1" x14ac:dyDescent="0.25">
      <c r="A592" s="615"/>
      <c r="B592" s="616"/>
      <c r="C592" s="617"/>
      <c r="D592" s="617"/>
      <c r="E592" s="617"/>
      <c r="F592" s="1083"/>
      <c r="G592" s="1084"/>
      <c r="H592" s="1069"/>
      <c r="I592" s="618"/>
      <c r="J592" s="619"/>
      <c r="K592" s="618"/>
      <c r="L592" s="620"/>
      <c r="M592" s="621"/>
      <c r="N592" s="620"/>
    </row>
    <row r="593" spans="1:14" ht="11.25" customHeight="1" x14ac:dyDescent="0.25">
      <c r="A593" s="615"/>
      <c r="B593" s="616"/>
      <c r="C593" s="617"/>
      <c r="D593" s="617"/>
      <c r="E593" s="617"/>
      <c r="F593" s="1083"/>
      <c r="G593" s="1084"/>
      <c r="H593" s="1069"/>
      <c r="I593" s="618"/>
      <c r="J593" s="619"/>
      <c r="K593" s="618"/>
      <c r="L593" s="620"/>
      <c r="M593" s="621"/>
      <c r="N593" s="620"/>
    </row>
    <row r="594" spans="1:14" ht="11.25" customHeight="1" x14ac:dyDescent="0.25">
      <c r="A594" s="615"/>
      <c r="B594" s="616"/>
      <c r="C594" s="617"/>
      <c r="D594" s="617"/>
      <c r="E594" s="617"/>
      <c r="F594" s="1083"/>
      <c r="G594" s="1084"/>
      <c r="H594" s="1069"/>
      <c r="I594" s="618"/>
      <c r="J594" s="619"/>
      <c r="K594" s="618"/>
      <c r="L594" s="620"/>
      <c r="M594" s="621"/>
      <c r="N594" s="620"/>
    </row>
    <row r="595" spans="1:14" ht="11.25" customHeight="1" x14ac:dyDescent="0.25">
      <c r="A595" s="615"/>
      <c r="B595" s="616"/>
      <c r="C595" s="617"/>
      <c r="D595" s="617"/>
      <c r="E595" s="617"/>
      <c r="F595" s="1083"/>
      <c r="G595" s="1084"/>
      <c r="H595" s="1069"/>
      <c r="I595" s="618"/>
      <c r="J595" s="619"/>
      <c r="K595" s="618"/>
      <c r="L595" s="620"/>
      <c r="M595" s="621"/>
      <c r="N595" s="620"/>
    </row>
    <row r="596" spans="1:14" ht="11.25" customHeight="1" x14ac:dyDescent="0.25">
      <c r="A596" s="615"/>
      <c r="B596" s="616"/>
      <c r="C596" s="617"/>
      <c r="D596" s="617"/>
      <c r="E596" s="617"/>
      <c r="F596" s="1083"/>
      <c r="G596" s="1084"/>
      <c r="H596" s="1069"/>
      <c r="I596" s="618"/>
      <c r="J596" s="619"/>
      <c r="K596" s="618"/>
      <c r="L596" s="620"/>
      <c r="M596" s="621"/>
      <c r="N596" s="620"/>
    </row>
    <row r="597" spans="1:14" ht="11.25" customHeight="1" x14ac:dyDescent="0.25">
      <c r="A597" s="615"/>
      <c r="B597" s="616"/>
      <c r="C597" s="617"/>
      <c r="D597" s="617"/>
      <c r="E597" s="617"/>
      <c r="F597" s="1083"/>
      <c r="G597" s="1084"/>
      <c r="H597" s="1069"/>
      <c r="I597" s="618"/>
      <c r="J597" s="619"/>
      <c r="K597" s="618"/>
      <c r="L597" s="620"/>
      <c r="M597" s="621"/>
      <c r="N597" s="620"/>
    </row>
    <row r="598" spans="1:14" ht="11.25" customHeight="1" x14ac:dyDescent="0.25">
      <c r="A598" s="615"/>
      <c r="B598" s="616"/>
      <c r="C598" s="617"/>
      <c r="D598" s="617"/>
      <c r="E598" s="617"/>
      <c r="F598" s="1083"/>
      <c r="G598" s="1084"/>
      <c r="H598" s="1069"/>
      <c r="I598" s="618"/>
      <c r="J598" s="619"/>
      <c r="K598" s="618"/>
      <c r="L598" s="620"/>
      <c r="M598" s="621"/>
      <c r="N598" s="620"/>
    </row>
    <row r="599" spans="1:14" ht="11.25" customHeight="1" x14ac:dyDescent="0.25">
      <c r="A599" s="615"/>
      <c r="B599" s="616"/>
      <c r="C599" s="617"/>
      <c r="D599" s="617"/>
      <c r="E599" s="617"/>
      <c r="F599" s="1083"/>
      <c r="G599" s="1084"/>
      <c r="H599" s="1069"/>
      <c r="I599" s="618"/>
      <c r="J599" s="619"/>
      <c r="K599" s="618"/>
      <c r="L599" s="620"/>
      <c r="M599" s="621"/>
      <c r="N599" s="620"/>
    </row>
    <row r="600" spans="1:14" ht="11.25" customHeight="1" x14ac:dyDescent="0.25">
      <c r="A600" s="615"/>
      <c r="B600" s="616"/>
      <c r="C600" s="617"/>
      <c r="D600" s="617"/>
      <c r="E600" s="617"/>
      <c r="F600" s="1083"/>
      <c r="G600" s="1084"/>
      <c r="H600" s="1069"/>
      <c r="I600" s="618"/>
      <c r="J600" s="619"/>
      <c r="K600" s="618"/>
      <c r="L600" s="620"/>
      <c r="M600" s="621"/>
      <c r="N600" s="620"/>
    </row>
    <row r="601" spans="1:14" ht="11.25" customHeight="1" x14ac:dyDescent="0.25">
      <c r="A601" s="615"/>
      <c r="B601" s="616"/>
      <c r="C601" s="617"/>
      <c r="D601" s="617"/>
      <c r="E601" s="617"/>
      <c r="F601" s="1083"/>
      <c r="G601" s="1084"/>
      <c r="H601" s="1069"/>
      <c r="I601" s="618"/>
      <c r="J601" s="619"/>
      <c r="K601" s="618"/>
      <c r="L601" s="620"/>
      <c r="M601" s="621"/>
      <c r="N601" s="620"/>
    </row>
    <row r="602" spans="1:14" ht="11.25" customHeight="1" x14ac:dyDescent="0.25">
      <c r="A602" s="615"/>
      <c r="B602" s="616"/>
      <c r="C602" s="617"/>
      <c r="D602" s="617"/>
      <c r="E602" s="617"/>
      <c r="F602" s="1083"/>
      <c r="G602" s="1084"/>
      <c r="H602" s="1069"/>
      <c r="I602" s="618"/>
      <c r="J602" s="619"/>
      <c r="K602" s="618"/>
      <c r="L602" s="620"/>
      <c r="M602" s="621"/>
      <c r="N602" s="620"/>
    </row>
    <row r="603" spans="1:14" ht="11.25" customHeight="1" x14ac:dyDescent="0.25">
      <c r="A603" s="615"/>
      <c r="B603" s="616"/>
      <c r="C603" s="617"/>
      <c r="D603" s="617"/>
      <c r="E603" s="617"/>
      <c r="F603" s="1083"/>
      <c r="G603" s="1084"/>
      <c r="H603" s="1069"/>
      <c r="I603" s="618"/>
      <c r="J603" s="619"/>
      <c r="K603" s="618"/>
      <c r="L603" s="620"/>
      <c r="M603" s="621"/>
      <c r="N603" s="620"/>
    </row>
    <row r="604" spans="1:14" ht="11.25" customHeight="1" x14ac:dyDescent="0.25">
      <c r="A604" s="615"/>
      <c r="B604" s="616"/>
      <c r="C604" s="617"/>
      <c r="D604" s="617"/>
      <c r="E604" s="617"/>
      <c r="F604" s="1083"/>
      <c r="G604" s="1084"/>
      <c r="H604" s="1069"/>
      <c r="I604" s="618"/>
      <c r="J604" s="619"/>
      <c r="K604" s="618"/>
      <c r="L604" s="620"/>
      <c r="M604" s="621"/>
      <c r="N604" s="620"/>
    </row>
    <row r="605" spans="1:14" ht="11.25" customHeight="1" x14ac:dyDescent="0.25">
      <c r="A605" s="615"/>
      <c r="B605" s="616"/>
      <c r="C605" s="617"/>
      <c r="D605" s="617"/>
      <c r="E605" s="617"/>
      <c r="F605" s="1083"/>
      <c r="G605" s="1084"/>
      <c r="H605" s="1069"/>
      <c r="I605" s="618"/>
      <c r="J605" s="619"/>
      <c r="K605" s="618"/>
      <c r="L605" s="620"/>
      <c r="M605" s="621"/>
      <c r="N605" s="620"/>
    </row>
    <row r="606" spans="1:14" ht="11.25" customHeight="1" x14ac:dyDescent="0.25">
      <c r="A606" s="615"/>
      <c r="B606" s="616"/>
      <c r="C606" s="617"/>
      <c r="D606" s="617"/>
      <c r="E606" s="617"/>
      <c r="F606" s="1083"/>
      <c r="G606" s="1084"/>
      <c r="H606" s="1069"/>
      <c r="I606" s="618"/>
      <c r="J606" s="619"/>
      <c r="K606" s="618"/>
      <c r="L606" s="620"/>
      <c r="M606" s="621"/>
      <c r="N606" s="620"/>
    </row>
    <row r="607" spans="1:14" ht="11.25" customHeight="1" x14ac:dyDescent="0.25">
      <c r="A607" s="615"/>
      <c r="B607" s="616"/>
      <c r="C607" s="617"/>
      <c r="D607" s="617"/>
      <c r="E607" s="617"/>
      <c r="F607" s="1083"/>
      <c r="G607" s="1084"/>
      <c r="H607" s="1069"/>
      <c r="I607" s="618"/>
      <c r="J607" s="619"/>
      <c r="K607" s="618"/>
      <c r="L607" s="620"/>
      <c r="M607" s="621"/>
      <c r="N607" s="620"/>
    </row>
    <row r="608" spans="1:14" ht="11.25" customHeight="1" x14ac:dyDescent="0.25">
      <c r="A608" s="615"/>
      <c r="B608" s="616"/>
      <c r="C608" s="617"/>
      <c r="D608" s="617"/>
      <c r="E608" s="617"/>
      <c r="F608" s="1083"/>
      <c r="G608" s="1084"/>
      <c r="H608" s="1069"/>
      <c r="I608" s="618"/>
      <c r="J608" s="619"/>
      <c r="K608" s="618"/>
      <c r="L608" s="620"/>
      <c r="M608" s="621"/>
      <c r="N608" s="620"/>
    </row>
    <row r="609" spans="1:14" ht="11.25" customHeight="1" x14ac:dyDescent="0.25">
      <c r="A609" s="615"/>
      <c r="B609" s="616"/>
      <c r="C609" s="617"/>
      <c r="D609" s="617"/>
      <c r="E609" s="617"/>
      <c r="F609" s="1083"/>
      <c r="G609" s="1084"/>
      <c r="H609" s="1069"/>
      <c r="I609" s="618"/>
      <c r="J609" s="619"/>
      <c r="K609" s="618"/>
      <c r="L609" s="620"/>
      <c r="M609" s="621"/>
      <c r="N609" s="620"/>
    </row>
    <row r="610" spans="1:14" ht="11.25" customHeight="1" x14ac:dyDescent="0.25">
      <c r="A610" s="615"/>
      <c r="B610" s="616"/>
      <c r="C610" s="617"/>
      <c r="D610" s="617"/>
      <c r="E610" s="617"/>
      <c r="F610" s="1083"/>
      <c r="G610" s="1084"/>
      <c r="H610" s="1069"/>
      <c r="I610" s="618"/>
      <c r="J610" s="619"/>
      <c r="K610" s="618"/>
      <c r="L610" s="620"/>
      <c r="M610" s="621"/>
      <c r="N610" s="620"/>
    </row>
    <row r="611" spans="1:14" ht="11.25" customHeight="1" x14ac:dyDescent="0.25">
      <c r="A611" s="615"/>
      <c r="B611" s="616"/>
      <c r="C611" s="617"/>
      <c r="D611" s="617"/>
      <c r="E611" s="617"/>
      <c r="F611" s="1083"/>
      <c r="G611" s="1084"/>
      <c r="H611" s="1069"/>
      <c r="I611" s="618"/>
      <c r="J611" s="619"/>
      <c r="K611" s="618"/>
      <c r="L611" s="620"/>
      <c r="M611" s="621"/>
      <c r="N611" s="620"/>
    </row>
    <row r="612" spans="1:14" ht="11.25" customHeight="1" x14ac:dyDescent="0.25">
      <c r="A612" s="615"/>
      <c r="B612" s="616"/>
      <c r="C612" s="617"/>
      <c r="D612" s="617"/>
      <c r="E612" s="617"/>
      <c r="F612" s="1083"/>
      <c r="G612" s="1084"/>
      <c r="H612" s="1069"/>
      <c r="I612" s="618"/>
      <c r="J612" s="619"/>
      <c r="K612" s="618"/>
      <c r="L612" s="620"/>
      <c r="M612" s="621"/>
      <c r="N612" s="620"/>
    </row>
    <row r="613" spans="1:14" ht="11.25" customHeight="1" x14ac:dyDescent="0.25">
      <c r="A613" s="615"/>
      <c r="B613" s="616"/>
      <c r="C613" s="617"/>
      <c r="D613" s="617"/>
      <c r="E613" s="617"/>
      <c r="F613" s="1083"/>
      <c r="G613" s="1084"/>
      <c r="H613" s="1069"/>
      <c r="I613" s="618"/>
      <c r="J613" s="619"/>
      <c r="K613" s="618"/>
      <c r="L613" s="620"/>
      <c r="M613" s="621"/>
      <c r="N613" s="620"/>
    </row>
    <row r="614" spans="1:14" ht="11.25" customHeight="1" x14ac:dyDescent="0.25">
      <c r="A614" s="615"/>
      <c r="B614" s="616"/>
      <c r="C614" s="617"/>
      <c r="D614" s="617"/>
      <c r="E614" s="617"/>
      <c r="F614" s="1083"/>
      <c r="G614" s="1084"/>
      <c r="H614" s="1069"/>
      <c r="I614" s="618"/>
      <c r="J614" s="619"/>
      <c r="K614" s="618"/>
      <c r="L614" s="620"/>
      <c r="M614" s="621"/>
      <c r="N614" s="620"/>
    </row>
    <row r="615" spans="1:14" ht="11.25" customHeight="1" x14ac:dyDescent="0.25">
      <c r="A615" s="615"/>
      <c r="B615" s="616"/>
      <c r="C615" s="617"/>
      <c r="D615" s="617"/>
      <c r="E615" s="617"/>
      <c r="F615" s="1083"/>
      <c r="G615" s="1084"/>
      <c r="H615" s="1069"/>
      <c r="I615" s="618"/>
      <c r="J615" s="619"/>
      <c r="K615" s="618"/>
      <c r="L615" s="620"/>
      <c r="M615" s="621"/>
      <c r="N615" s="620"/>
    </row>
    <row r="616" spans="1:14" ht="11.25" customHeight="1" x14ac:dyDescent="0.25">
      <c r="A616" s="615"/>
      <c r="B616" s="616"/>
      <c r="C616" s="617"/>
      <c r="D616" s="617"/>
      <c r="E616" s="617"/>
      <c r="F616" s="1083"/>
      <c r="G616" s="1084"/>
      <c r="H616" s="1069"/>
      <c r="I616" s="618"/>
      <c r="J616" s="619"/>
      <c r="K616" s="618"/>
      <c r="L616" s="620"/>
      <c r="M616" s="621"/>
      <c r="N616" s="620"/>
    </row>
    <row r="617" spans="1:14" ht="11.25" customHeight="1" x14ac:dyDescent="0.25">
      <c r="A617" s="615"/>
      <c r="B617" s="616"/>
      <c r="C617" s="617"/>
      <c r="D617" s="617"/>
      <c r="E617" s="617"/>
      <c r="F617" s="1083"/>
      <c r="G617" s="1084"/>
      <c r="H617" s="1069"/>
      <c r="I617" s="618"/>
      <c r="J617" s="619"/>
      <c r="K617" s="618"/>
      <c r="L617" s="620"/>
      <c r="M617" s="621"/>
      <c r="N617" s="620"/>
    </row>
    <row r="618" spans="1:14" ht="11.25" customHeight="1" x14ac:dyDescent="0.25">
      <c r="A618" s="615"/>
      <c r="B618" s="616"/>
      <c r="C618" s="617"/>
      <c r="D618" s="617"/>
      <c r="E618" s="617"/>
      <c r="F618" s="1083"/>
      <c r="G618" s="1084"/>
      <c r="H618" s="1069"/>
      <c r="I618" s="618"/>
      <c r="J618" s="619"/>
      <c r="K618" s="618"/>
      <c r="L618" s="620"/>
      <c r="M618" s="621"/>
      <c r="N618" s="620"/>
    </row>
    <row r="619" spans="1:14" ht="11.25" customHeight="1" x14ac:dyDescent="0.25">
      <c r="A619" s="615"/>
      <c r="B619" s="616"/>
      <c r="C619" s="617"/>
      <c r="D619" s="617"/>
      <c r="E619" s="617"/>
      <c r="F619" s="1083"/>
      <c r="G619" s="1084"/>
      <c r="H619" s="1069"/>
      <c r="I619" s="618"/>
      <c r="J619" s="619"/>
      <c r="K619" s="618"/>
      <c r="L619" s="620"/>
      <c r="M619" s="621"/>
      <c r="N619" s="620"/>
    </row>
    <row r="620" spans="1:14" ht="11.25" customHeight="1" x14ac:dyDescent="0.25">
      <c r="A620" s="615"/>
      <c r="B620" s="616"/>
      <c r="C620" s="617"/>
      <c r="D620" s="617"/>
      <c r="E620" s="617"/>
      <c r="F620" s="1083"/>
      <c r="G620" s="1084"/>
      <c r="H620" s="1069"/>
      <c r="I620" s="618"/>
      <c r="J620" s="619"/>
      <c r="K620" s="618"/>
      <c r="L620" s="620"/>
      <c r="M620" s="621"/>
      <c r="N620" s="620"/>
    </row>
    <row r="621" spans="1:14" ht="11.25" customHeight="1" x14ac:dyDescent="0.25">
      <c r="A621" s="615"/>
      <c r="B621" s="616"/>
      <c r="C621" s="617"/>
      <c r="D621" s="617"/>
      <c r="E621" s="617"/>
      <c r="F621" s="1083"/>
      <c r="G621" s="1084"/>
      <c r="H621" s="1069"/>
      <c r="I621" s="618"/>
      <c r="J621" s="619"/>
      <c r="K621" s="618"/>
      <c r="L621" s="620"/>
      <c r="M621" s="621"/>
      <c r="N621" s="620"/>
    </row>
    <row r="622" spans="1:14" ht="11.25" customHeight="1" x14ac:dyDescent="0.25">
      <c r="A622" s="615"/>
      <c r="B622" s="616"/>
      <c r="C622" s="617"/>
      <c r="D622" s="617"/>
      <c r="E622" s="617"/>
      <c r="F622" s="1083"/>
      <c r="G622" s="1084"/>
      <c r="H622" s="1069"/>
      <c r="I622" s="618"/>
      <c r="J622" s="619"/>
      <c r="K622" s="618"/>
      <c r="L622" s="620"/>
      <c r="M622" s="621"/>
      <c r="N622" s="620"/>
    </row>
    <row r="623" spans="1:14" ht="11.25" customHeight="1" x14ac:dyDescent="0.25">
      <c r="A623" s="615"/>
      <c r="B623" s="616"/>
      <c r="C623" s="617"/>
      <c r="D623" s="617"/>
      <c r="E623" s="617"/>
      <c r="F623" s="1083"/>
      <c r="G623" s="1084"/>
      <c r="H623" s="1069"/>
      <c r="I623" s="618"/>
      <c r="J623" s="619"/>
      <c r="K623" s="618"/>
      <c r="L623" s="620"/>
      <c r="M623" s="621"/>
      <c r="N623" s="620"/>
    </row>
    <row r="624" spans="1:14" ht="11.25" customHeight="1" x14ac:dyDescent="0.25">
      <c r="A624" s="615"/>
      <c r="B624" s="616"/>
      <c r="C624" s="617"/>
      <c r="D624" s="617"/>
      <c r="E624" s="617"/>
      <c r="F624" s="1083"/>
      <c r="G624" s="1084"/>
      <c r="H624" s="1069"/>
      <c r="I624" s="618"/>
      <c r="J624" s="619"/>
      <c r="K624" s="618"/>
      <c r="L624" s="620"/>
      <c r="M624" s="621"/>
      <c r="N624" s="620"/>
    </row>
    <row r="625" spans="1:14" ht="11.25" customHeight="1" x14ac:dyDescent="0.25">
      <c r="A625" s="615"/>
      <c r="B625" s="616"/>
      <c r="C625" s="617"/>
      <c r="D625" s="617"/>
      <c r="E625" s="617"/>
      <c r="F625" s="1083"/>
      <c r="G625" s="1084"/>
      <c r="H625" s="1069"/>
      <c r="I625" s="618"/>
      <c r="J625" s="619"/>
      <c r="K625" s="618"/>
      <c r="L625" s="620"/>
      <c r="M625" s="621"/>
      <c r="N625" s="620"/>
    </row>
    <row r="626" spans="1:14" ht="11.25" customHeight="1" x14ac:dyDescent="0.25">
      <c r="A626" s="615"/>
      <c r="B626" s="616"/>
      <c r="C626" s="617"/>
      <c r="D626" s="617"/>
      <c r="E626" s="617"/>
      <c r="F626" s="1083"/>
      <c r="G626" s="1084"/>
      <c r="H626" s="1069"/>
      <c r="I626" s="618"/>
      <c r="J626" s="619"/>
      <c r="K626" s="618"/>
      <c r="L626" s="620"/>
      <c r="M626" s="621"/>
      <c r="N626" s="620"/>
    </row>
    <row r="627" spans="1:14" ht="11.25" customHeight="1" x14ac:dyDescent="0.25">
      <c r="A627" s="615"/>
      <c r="B627" s="616"/>
      <c r="C627" s="617"/>
      <c r="D627" s="617"/>
      <c r="E627" s="617"/>
      <c r="F627" s="1083"/>
      <c r="G627" s="1084"/>
      <c r="H627" s="1069"/>
      <c r="I627" s="618"/>
      <c r="J627" s="619"/>
      <c r="K627" s="618"/>
      <c r="L627" s="620"/>
      <c r="M627" s="621"/>
      <c r="N627" s="620"/>
    </row>
    <row r="628" spans="1:14" ht="11.25" customHeight="1" x14ac:dyDescent="0.25">
      <c r="A628" s="615"/>
      <c r="B628" s="616"/>
      <c r="C628" s="617"/>
      <c r="D628" s="617"/>
      <c r="E628" s="617"/>
      <c r="F628" s="1083"/>
      <c r="G628" s="1084"/>
      <c r="H628" s="1069"/>
      <c r="I628" s="618"/>
      <c r="J628" s="619"/>
      <c r="K628" s="618"/>
      <c r="L628" s="620"/>
      <c r="M628" s="621"/>
      <c r="N628" s="620"/>
    </row>
    <row r="629" spans="1:14" ht="11.25" customHeight="1" x14ac:dyDescent="0.25">
      <c r="A629" s="615"/>
      <c r="B629" s="616"/>
      <c r="C629" s="617"/>
      <c r="D629" s="617"/>
      <c r="E629" s="617"/>
      <c r="F629" s="1083"/>
      <c r="G629" s="1084"/>
      <c r="H629" s="1069"/>
      <c r="I629" s="618"/>
      <c r="J629" s="619"/>
      <c r="K629" s="618"/>
      <c r="L629" s="620"/>
      <c r="M629" s="621"/>
      <c r="N629" s="620"/>
    </row>
    <row r="630" spans="1:14" ht="11.25" customHeight="1" x14ac:dyDescent="0.25">
      <c r="A630" s="615"/>
      <c r="B630" s="616"/>
      <c r="C630" s="617"/>
      <c r="D630" s="617"/>
      <c r="E630" s="617"/>
      <c r="F630" s="1083"/>
      <c r="G630" s="1084"/>
      <c r="H630" s="1069"/>
      <c r="I630" s="618"/>
      <c r="J630" s="619"/>
      <c r="K630" s="618"/>
      <c r="L630" s="620"/>
      <c r="M630" s="621"/>
      <c r="N630" s="620"/>
    </row>
    <row r="631" spans="1:14" ht="11.25" customHeight="1" x14ac:dyDescent="0.25">
      <c r="A631" s="615"/>
      <c r="B631" s="616"/>
      <c r="C631" s="617"/>
      <c r="D631" s="617"/>
      <c r="E631" s="617"/>
      <c r="F631" s="1083"/>
      <c r="G631" s="1084"/>
      <c r="H631" s="1069"/>
      <c r="I631" s="618"/>
      <c r="J631" s="619"/>
      <c r="K631" s="618"/>
      <c r="L631" s="620"/>
      <c r="M631" s="621"/>
      <c r="N631" s="620"/>
    </row>
    <row r="632" spans="1:14" ht="11.25" customHeight="1" x14ac:dyDescent="0.25">
      <c r="A632" s="615"/>
      <c r="B632" s="616"/>
      <c r="C632" s="617"/>
      <c r="D632" s="617"/>
      <c r="E632" s="617"/>
      <c r="F632" s="1083"/>
      <c r="G632" s="1084"/>
      <c r="H632" s="1069"/>
      <c r="I632" s="618"/>
      <c r="J632" s="619"/>
      <c r="K632" s="618"/>
      <c r="L632" s="620"/>
      <c r="M632" s="621"/>
      <c r="N632" s="620"/>
    </row>
    <row r="633" spans="1:14" ht="11.25" customHeight="1" x14ac:dyDescent="0.25">
      <c r="A633" s="615"/>
      <c r="B633" s="616"/>
      <c r="C633" s="617"/>
      <c r="D633" s="617"/>
      <c r="E633" s="617"/>
      <c r="F633" s="1083"/>
      <c r="G633" s="1084"/>
      <c r="H633" s="1069"/>
      <c r="I633" s="618"/>
      <c r="J633" s="619"/>
      <c r="K633" s="618"/>
      <c r="L633" s="620"/>
      <c r="M633" s="621"/>
      <c r="N633" s="620"/>
    </row>
    <row r="634" spans="1:14" ht="11.25" customHeight="1" x14ac:dyDescent="0.25">
      <c r="A634" s="615"/>
      <c r="B634" s="616"/>
      <c r="C634" s="617"/>
      <c r="D634" s="617"/>
      <c r="E634" s="617"/>
      <c r="F634" s="1083"/>
      <c r="G634" s="1084"/>
      <c r="H634" s="1069"/>
      <c r="I634" s="618"/>
      <c r="J634" s="619"/>
      <c r="K634" s="618"/>
      <c r="L634" s="620"/>
      <c r="M634" s="621"/>
      <c r="N634" s="620"/>
    </row>
    <row r="635" spans="1:14" ht="11.25" customHeight="1" x14ac:dyDescent="0.25">
      <c r="A635" s="615"/>
      <c r="B635" s="616"/>
      <c r="C635" s="617"/>
      <c r="D635" s="617"/>
      <c r="E635" s="617"/>
      <c r="F635" s="1083"/>
      <c r="G635" s="1084"/>
      <c r="H635" s="1069"/>
      <c r="I635" s="618"/>
      <c r="J635" s="619"/>
      <c r="K635" s="618"/>
      <c r="L635" s="620"/>
      <c r="M635" s="621"/>
      <c r="N635" s="620"/>
    </row>
    <row r="636" spans="1:14" ht="11.25" customHeight="1" x14ac:dyDescent="0.25">
      <c r="A636" s="615"/>
      <c r="B636" s="616"/>
      <c r="C636" s="617"/>
      <c r="D636" s="617"/>
      <c r="E636" s="617"/>
      <c r="F636" s="1083"/>
      <c r="G636" s="1084"/>
      <c r="H636" s="1069"/>
      <c r="I636" s="618"/>
      <c r="J636" s="619"/>
      <c r="K636" s="618"/>
      <c r="L636" s="620"/>
      <c r="M636" s="621"/>
      <c r="N636" s="620"/>
    </row>
    <row r="637" spans="1:14" ht="11.25" customHeight="1" x14ac:dyDescent="0.25">
      <c r="A637" s="615"/>
      <c r="B637" s="616"/>
      <c r="C637" s="617"/>
      <c r="D637" s="617"/>
      <c r="E637" s="617"/>
      <c r="F637" s="1083"/>
      <c r="G637" s="1084"/>
      <c r="H637" s="1069"/>
      <c r="I637" s="618"/>
      <c r="J637" s="619"/>
      <c r="K637" s="618"/>
      <c r="L637" s="620"/>
      <c r="M637" s="621"/>
      <c r="N637" s="620"/>
    </row>
    <row r="638" spans="1:14" ht="11.25" customHeight="1" x14ac:dyDescent="0.25">
      <c r="A638" s="615"/>
      <c r="B638" s="616"/>
      <c r="C638" s="617"/>
      <c r="D638" s="617"/>
      <c r="E638" s="617"/>
      <c r="F638" s="1083"/>
      <c r="G638" s="1084"/>
      <c r="H638" s="1069"/>
      <c r="I638" s="618"/>
      <c r="J638" s="619"/>
      <c r="K638" s="618"/>
      <c r="L638" s="620"/>
      <c r="M638" s="621"/>
      <c r="N638" s="620"/>
    </row>
    <row r="639" spans="1:14" ht="11.25" customHeight="1" x14ac:dyDescent="0.25">
      <c r="A639" s="615"/>
      <c r="B639" s="616"/>
      <c r="C639" s="617"/>
      <c r="D639" s="617"/>
      <c r="E639" s="617"/>
      <c r="F639" s="1083"/>
      <c r="G639" s="1084"/>
      <c r="H639" s="1069"/>
      <c r="I639" s="618"/>
      <c r="J639" s="619"/>
      <c r="K639" s="618"/>
      <c r="L639" s="620"/>
      <c r="M639" s="621"/>
      <c r="N639" s="620"/>
    </row>
    <row r="640" spans="1:14" ht="11.25" customHeight="1" x14ac:dyDescent="0.25">
      <c r="A640" s="615"/>
      <c r="B640" s="616"/>
      <c r="C640" s="617"/>
      <c r="D640" s="617"/>
      <c r="E640" s="617"/>
      <c r="F640" s="1083"/>
      <c r="G640" s="1084"/>
      <c r="H640" s="1069"/>
      <c r="I640" s="618"/>
      <c r="J640" s="619"/>
      <c r="K640" s="618"/>
      <c r="L640" s="620"/>
      <c r="M640" s="621"/>
      <c r="N640" s="620"/>
    </row>
    <row r="641" spans="1:14" ht="11.25" customHeight="1" x14ac:dyDescent="0.25">
      <c r="A641" s="615"/>
      <c r="B641" s="616"/>
      <c r="C641" s="617"/>
      <c r="D641" s="617"/>
      <c r="E641" s="617"/>
      <c r="F641" s="1083"/>
      <c r="G641" s="1084"/>
      <c r="H641" s="1069"/>
      <c r="I641" s="618"/>
      <c r="J641" s="619"/>
      <c r="K641" s="618"/>
      <c r="L641" s="620"/>
      <c r="M641" s="621"/>
      <c r="N641" s="620"/>
    </row>
    <row r="642" spans="1:14" ht="11.25" customHeight="1" x14ac:dyDescent="0.25">
      <c r="A642" s="615"/>
      <c r="B642" s="616"/>
      <c r="C642" s="617"/>
      <c r="D642" s="617"/>
      <c r="E642" s="617"/>
      <c r="F642" s="1083"/>
      <c r="G642" s="1084"/>
      <c r="H642" s="1069"/>
      <c r="I642" s="618"/>
      <c r="J642" s="619"/>
      <c r="K642" s="618"/>
      <c r="L642" s="620"/>
      <c r="M642" s="621"/>
      <c r="N642" s="620"/>
    </row>
    <row r="643" spans="1:14" ht="11.25" customHeight="1" x14ac:dyDescent="0.25">
      <c r="A643" s="615"/>
      <c r="B643" s="616"/>
      <c r="C643" s="617"/>
      <c r="D643" s="617"/>
      <c r="E643" s="617"/>
      <c r="F643" s="1083"/>
      <c r="G643" s="1084"/>
      <c r="H643" s="1069"/>
      <c r="I643" s="618"/>
      <c r="J643" s="619"/>
      <c r="K643" s="618"/>
      <c r="L643" s="620"/>
      <c r="M643" s="621"/>
      <c r="N643" s="620"/>
    </row>
    <row r="644" spans="1:14" ht="11.25" customHeight="1" x14ac:dyDescent="0.25">
      <c r="A644" s="615"/>
      <c r="B644" s="616"/>
      <c r="C644" s="617"/>
      <c r="D644" s="617"/>
      <c r="E644" s="617"/>
      <c r="F644" s="1083"/>
      <c r="G644" s="1084"/>
      <c r="H644" s="1069"/>
      <c r="I644" s="618"/>
      <c r="J644" s="619"/>
      <c r="K644" s="618"/>
      <c r="L644" s="620"/>
      <c r="M644" s="621"/>
      <c r="N644" s="620"/>
    </row>
    <row r="645" spans="1:14" ht="11.25" customHeight="1" x14ac:dyDescent="0.25">
      <c r="A645" s="615"/>
      <c r="B645" s="616"/>
      <c r="C645" s="617"/>
      <c r="D645" s="617"/>
      <c r="E645" s="617"/>
      <c r="F645" s="1083"/>
      <c r="G645" s="1084"/>
      <c r="H645" s="1069"/>
      <c r="I645" s="618"/>
      <c r="J645" s="619"/>
      <c r="K645" s="618"/>
      <c r="L645" s="620"/>
      <c r="M645" s="621"/>
      <c r="N645" s="620"/>
    </row>
    <row r="646" spans="1:14" ht="11.25" customHeight="1" x14ac:dyDescent="0.25">
      <c r="A646" s="615"/>
      <c r="B646" s="616"/>
      <c r="C646" s="617"/>
      <c r="D646" s="617"/>
      <c r="E646" s="617"/>
      <c r="F646" s="1083"/>
      <c r="G646" s="1084"/>
      <c r="H646" s="1069"/>
      <c r="I646" s="618"/>
      <c r="J646" s="619"/>
      <c r="K646" s="618"/>
      <c r="L646" s="620"/>
      <c r="M646" s="621"/>
      <c r="N646" s="620"/>
    </row>
    <row r="647" spans="1:14" ht="11.25" customHeight="1" x14ac:dyDescent="0.25">
      <c r="A647" s="615"/>
      <c r="B647" s="616"/>
      <c r="C647" s="617"/>
      <c r="D647" s="617"/>
      <c r="E647" s="617"/>
      <c r="F647" s="1083"/>
      <c r="G647" s="1084"/>
      <c r="H647" s="1069"/>
      <c r="I647" s="618"/>
      <c r="J647" s="619"/>
      <c r="K647" s="618"/>
      <c r="L647" s="620"/>
      <c r="M647" s="621"/>
      <c r="N647" s="620"/>
    </row>
    <row r="648" spans="1:14" ht="11.25" customHeight="1" x14ac:dyDescent="0.25">
      <c r="A648" s="615"/>
      <c r="B648" s="616"/>
      <c r="C648" s="617"/>
      <c r="D648" s="617"/>
      <c r="E648" s="617"/>
      <c r="F648" s="1083"/>
      <c r="G648" s="1084"/>
      <c r="H648" s="1069"/>
      <c r="I648" s="618"/>
      <c r="J648" s="619"/>
      <c r="K648" s="618"/>
      <c r="L648" s="620"/>
      <c r="M648" s="621"/>
      <c r="N648" s="620"/>
    </row>
    <row r="649" spans="1:14" ht="11.25" customHeight="1" x14ac:dyDescent="0.25">
      <c r="A649" s="615"/>
      <c r="B649" s="616"/>
      <c r="C649" s="617"/>
      <c r="D649" s="617"/>
      <c r="E649" s="617"/>
      <c r="F649" s="1083"/>
      <c r="G649" s="1084"/>
      <c r="H649" s="1069"/>
      <c r="I649" s="618"/>
      <c r="J649" s="619"/>
      <c r="K649" s="618"/>
      <c r="L649" s="620"/>
      <c r="M649" s="621"/>
      <c r="N649" s="620"/>
    </row>
    <row r="650" spans="1:14" ht="11.25" customHeight="1" x14ac:dyDescent="0.25">
      <c r="A650" s="615"/>
      <c r="B650" s="616"/>
      <c r="C650" s="617"/>
      <c r="D650" s="617"/>
      <c r="E650" s="617"/>
      <c r="F650" s="1083"/>
      <c r="G650" s="1084"/>
      <c r="H650" s="1069"/>
      <c r="I650" s="618"/>
      <c r="J650" s="619"/>
      <c r="K650" s="618"/>
      <c r="L650" s="620"/>
      <c r="M650" s="621"/>
      <c r="N650" s="620"/>
    </row>
    <row r="651" spans="1:14" ht="11.25" customHeight="1" x14ac:dyDescent="0.25">
      <c r="A651" s="615"/>
      <c r="B651" s="616"/>
      <c r="C651" s="617"/>
      <c r="D651" s="617"/>
      <c r="E651" s="617"/>
      <c r="F651" s="1083"/>
      <c r="G651" s="1084"/>
      <c r="H651" s="1069"/>
      <c r="I651" s="618"/>
      <c r="J651" s="619"/>
      <c r="K651" s="618"/>
      <c r="L651" s="620"/>
      <c r="M651" s="621"/>
      <c r="N651" s="620"/>
    </row>
    <row r="652" spans="1:14" ht="11.25" customHeight="1" x14ac:dyDescent="0.25">
      <c r="A652" s="615"/>
      <c r="B652" s="616"/>
      <c r="C652" s="617"/>
      <c r="D652" s="617"/>
      <c r="E652" s="617"/>
      <c r="F652" s="1083"/>
      <c r="G652" s="1084"/>
      <c r="H652" s="1069"/>
      <c r="I652" s="618"/>
      <c r="J652" s="619"/>
      <c r="K652" s="618"/>
      <c r="L652" s="620"/>
      <c r="M652" s="621"/>
      <c r="N652" s="620"/>
    </row>
    <row r="653" spans="1:14" ht="11.25" customHeight="1" x14ac:dyDescent="0.25">
      <c r="A653" s="615"/>
      <c r="B653" s="616"/>
      <c r="C653" s="617"/>
      <c r="D653" s="617"/>
      <c r="E653" s="617"/>
      <c r="F653" s="1083"/>
      <c r="G653" s="1084"/>
      <c r="H653" s="1069"/>
      <c r="I653" s="618"/>
      <c r="J653" s="619"/>
      <c r="K653" s="618"/>
      <c r="L653" s="620"/>
      <c r="M653" s="621"/>
      <c r="N653" s="620"/>
    </row>
    <row r="654" spans="1:14" ht="11.25" customHeight="1" x14ac:dyDescent="0.25">
      <c r="A654" s="615"/>
      <c r="B654" s="616"/>
      <c r="C654" s="617"/>
      <c r="D654" s="617"/>
      <c r="E654" s="617"/>
      <c r="F654" s="1083"/>
      <c r="G654" s="1084"/>
      <c r="H654" s="1069"/>
      <c r="I654" s="618"/>
      <c r="J654" s="619"/>
      <c r="K654" s="618"/>
      <c r="L654" s="620"/>
      <c r="M654" s="621"/>
      <c r="N654" s="620"/>
    </row>
    <row r="655" spans="1:14" ht="11.25" customHeight="1" x14ac:dyDescent="0.25">
      <c r="A655" s="615"/>
      <c r="B655" s="616"/>
      <c r="C655" s="617"/>
      <c r="D655" s="617"/>
      <c r="E655" s="617"/>
      <c r="F655" s="1083"/>
      <c r="G655" s="1084"/>
      <c r="H655" s="1069"/>
      <c r="I655" s="618"/>
      <c r="J655" s="619"/>
      <c r="K655" s="618"/>
      <c r="L655" s="620"/>
      <c r="M655" s="621"/>
      <c r="N655" s="620"/>
    </row>
    <row r="656" spans="1:14" ht="11.25" customHeight="1" x14ac:dyDescent="0.25">
      <c r="A656" s="615"/>
      <c r="B656" s="616"/>
      <c r="C656" s="617"/>
      <c r="D656" s="617"/>
      <c r="E656" s="617"/>
      <c r="F656" s="1083"/>
      <c r="G656" s="1084"/>
      <c r="H656" s="1069"/>
      <c r="I656" s="618"/>
      <c r="J656" s="619"/>
      <c r="K656" s="618"/>
      <c r="L656" s="620"/>
      <c r="M656" s="621"/>
      <c r="N656" s="620"/>
    </row>
    <row r="657" spans="1:14" ht="11.25" customHeight="1" x14ac:dyDescent="0.25">
      <c r="A657" s="615"/>
      <c r="B657" s="616"/>
      <c r="C657" s="617"/>
      <c r="D657" s="617"/>
      <c r="E657" s="617"/>
      <c r="F657" s="1083"/>
      <c r="G657" s="1084"/>
      <c r="H657" s="1069"/>
      <c r="I657" s="618"/>
      <c r="J657" s="619"/>
      <c r="K657" s="618"/>
      <c r="L657" s="620"/>
      <c r="M657" s="621"/>
      <c r="N657" s="620"/>
    </row>
    <row r="658" spans="1:14" ht="11.25" customHeight="1" x14ac:dyDescent="0.25">
      <c r="A658" s="615"/>
      <c r="B658" s="616"/>
      <c r="C658" s="617"/>
      <c r="D658" s="617"/>
      <c r="E658" s="617"/>
      <c r="F658" s="1083"/>
      <c r="G658" s="1084"/>
      <c r="H658" s="1069"/>
      <c r="I658" s="618"/>
      <c r="J658" s="619"/>
      <c r="K658" s="618"/>
      <c r="L658" s="620"/>
      <c r="M658" s="621"/>
      <c r="N658" s="620"/>
    </row>
    <row r="659" spans="1:14" ht="11.25" customHeight="1" x14ac:dyDescent="0.25">
      <c r="A659" s="615"/>
      <c r="B659" s="616"/>
      <c r="C659" s="617"/>
      <c r="D659" s="617"/>
      <c r="E659" s="617"/>
      <c r="F659" s="1083"/>
      <c r="G659" s="1084"/>
      <c r="H659" s="1069"/>
      <c r="I659" s="618"/>
      <c r="J659" s="619"/>
      <c r="K659" s="618"/>
      <c r="L659" s="620"/>
      <c r="M659" s="621"/>
      <c r="N659" s="620"/>
    </row>
    <row r="660" spans="1:14" ht="11.25" customHeight="1" x14ac:dyDescent="0.25">
      <c r="A660" s="615"/>
      <c r="B660" s="616"/>
      <c r="C660" s="617"/>
      <c r="D660" s="617"/>
      <c r="E660" s="617"/>
      <c r="F660" s="1083"/>
      <c r="G660" s="1084"/>
      <c r="H660" s="1069"/>
      <c r="I660" s="618"/>
      <c r="J660" s="619"/>
      <c r="K660" s="618"/>
      <c r="L660" s="620"/>
      <c r="M660" s="621"/>
      <c r="N660" s="620"/>
    </row>
    <row r="661" spans="1:14" ht="11.25" customHeight="1" x14ac:dyDescent="0.25">
      <c r="A661" s="615"/>
      <c r="B661" s="616"/>
      <c r="C661" s="617"/>
      <c r="D661" s="617"/>
      <c r="E661" s="617"/>
      <c r="F661" s="1083"/>
      <c r="G661" s="1084"/>
      <c r="H661" s="1069"/>
      <c r="I661" s="618"/>
      <c r="J661" s="619"/>
      <c r="K661" s="618"/>
      <c r="L661" s="620"/>
      <c r="M661" s="621"/>
      <c r="N661" s="620"/>
    </row>
    <row r="662" spans="1:14" ht="11.25" customHeight="1" x14ac:dyDescent="0.25">
      <c r="A662" s="615"/>
      <c r="B662" s="616"/>
      <c r="C662" s="617"/>
      <c r="D662" s="617"/>
      <c r="E662" s="617"/>
      <c r="F662" s="1083"/>
      <c r="G662" s="1084"/>
      <c r="H662" s="1069"/>
      <c r="I662" s="618"/>
      <c r="J662" s="619"/>
      <c r="K662" s="618"/>
      <c r="L662" s="620"/>
      <c r="M662" s="621"/>
      <c r="N662" s="620"/>
    </row>
    <row r="663" spans="1:14" ht="11.25" customHeight="1" x14ac:dyDescent="0.25">
      <c r="A663" s="615"/>
      <c r="B663" s="616"/>
      <c r="C663" s="617"/>
      <c r="D663" s="617"/>
      <c r="E663" s="617"/>
      <c r="F663" s="1083"/>
      <c r="G663" s="1084"/>
      <c r="H663" s="1069"/>
      <c r="I663" s="618"/>
      <c r="J663" s="619"/>
      <c r="K663" s="618"/>
      <c r="L663" s="620"/>
      <c r="M663" s="621"/>
      <c r="N663" s="620"/>
    </row>
    <row r="664" spans="1:14" ht="11.25" customHeight="1" x14ac:dyDescent="0.25">
      <c r="A664" s="615"/>
      <c r="B664" s="616"/>
      <c r="C664" s="617"/>
      <c r="D664" s="617"/>
      <c r="E664" s="617"/>
      <c r="F664" s="1083"/>
      <c r="G664" s="1084"/>
      <c r="H664" s="1069"/>
      <c r="I664" s="618"/>
      <c r="J664" s="619"/>
      <c r="K664" s="618"/>
      <c r="L664" s="620"/>
      <c r="M664" s="621"/>
      <c r="N664" s="620"/>
    </row>
    <row r="665" spans="1:14" ht="11.25" customHeight="1" x14ac:dyDescent="0.25">
      <c r="A665" s="615"/>
      <c r="B665" s="616"/>
      <c r="C665" s="617"/>
      <c r="D665" s="617"/>
      <c r="E665" s="617"/>
      <c r="F665" s="1083"/>
      <c r="G665" s="1084"/>
      <c r="H665" s="1069"/>
      <c r="I665" s="618"/>
      <c r="J665" s="619"/>
      <c r="K665" s="618"/>
      <c r="L665" s="620"/>
      <c r="M665" s="621"/>
      <c r="N665" s="620"/>
    </row>
    <row r="666" spans="1:14" ht="11.25" customHeight="1" x14ac:dyDescent="0.25">
      <c r="A666" s="615"/>
      <c r="B666" s="616"/>
      <c r="C666" s="617"/>
      <c r="D666" s="617"/>
      <c r="E666" s="617"/>
      <c r="F666" s="1083"/>
      <c r="G666" s="1084"/>
      <c r="H666" s="1069"/>
      <c r="I666" s="618"/>
      <c r="J666" s="619"/>
      <c r="K666" s="618"/>
      <c r="L666" s="620"/>
      <c r="M666" s="621"/>
      <c r="N666" s="620"/>
    </row>
    <row r="667" spans="1:14" ht="11.25" customHeight="1" x14ac:dyDescent="0.25">
      <c r="A667" s="615"/>
      <c r="B667" s="616"/>
      <c r="C667" s="617"/>
      <c r="D667" s="617"/>
      <c r="E667" s="617"/>
      <c r="F667" s="1083"/>
      <c r="G667" s="1084"/>
      <c r="H667" s="1069"/>
      <c r="I667" s="618"/>
      <c r="J667" s="619"/>
      <c r="K667" s="618"/>
      <c r="L667" s="620"/>
      <c r="M667" s="621"/>
      <c r="N667" s="620"/>
    </row>
    <row r="668" spans="1:14" ht="11.25" customHeight="1" x14ac:dyDescent="0.25">
      <c r="A668" s="615"/>
      <c r="B668" s="616"/>
      <c r="C668" s="617"/>
      <c r="D668" s="617"/>
      <c r="E668" s="617"/>
      <c r="F668" s="1083"/>
      <c r="G668" s="1084"/>
      <c r="H668" s="1069"/>
      <c r="I668" s="618"/>
      <c r="J668" s="619"/>
      <c r="K668" s="618"/>
      <c r="L668" s="620"/>
      <c r="M668" s="621"/>
      <c r="N668" s="620"/>
    </row>
    <row r="669" spans="1:14" ht="11.25" customHeight="1" x14ac:dyDescent="0.25">
      <c r="A669" s="615"/>
      <c r="B669" s="616"/>
      <c r="C669" s="617"/>
      <c r="D669" s="617"/>
      <c r="E669" s="617"/>
      <c r="F669" s="1083"/>
      <c r="G669" s="1084"/>
      <c r="H669" s="1069"/>
      <c r="I669" s="618"/>
      <c r="J669" s="619"/>
      <c r="K669" s="618"/>
      <c r="L669" s="620"/>
      <c r="M669" s="621"/>
      <c r="N669" s="620"/>
    </row>
    <row r="670" spans="1:14" ht="11.25" customHeight="1" x14ac:dyDescent="0.25">
      <c r="A670" s="615"/>
      <c r="B670" s="616"/>
      <c r="C670" s="617"/>
      <c r="D670" s="617"/>
      <c r="E670" s="617"/>
      <c r="F670" s="1083"/>
      <c r="G670" s="1084"/>
      <c r="H670" s="1069"/>
      <c r="I670" s="618"/>
      <c r="J670" s="619"/>
      <c r="K670" s="618"/>
      <c r="L670" s="620"/>
      <c r="M670" s="621"/>
      <c r="N670" s="620"/>
    </row>
    <row r="671" spans="1:14" ht="11.25" customHeight="1" x14ac:dyDescent="0.25">
      <c r="A671" s="615"/>
      <c r="B671" s="616"/>
      <c r="C671" s="617"/>
      <c r="D671" s="617"/>
      <c r="E671" s="617"/>
      <c r="F671" s="1083"/>
      <c r="G671" s="1084"/>
      <c r="H671" s="1069"/>
      <c r="I671" s="618"/>
      <c r="J671" s="619"/>
      <c r="K671" s="618"/>
      <c r="L671" s="620"/>
      <c r="M671" s="621"/>
      <c r="N671" s="620"/>
    </row>
    <row r="672" spans="1:14" ht="11.25" customHeight="1" x14ac:dyDescent="0.25">
      <c r="A672" s="615"/>
      <c r="B672" s="616"/>
      <c r="C672" s="617"/>
      <c r="D672" s="617"/>
      <c r="E672" s="617"/>
      <c r="F672" s="1083"/>
      <c r="G672" s="1084"/>
      <c r="H672" s="1069"/>
      <c r="I672" s="618"/>
      <c r="J672" s="619"/>
      <c r="K672" s="618"/>
      <c r="L672" s="620"/>
      <c r="M672" s="621"/>
      <c r="N672" s="620"/>
    </row>
    <row r="673" spans="1:14" ht="11.25" customHeight="1" x14ac:dyDescent="0.25">
      <c r="A673" s="615"/>
      <c r="B673" s="616"/>
      <c r="C673" s="617"/>
      <c r="D673" s="617"/>
      <c r="E673" s="617"/>
      <c r="F673" s="1083"/>
      <c r="G673" s="1084"/>
      <c r="H673" s="1069"/>
      <c r="I673" s="618"/>
      <c r="J673" s="619"/>
      <c r="K673" s="618"/>
      <c r="L673" s="620"/>
      <c r="M673" s="621"/>
      <c r="N673" s="620"/>
    </row>
    <row r="674" spans="1:14" ht="11.25" customHeight="1" x14ac:dyDescent="0.25">
      <c r="A674" s="615"/>
      <c r="B674" s="616"/>
      <c r="C674" s="617"/>
      <c r="D674" s="617"/>
      <c r="E674" s="617"/>
      <c r="F674" s="1083"/>
      <c r="G674" s="1084"/>
      <c r="H674" s="1069"/>
      <c r="I674" s="618"/>
      <c r="J674" s="619"/>
      <c r="K674" s="618"/>
      <c r="L674" s="620"/>
      <c r="M674" s="621"/>
      <c r="N674" s="620"/>
    </row>
    <row r="675" spans="1:14" ht="11.25" customHeight="1" x14ac:dyDescent="0.25">
      <c r="A675" s="615"/>
      <c r="B675" s="616"/>
      <c r="C675" s="617"/>
      <c r="D675" s="617"/>
      <c r="E675" s="617"/>
      <c r="F675" s="1083"/>
      <c r="G675" s="1084"/>
      <c r="H675" s="1069"/>
      <c r="I675" s="618"/>
      <c r="J675" s="619"/>
      <c r="K675" s="618"/>
      <c r="L675" s="620"/>
      <c r="M675" s="621"/>
      <c r="N675" s="620"/>
    </row>
    <row r="676" spans="1:14" ht="11.25" customHeight="1" x14ac:dyDescent="0.25">
      <c r="A676" s="615"/>
      <c r="B676" s="616"/>
      <c r="C676" s="617"/>
      <c r="D676" s="617"/>
      <c r="E676" s="617"/>
      <c r="F676" s="1083"/>
      <c r="G676" s="1084"/>
      <c r="H676" s="1069"/>
      <c r="I676" s="618"/>
      <c r="J676" s="619"/>
      <c r="K676" s="618"/>
      <c r="L676" s="620"/>
      <c r="M676" s="621"/>
      <c r="N676" s="620"/>
    </row>
    <row r="677" spans="1:14" ht="11.25" customHeight="1" x14ac:dyDescent="0.25">
      <c r="A677" s="615"/>
      <c r="B677" s="616"/>
      <c r="C677" s="617"/>
      <c r="D677" s="617"/>
      <c r="E677" s="617"/>
      <c r="F677" s="1083"/>
      <c r="G677" s="1084"/>
      <c r="H677" s="1069"/>
      <c r="I677" s="618"/>
      <c r="J677" s="619"/>
      <c r="K677" s="618"/>
      <c r="L677" s="620"/>
      <c r="M677" s="621"/>
      <c r="N677" s="620"/>
    </row>
    <row r="678" spans="1:14" ht="11.25" customHeight="1" x14ac:dyDescent="0.25">
      <c r="A678" s="615"/>
      <c r="B678" s="616"/>
      <c r="C678" s="617"/>
      <c r="D678" s="617"/>
      <c r="E678" s="617"/>
      <c r="F678" s="1083"/>
      <c r="G678" s="1084"/>
      <c r="H678" s="1069"/>
      <c r="I678" s="618"/>
      <c r="J678" s="619"/>
      <c r="K678" s="618"/>
      <c r="L678" s="620"/>
      <c r="M678" s="621"/>
      <c r="N678" s="620"/>
    </row>
    <row r="679" spans="1:14" ht="11.25" customHeight="1" x14ac:dyDescent="0.25">
      <c r="A679" s="615"/>
      <c r="B679" s="616"/>
      <c r="C679" s="617"/>
      <c r="D679" s="617"/>
      <c r="E679" s="617"/>
      <c r="F679" s="1083"/>
      <c r="G679" s="1084"/>
      <c r="H679" s="1069"/>
      <c r="I679" s="618"/>
      <c r="J679" s="619"/>
      <c r="K679" s="618"/>
      <c r="L679" s="620"/>
      <c r="M679" s="621"/>
      <c r="N679" s="620"/>
    </row>
    <row r="680" spans="1:14" ht="11.25" customHeight="1" x14ac:dyDescent="0.25">
      <c r="A680" s="615"/>
      <c r="B680" s="616"/>
      <c r="C680" s="617"/>
      <c r="D680" s="617"/>
      <c r="E680" s="617"/>
      <c r="F680" s="1083"/>
      <c r="G680" s="1084"/>
      <c r="H680" s="1069"/>
      <c r="I680" s="618"/>
      <c r="J680" s="619"/>
      <c r="K680" s="618"/>
      <c r="L680" s="620"/>
      <c r="M680" s="621"/>
      <c r="N680" s="620"/>
    </row>
    <row r="681" spans="1:14" ht="11.25" customHeight="1" x14ac:dyDescent="0.25">
      <c r="A681" s="615"/>
      <c r="B681" s="616"/>
      <c r="C681" s="617"/>
      <c r="D681" s="617"/>
      <c r="E681" s="617"/>
      <c r="F681" s="1083"/>
      <c r="G681" s="1084"/>
      <c r="H681" s="1069"/>
      <c r="I681" s="618"/>
      <c r="J681" s="619"/>
      <c r="K681" s="618"/>
      <c r="L681" s="620"/>
      <c r="M681" s="621"/>
      <c r="N681" s="620"/>
    </row>
    <row r="682" spans="1:14" ht="11.25" customHeight="1" x14ac:dyDescent="0.25">
      <c r="A682" s="615"/>
      <c r="B682" s="616"/>
      <c r="C682" s="617"/>
      <c r="D682" s="617"/>
      <c r="E682" s="617"/>
      <c r="F682" s="1083"/>
      <c r="G682" s="1084"/>
      <c r="H682" s="1069"/>
      <c r="I682" s="618"/>
      <c r="J682" s="619"/>
      <c r="K682" s="618"/>
      <c r="L682" s="620"/>
      <c r="M682" s="621"/>
      <c r="N682" s="620"/>
    </row>
    <row r="683" spans="1:14" ht="11.25" customHeight="1" x14ac:dyDescent="0.25">
      <c r="A683" s="615"/>
      <c r="B683" s="616"/>
      <c r="C683" s="617"/>
      <c r="D683" s="617"/>
      <c r="E683" s="617"/>
      <c r="F683" s="1083"/>
      <c r="G683" s="1084"/>
      <c r="H683" s="1069"/>
      <c r="I683" s="618"/>
      <c r="J683" s="619"/>
      <c r="K683" s="618"/>
      <c r="L683" s="620"/>
      <c r="M683" s="621"/>
      <c r="N683" s="620"/>
    </row>
    <row r="684" spans="1:14" ht="11.25" customHeight="1" x14ac:dyDescent="0.25">
      <c r="A684" s="615"/>
      <c r="B684" s="616"/>
      <c r="C684" s="617"/>
      <c r="D684" s="617"/>
      <c r="E684" s="617"/>
      <c r="F684" s="1083"/>
      <c r="G684" s="1084"/>
      <c r="H684" s="1069"/>
      <c r="I684" s="618"/>
      <c r="J684" s="619"/>
      <c r="K684" s="618"/>
      <c r="L684" s="620"/>
      <c r="M684" s="621"/>
      <c r="N684" s="620"/>
    </row>
    <row r="685" spans="1:14" ht="11.25" customHeight="1" x14ac:dyDescent="0.25">
      <c r="A685" s="615"/>
      <c r="B685" s="616"/>
      <c r="C685" s="617"/>
      <c r="D685" s="617"/>
      <c r="E685" s="617"/>
      <c r="F685" s="1083"/>
      <c r="G685" s="1084"/>
      <c r="H685" s="1069"/>
      <c r="I685" s="618"/>
      <c r="J685" s="619"/>
      <c r="K685" s="618"/>
      <c r="L685" s="620"/>
      <c r="M685" s="621"/>
      <c r="N685" s="620"/>
    </row>
    <row r="686" spans="1:14" ht="11.25" customHeight="1" x14ac:dyDescent="0.25">
      <c r="A686" s="615"/>
      <c r="B686" s="616"/>
      <c r="C686" s="617"/>
      <c r="D686" s="617"/>
      <c r="E686" s="617"/>
      <c r="F686" s="1083"/>
      <c r="G686" s="1084"/>
      <c r="H686" s="1069"/>
      <c r="I686" s="618"/>
      <c r="J686" s="619"/>
      <c r="K686" s="618"/>
      <c r="L686" s="620"/>
      <c r="M686" s="621"/>
      <c r="N686" s="620"/>
    </row>
    <row r="687" spans="1:14" ht="11.25" customHeight="1" x14ac:dyDescent="0.25">
      <c r="A687" s="615"/>
      <c r="B687" s="616"/>
      <c r="C687" s="617"/>
      <c r="D687" s="617"/>
      <c r="E687" s="617"/>
      <c r="F687" s="1083"/>
      <c r="G687" s="1084"/>
      <c r="H687" s="1069"/>
      <c r="I687" s="618"/>
      <c r="J687" s="619"/>
      <c r="K687" s="618"/>
      <c r="L687" s="620"/>
      <c r="M687" s="621"/>
      <c r="N687" s="620"/>
    </row>
    <row r="688" spans="1:14" ht="11.25" customHeight="1" x14ac:dyDescent="0.25">
      <c r="A688" s="615"/>
      <c r="B688" s="616"/>
      <c r="C688" s="617"/>
      <c r="D688" s="617"/>
      <c r="E688" s="617"/>
      <c r="F688" s="1083"/>
      <c r="G688" s="1084"/>
      <c r="H688" s="1069"/>
      <c r="I688" s="618"/>
      <c r="J688" s="619"/>
      <c r="K688" s="618"/>
      <c r="L688" s="620"/>
      <c r="M688" s="621"/>
      <c r="N688" s="620"/>
    </row>
    <row r="689" spans="1:14" ht="11.25" customHeight="1" x14ac:dyDescent="0.25">
      <c r="A689" s="615"/>
      <c r="B689" s="616"/>
      <c r="C689" s="617"/>
      <c r="D689" s="617"/>
      <c r="E689" s="617"/>
      <c r="F689" s="1083"/>
      <c r="G689" s="1084"/>
      <c r="H689" s="1069"/>
      <c r="I689" s="618"/>
      <c r="J689" s="619"/>
      <c r="K689" s="618"/>
      <c r="L689" s="620"/>
      <c r="M689" s="621"/>
      <c r="N689" s="620"/>
    </row>
    <row r="690" spans="1:14" ht="11.25" customHeight="1" x14ac:dyDescent="0.25">
      <c r="A690" s="615"/>
      <c r="B690" s="616"/>
      <c r="C690" s="617"/>
      <c r="D690" s="617"/>
      <c r="E690" s="617"/>
      <c r="F690" s="1083"/>
      <c r="G690" s="1084"/>
      <c r="H690" s="1069"/>
      <c r="I690" s="618"/>
      <c r="J690" s="619"/>
      <c r="K690" s="618"/>
      <c r="L690" s="620"/>
      <c r="M690" s="621"/>
      <c r="N690" s="620"/>
    </row>
    <row r="691" spans="1:14" ht="11.25" customHeight="1" x14ac:dyDescent="0.25">
      <c r="A691" s="615"/>
      <c r="B691" s="616"/>
      <c r="C691" s="617"/>
      <c r="D691" s="617"/>
      <c r="E691" s="617"/>
      <c r="F691" s="1083"/>
      <c r="G691" s="1084"/>
      <c r="H691" s="1069"/>
      <c r="I691" s="618"/>
      <c r="J691" s="619"/>
      <c r="K691" s="618"/>
      <c r="L691" s="620"/>
      <c r="M691" s="621"/>
      <c r="N691" s="620"/>
    </row>
    <row r="692" spans="1:14" ht="11.25" customHeight="1" x14ac:dyDescent="0.25">
      <c r="A692" s="615"/>
      <c r="B692" s="616"/>
      <c r="C692" s="617"/>
      <c r="D692" s="617"/>
      <c r="E692" s="617"/>
      <c r="F692" s="1083"/>
      <c r="G692" s="1084"/>
      <c r="H692" s="1069"/>
      <c r="I692" s="618"/>
      <c r="J692" s="619"/>
      <c r="K692" s="618"/>
      <c r="L692" s="620"/>
      <c r="M692" s="621"/>
      <c r="N692" s="620"/>
    </row>
    <row r="693" spans="1:14" ht="11.25" customHeight="1" x14ac:dyDescent="0.25">
      <c r="A693" s="615"/>
      <c r="B693" s="616"/>
      <c r="C693" s="617"/>
      <c r="D693" s="617"/>
      <c r="E693" s="617"/>
      <c r="F693" s="1083"/>
      <c r="G693" s="1084"/>
      <c r="H693" s="1069"/>
      <c r="I693" s="618"/>
      <c r="J693" s="619"/>
      <c r="K693" s="618"/>
      <c r="L693" s="620"/>
      <c r="M693" s="621"/>
      <c r="N693" s="620"/>
    </row>
    <row r="694" spans="1:14" ht="11.25" customHeight="1" x14ac:dyDescent="0.25">
      <c r="A694" s="615"/>
      <c r="B694" s="616"/>
      <c r="C694" s="617"/>
      <c r="D694" s="617"/>
      <c r="E694" s="617"/>
      <c r="F694" s="1083"/>
      <c r="G694" s="1084"/>
      <c r="H694" s="1069"/>
      <c r="I694" s="618"/>
      <c r="J694" s="619"/>
      <c r="K694" s="618"/>
      <c r="L694" s="620"/>
      <c r="M694" s="621"/>
      <c r="N694" s="620"/>
    </row>
    <row r="695" spans="1:14" ht="11.25" customHeight="1" x14ac:dyDescent="0.25">
      <c r="A695" s="615"/>
      <c r="B695" s="616"/>
      <c r="C695" s="617"/>
      <c r="D695" s="617"/>
      <c r="E695" s="617"/>
      <c r="F695" s="1083"/>
      <c r="G695" s="1084"/>
      <c r="H695" s="1069"/>
      <c r="I695" s="618"/>
      <c r="J695" s="619"/>
      <c r="K695" s="618"/>
      <c r="L695" s="620"/>
      <c r="M695" s="621"/>
      <c r="N695" s="620"/>
    </row>
    <row r="696" spans="1:14" ht="11.25" customHeight="1" x14ac:dyDescent="0.25">
      <c r="A696" s="615"/>
      <c r="B696" s="616"/>
      <c r="C696" s="617"/>
      <c r="D696" s="617"/>
      <c r="E696" s="617"/>
      <c r="F696" s="1083"/>
      <c r="G696" s="1084"/>
      <c r="H696" s="1069"/>
      <c r="I696" s="618"/>
      <c r="J696" s="619"/>
      <c r="K696" s="618"/>
      <c r="L696" s="620"/>
      <c r="M696" s="621"/>
      <c r="N696" s="620"/>
    </row>
    <row r="697" spans="1:14" ht="11.25" customHeight="1" x14ac:dyDescent="0.25">
      <c r="A697" s="615"/>
      <c r="B697" s="616"/>
      <c r="C697" s="617"/>
      <c r="D697" s="617"/>
      <c r="E697" s="617"/>
      <c r="F697" s="1083"/>
      <c r="G697" s="1084"/>
      <c r="H697" s="1069"/>
      <c r="I697" s="618"/>
      <c r="J697" s="619"/>
      <c r="K697" s="618"/>
      <c r="L697" s="620"/>
      <c r="M697" s="621"/>
      <c r="N697" s="620"/>
    </row>
    <row r="698" spans="1:14" ht="11.25" customHeight="1" x14ac:dyDescent="0.25">
      <c r="A698" s="615"/>
      <c r="B698" s="616"/>
      <c r="C698" s="617"/>
      <c r="D698" s="617"/>
      <c r="E698" s="617"/>
      <c r="F698" s="1083"/>
      <c r="G698" s="1084"/>
      <c r="H698" s="1069"/>
      <c r="I698" s="618"/>
      <c r="J698" s="619"/>
      <c r="K698" s="618"/>
      <c r="L698" s="620"/>
      <c r="M698" s="621"/>
      <c r="N698" s="620"/>
    </row>
    <row r="699" spans="1:14" ht="11.25" customHeight="1" x14ac:dyDescent="0.25">
      <c r="A699" s="615"/>
      <c r="B699" s="616"/>
      <c r="C699" s="617"/>
      <c r="D699" s="617"/>
      <c r="E699" s="617"/>
      <c r="F699" s="1083"/>
      <c r="G699" s="1084"/>
      <c r="H699" s="1069"/>
      <c r="I699" s="618"/>
      <c r="J699" s="619"/>
      <c r="K699" s="618"/>
      <c r="L699" s="620"/>
      <c r="M699" s="621"/>
      <c r="N699" s="620"/>
    </row>
    <row r="700" spans="1:14" ht="11.25" customHeight="1" x14ac:dyDescent="0.25">
      <c r="A700" s="615"/>
      <c r="B700" s="616"/>
      <c r="C700" s="617"/>
      <c r="D700" s="617"/>
      <c r="E700" s="617"/>
      <c r="F700" s="1083"/>
      <c r="G700" s="1084"/>
      <c r="H700" s="1069"/>
      <c r="I700" s="618"/>
      <c r="J700" s="619"/>
      <c r="K700" s="618"/>
      <c r="L700" s="620"/>
      <c r="M700" s="621"/>
      <c r="N700" s="620"/>
    </row>
    <row r="701" spans="1:14" ht="11.25" customHeight="1" x14ac:dyDescent="0.25">
      <c r="A701" s="615"/>
      <c r="B701" s="616"/>
      <c r="C701" s="617"/>
      <c r="D701" s="617"/>
      <c r="E701" s="617"/>
      <c r="F701" s="1083"/>
      <c r="G701" s="1084"/>
      <c r="H701" s="1069"/>
      <c r="I701" s="618"/>
      <c r="J701" s="619"/>
      <c r="K701" s="618"/>
      <c r="L701" s="620"/>
      <c r="M701" s="621"/>
      <c r="N701" s="620"/>
    </row>
    <row r="702" spans="1:14" ht="11.25" customHeight="1" x14ac:dyDescent="0.25">
      <c r="A702" s="615"/>
      <c r="B702" s="616"/>
      <c r="C702" s="617"/>
      <c r="D702" s="617"/>
      <c r="E702" s="617"/>
      <c r="F702" s="1083"/>
      <c r="G702" s="1084"/>
      <c r="H702" s="1069"/>
      <c r="I702" s="618"/>
      <c r="J702" s="619"/>
      <c r="K702" s="618"/>
      <c r="L702" s="620"/>
      <c r="M702" s="621"/>
      <c r="N702" s="620"/>
    </row>
    <row r="703" spans="1:14" ht="11.25" customHeight="1" x14ac:dyDescent="0.25">
      <c r="A703" s="615"/>
      <c r="B703" s="616"/>
      <c r="C703" s="617"/>
      <c r="D703" s="617"/>
      <c r="E703" s="617"/>
      <c r="F703" s="1083"/>
      <c r="G703" s="1084"/>
      <c r="H703" s="1069"/>
      <c r="I703" s="618"/>
      <c r="J703" s="619"/>
      <c r="K703" s="618"/>
      <c r="L703" s="620"/>
      <c r="M703" s="621"/>
      <c r="N703" s="620"/>
    </row>
    <row r="704" spans="1:14" ht="11.25" customHeight="1" x14ac:dyDescent="0.25">
      <c r="A704" s="615"/>
      <c r="B704" s="616"/>
      <c r="C704" s="617"/>
      <c r="D704" s="617"/>
      <c r="E704" s="617"/>
      <c r="F704" s="1083"/>
      <c r="G704" s="1084"/>
      <c r="H704" s="1069"/>
      <c r="I704" s="618"/>
      <c r="J704" s="619"/>
      <c r="K704" s="618"/>
      <c r="L704" s="620"/>
      <c r="M704" s="621"/>
      <c r="N704" s="620"/>
    </row>
    <row r="705" spans="1:14" ht="11.25" customHeight="1" x14ac:dyDescent="0.25">
      <c r="A705" s="615"/>
      <c r="B705" s="616"/>
      <c r="C705" s="617"/>
      <c r="D705" s="617"/>
      <c r="E705" s="617"/>
      <c r="F705" s="1083"/>
      <c r="G705" s="1084"/>
      <c r="H705" s="1069"/>
      <c r="I705" s="618"/>
      <c r="J705" s="619"/>
      <c r="K705" s="618"/>
      <c r="L705" s="620"/>
      <c r="M705" s="621"/>
      <c r="N705" s="620"/>
    </row>
    <row r="706" spans="1:14" ht="11.25" customHeight="1" x14ac:dyDescent="0.25">
      <c r="A706" s="615"/>
      <c r="B706" s="616"/>
      <c r="C706" s="617"/>
      <c r="D706" s="617"/>
      <c r="E706" s="617"/>
      <c r="F706" s="1083"/>
      <c r="G706" s="1084"/>
      <c r="H706" s="1069"/>
      <c r="I706" s="618"/>
      <c r="J706" s="619"/>
      <c r="K706" s="618"/>
      <c r="L706" s="620"/>
      <c r="M706" s="621"/>
      <c r="N706" s="620"/>
    </row>
    <row r="707" spans="1:14" ht="11.25" customHeight="1" x14ac:dyDescent="0.25">
      <c r="A707" s="615"/>
      <c r="B707" s="616"/>
      <c r="C707" s="617"/>
      <c r="D707" s="617"/>
      <c r="E707" s="617"/>
      <c r="F707" s="1083"/>
      <c r="G707" s="1084"/>
      <c r="H707" s="1069"/>
      <c r="I707" s="618"/>
      <c r="J707" s="619"/>
      <c r="K707" s="618"/>
      <c r="L707" s="620"/>
      <c r="M707" s="621"/>
      <c r="N707" s="620"/>
    </row>
    <row r="708" spans="1:14" ht="11.25" customHeight="1" x14ac:dyDescent="0.25">
      <c r="A708" s="615"/>
      <c r="B708" s="616"/>
      <c r="C708" s="617"/>
      <c r="D708" s="617"/>
      <c r="E708" s="617"/>
      <c r="F708" s="1083"/>
      <c r="G708" s="1084"/>
      <c r="H708" s="1069"/>
      <c r="I708" s="618"/>
      <c r="J708" s="619"/>
      <c r="K708" s="618"/>
      <c r="L708" s="620"/>
      <c r="M708" s="621"/>
      <c r="N708" s="620"/>
    </row>
    <row r="709" spans="1:14" ht="11.25" customHeight="1" x14ac:dyDescent="0.25">
      <c r="A709" s="615"/>
      <c r="B709" s="616"/>
      <c r="C709" s="617"/>
      <c r="D709" s="617"/>
      <c r="E709" s="617"/>
      <c r="F709" s="1083"/>
      <c r="G709" s="1084"/>
      <c r="H709" s="1069"/>
      <c r="I709" s="618"/>
      <c r="J709" s="619"/>
      <c r="K709" s="618"/>
      <c r="L709" s="620"/>
      <c r="M709" s="621"/>
      <c r="N709" s="620"/>
    </row>
    <row r="710" spans="1:14" ht="11.25" customHeight="1" x14ac:dyDescent="0.25">
      <c r="A710" s="615"/>
      <c r="B710" s="616"/>
      <c r="C710" s="617"/>
      <c r="D710" s="617"/>
      <c r="E710" s="617"/>
      <c r="F710" s="1083"/>
      <c r="G710" s="1084"/>
      <c r="H710" s="1069"/>
      <c r="I710" s="618"/>
      <c r="J710" s="619"/>
      <c r="K710" s="618"/>
      <c r="L710" s="620"/>
      <c r="M710" s="621"/>
      <c r="N710" s="620"/>
    </row>
    <row r="711" spans="1:14" ht="11.25" customHeight="1" x14ac:dyDescent="0.25">
      <c r="A711" s="615"/>
      <c r="B711" s="616"/>
      <c r="C711" s="617"/>
      <c r="D711" s="617"/>
      <c r="E711" s="617"/>
      <c r="F711" s="1083"/>
      <c r="G711" s="1084"/>
      <c r="H711" s="1069"/>
      <c r="I711" s="618"/>
      <c r="J711" s="619"/>
      <c r="K711" s="618"/>
      <c r="L711" s="620"/>
      <c r="M711" s="621"/>
      <c r="N711" s="620"/>
    </row>
    <row r="712" spans="1:14" ht="11.25" customHeight="1" x14ac:dyDescent="0.25">
      <c r="A712" s="615"/>
      <c r="B712" s="616"/>
      <c r="C712" s="617"/>
      <c r="D712" s="617"/>
      <c r="E712" s="617"/>
      <c r="F712" s="1083"/>
      <c r="G712" s="1084"/>
      <c r="H712" s="1069"/>
      <c r="I712" s="618"/>
      <c r="J712" s="619"/>
      <c r="K712" s="618"/>
      <c r="L712" s="620"/>
      <c r="M712" s="621"/>
      <c r="N712" s="620"/>
    </row>
    <row r="713" spans="1:14" ht="11.25" customHeight="1" x14ac:dyDescent="0.25">
      <c r="A713" s="615"/>
      <c r="B713" s="616"/>
      <c r="C713" s="617"/>
      <c r="D713" s="617"/>
      <c r="E713" s="617"/>
      <c r="F713" s="1083"/>
      <c r="G713" s="1084"/>
      <c r="H713" s="1069"/>
      <c r="I713" s="618"/>
      <c r="J713" s="619"/>
      <c r="K713" s="618"/>
      <c r="L713" s="620"/>
      <c r="M713" s="621"/>
      <c r="N713" s="620"/>
    </row>
    <row r="714" spans="1:14" ht="11.25" customHeight="1" x14ac:dyDescent="0.25">
      <c r="A714" s="615"/>
      <c r="B714" s="616"/>
      <c r="C714" s="617"/>
      <c r="D714" s="617"/>
      <c r="E714" s="617"/>
      <c r="F714" s="1083"/>
      <c r="G714" s="1084"/>
      <c r="H714" s="1069"/>
      <c r="I714" s="618"/>
      <c r="J714" s="619"/>
      <c r="K714" s="618"/>
      <c r="L714" s="620"/>
      <c r="M714" s="621"/>
      <c r="N714" s="620"/>
    </row>
    <row r="715" spans="1:14" ht="11.25" customHeight="1" x14ac:dyDescent="0.25">
      <c r="A715" s="615"/>
      <c r="B715" s="616"/>
      <c r="C715" s="617"/>
      <c r="D715" s="617"/>
      <c r="E715" s="617"/>
      <c r="F715" s="1083"/>
      <c r="G715" s="1084"/>
      <c r="H715" s="1069"/>
      <c r="I715" s="618"/>
      <c r="J715" s="619"/>
      <c r="K715" s="618"/>
      <c r="L715" s="620"/>
      <c r="M715" s="621"/>
      <c r="N715" s="620"/>
    </row>
    <row r="716" spans="1:14" ht="11.25" customHeight="1" x14ac:dyDescent="0.25">
      <c r="A716" s="615"/>
      <c r="B716" s="616"/>
      <c r="C716" s="617"/>
      <c r="D716" s="617"/>
      <c r="E716" s="617"/>
      <c r="F716" s="1083"/>
      <c r="G716" s="1084"/>
      <c r="H716" s="1069"/>
      <c r="I716" s="618"/>
      <c r="J716" s="619"/>
      <c r="K716" s="618"/>
      <c r="L716" s="620"/>
      <c r="M716" s="621"/>
      <c r="N716" s="620"/>
    </row>
    <row r="717" spans="1:14" ht="11.25" customHeight="1" x14ac:dyDescent="0.25">
      <c r="A717" s="615"/>
      <c r="B717" s="616"/>
      <c r="C717" s="617"/>
      <c r="D717" s="617"/>
      <c r="E717" s="617"/>
      <c r="F717" s="1083"/>
      <c r="G717" s="1084"/>
      <c r="H717" s="1069"/>
      <c r="I717" s="618"/>
      <c r="J717" s="619"/>
      <c r="K717" s="618"/>
      <c r="L717" s="620"/>
      <c r="M717" s="621"/>
      <c r="N717" s="620"/>
    </row>
    <row r="718" spans="1:14" ht="11.25" customHeight="1" x14ac:dyDescent="0.25">
      <c r="A718" s="615"/>
      <c r="B718" s="616"/>
      <c r="C718" s="617"/>
      <c r="D718" s="617"/>
      <c r="E718" s="617"/>
      <c r="F718" s="1083"/>
      <c r="G718" s="1084"/>
      <c r="H718" s="1069"/>
      <c r="I718" s="618"/>
      <c r="J718" s="619"/>
      <c r="K718" s="618"/>
      <c r="L718" s="620"/>
      <c r="M718" s="621"/>
      <c r="N718" s="620"/>
    </row>
    <row r="719" spans="1:14" ht="11.25" customHeight="1" x14ac:dyDescent="0.25">
      <c r="A719" s="615"/>
      <c r="B719" s="616"/>
      <c r="C719" s="617"/>
      <c r="D719" s="617"/>
      <c r="E719" s="617"/>
      <c r="F719" s="1083"/>
      <c r="G719" s="1084"/>
      <c r="H719" s="1069"/>
      <c r="I719" s="618"/>
      <c r="J719" s="619"/>
      <c r="K719" s="618"/>
      <c r="L719" s="620"/>
      <c r="M719" s="621"/>
      <c r="N719" s="620"/>
    </row>
    <row r="720" spans="1:14" ht="11.25" customHeight="1" x14ac:dyDescent="0.25">
      <c r="A720" s="615"/>
      <c r="B720" s="616"/>
      <c r="C720" s="617"/>
      <c r="D720" s="617"/>
      <c r="E720" s="617"/>
      <c r="F720" s="1083"/>
      <c r="G720" s="1084"/>
      <c r="H720" s="1069"/>
      <c r="I720" s="618"/>
      <c r="J720" s="619"/>
      <c r="K720" s="618"/>
      <c r="L720" s="620"/>
      <c r="M720" s="621"/>
      <c r="N720" s="620"/>
    </row>
    <row r="721" spans="1:14" ht="11.25" customHeight="1" x14ac:dyDescent="0.25">
      <c r="A721" s="615"/>
      <c r="B721" s="616"/>
      <c r="C721" s="617"/>
      <c r="D721" s="617"/>
      <c r="E721" s="617"/>
      <c r="F721" s="1083"/>
      <c r="G721" s="1084"/>
      <c r="H721" s="1069"/>
      <c r="I721" s="618"/>
      <c r="J721" s="619"/>
      <c r="K721" s="618"/>
      <c r="L721" s="620"/>
      <c r="M721" s="621"/>
      <c r="N721" s="620"/>
    </row>
    <row r="722" spans="1:14" ht="11.25" customHeight="1" x14ac:dyDescent="0.25">
      <c r="A722" s="615"/>
      <c r="B722" s="616"/>
      <c r="C722" s="617"/>
      <c r="D722" s="617"/>
      <c r="E722" s="617"/>
      <c r="F722" s="1083"/>
      <c r="G722" s="1084"/>
      <c r="H722" s="1069"/>
      <c r="I722" s="618"/>
      <c r="J722" s="619"/>
      <c r="K722" s="618"/>
      <c r="L722" s="620"/>
      <c r="M722" s="621"/>
      <c r="N722" s="620"/>
    </row>
    <row r="723" spans="1:14" ht="11.25" customHeight="1" x14ac:dyDescent="0.25">
      <c r="A723" s="615"/>
      <c r="B723" s="616"/>
      <c r="C723" s="617"/>
      <c r="D723" s="617"/>
      <c r="E723" s="617"/>
      <c r="F723" s="1083"/>
      <c r="G723" s="1084"/>
      <c r="H723" s="1069"/>
      <c r="I723" s="618"/>
      <c r="J723" s="619"/>
      <c r="K723" s="618"/>
      <c r="L723" s="620"/>
      <c r="M723" s="621"/>
      <c r="N723" s="620"/>
    </row>
    <row r="724" spans="1:14" ht="11.25" customHeight="1" x14ac:dyDescent="0.25">
      <c r="A724" s="615"/>
      <c r="B724" s="616"/>
      <c r="C724" s="617"/>
      <c r="D724" s="617"/>
      <c r="E724" s="617"/>
      <c r="F724" s="1083"/>
      <c r="G724" s="1084"/>
      <c r="H724" s="1069"/>
      <c r="I724" s="618"/>
      <c r="J724" s="619"/>
      <c r="K724" s="618"/>
      <c r="L724" s="620"/>
      <c r="M724" s="621"/>
      <c r="N724" s="620"/>
    </row>
    <row r="725" spans="1:14" ht="11.25" customHeight="1" x14ac:dyDescent="0.25">
      <c r="A725" s="615"/>
      <c r="B725" s="616"/>
      <c r="C725" s="617"/>
      <c r="D725" s="617"/>
      <c r="E725" s="617"/>
      <c r="F725" s="1083"/>
      <c r="G725" s="1084"/>
      <c r="H725" s="1069"/>
      <c r="I725" s="618"/>
      <c r="J725" s="619"/>
      <c r="K725" s="618"/>
      <c r="L725" s="620"/>
      <c r="M725" s="621"/>
      <c r="N725" s="620"/>
    </row>
    <row r="726" spans="1:14" ht="11.25" customHeight="1" x14ac:dyDescent="0.25">
      <c r="A726" s="615"/>
      <c r="B726" s="616"/>
      <c r="C726" s="617"/>
      <c r="D726" s="617"/>
      <c r="E726" s="617"/>
      <c r="F726" s="1083"/>
      <c r="G726" s="1084"/>
      <c r="H726" s="1069"/>
      <c r="I726" s="618"/>
      <c r="J726" s="619"/>
      <c r="K726" s="618"/>
      <c r="L726" s="620"/>
      <c r="M726" s="621"/>
      <c r="N726" s="620"/>
    </row>
    <row r="727" spans="1:14" ht="11.25" customHeight="1" x14ac:dyDescent="0.25">
      <c r="A727" s="615"/>
      <c r="B727" s="616"/>
      <c r="C727" s="617"/>
      <c r="D727" s="617"/>
      <c r="E727" s="617"/>
      <c r="F727" s="1083"/>
      <c r="G727" s="1084"/>
      <c r="H727" s="1069"/>
      <c r="I727" s="618"/>
      <c r="J727" s="619"/>
      <c r="K727" s="618"/>
      <c r="L727" s="620"/>
      <c r="M727" s="621"/>
      <c r="N727" s="620"/>
    </row>
    <row r="728" spans="1:14" ht="11.25" customHeight="1" x14ac:dyDescent="0.25">
      <c r="A728" s="615"/>
      <c r="B728" s="616"/>
      <c r="C728" s="617"/>
      <c r="D728" s="617"/>
      <c r="E728" s="617"/>
      <c r="F728" s="1083"/>
      <c r="G728" s="1084"/>
      <c r="H728" s="1069"/>
      <c r="I728" s="618"/>
      <c r="J728" s="619"/>
      <c r="K728" s="618"/>
      <c r="L728" s="620"/>
      <c r="M728" s="621"/>
      <c r="N728" s="620"/>
    </row>
    <row r="729" spans="1:14" ht="11.25" customHeight="1" x14ac:dyDescent="0.25">
      <c r="A729" s="615"/>
      <c r="B729" s="616"/>
      <c r="C729" s="617"/>
      <c r="D729" s="617"/>
      <c r="E729" s="617"/>
      <c r="F729" s="1083"/>
      <c r="G729" s="1084"/>
      <c r="H729" s="1069"/>
      <c r="I729" s="618"/>
      <c r="J729" s="619"/>
      <c r="K729" s="618"/>
      <c r="L729" s="620"/>
      <c r="M729" s="621"/>
      <c r="N729" s="620"/>
    </row>
    <row r="730" spans="1:14" ht="11.25" customHeight="1" x14ac:dyDescent="0.25">
      <c r="A730" s="615"/>
      <c r="B730" s="616"/>
      <c r="C730" s="617"/>
      <c r="D730" s="617"/>
      <c r="E730" s="617"/>
      <c r="F730" s="1083"/>
      <c r="G730" s="1084"/>
      <c r="H730" s="1069"/>
      <c r="I730" s="618"/>
      <c r="J730" s="619"/>
      <c r="K730" s="618"/>
      <c r="L730" s="620"/>
      <c r="M730" s="621"/>
      <c r="N730" s="620"/>
    </row>
    <row r="731" spans="1:14" ht="11.25" customHeight="1" x14ac:dyDescent="0.25">
      <c r="A731" s="615"/>
      <c r="B731" s="616"/>
      <c r="C731" s="617"/>
      <c r="D731" s="617"/>
      <c r="E731" s="617"/>
      <c r="F731" s="1083"/>
      <c r="G731" s="1084"/>
      <c r="H731" s="1069"/>
      <c r="I731" s="618"/>
      <c r="J731" s="619"/>
      <c r="K731" s="618"/>
      <c r="L731" s="620"/>
      <c r="M731" s="621"/>
      <c r="N731" s="620"/>
    </row>
    <row r="732" spans="1:14" ht="11.25" customHeight="1" x14ac:dyDescent="0.25">
      <c r="A732" s="615"/>
      <c r="B732" s="616"/>
      <c r="C732" s="617"/>
      <c r="D732" s="617"/>
      <c r="E732" s="617"/>
      <c r="F732" s="1083"/>
      <c r="G732" s="1084"/>
      <c r="H732" s="1069"/>
      <c r="I732" s="618"/>
      <c r="J732" s="619"/>
      <c r="K732" s="618"/>
      <c r="L732" s="620"/>
      <c r="M732" s="621"/>
      <c r="N732" s="620"/>
    </row>
    <row r="733" spans="1:14" ht="11.25" customHeight="1" x14ac:dyDescent="0.25">
      <c r="A733" s="615"/>
      <c r="B733" s="616"/>
      <c r="C733" s="617"/>
      <c r="D733" s="617"/>
      <c r="E733" s="617"/>
      <c r="F733" s="1083"/>
      <c r="G733" s="1084"/>
      <c r="H733" s="1069"/>
      <c r="I733" s="618"/>
      <c r="J733" s="619"/>
      <c r="K733" s="618"/>
      <c r="L733" s="620"/>
      <c r="M733" s="621"/>
      <c r="N733" s="620"/>
    </row>
    <row r="734" spans="1:14" ht="11.25" customHeight="1" x14ac:dyDescent="0.25">
      <c r="A734" s="615"/>
      <c r="B734" s="616"/>
      <c r="C734" s="617"/>
      <c r="D734" s="617"/>
      <c r="E734" s="617"/>
      <c r="F734" s="1083"/>
      <c r="G734" s="1084"/>
      <c r="H734" s="1069"/>
      <c r="I734" s="618"/>
      <c r="J734" s="619"/>
      <c r="K734" s="618"/>
      <c r="L734" s="620"/>
      <c r="M734" s="621"/>
      <c r="N734" s="620"/>
    </row>
    <row r="735" spans="1:14" ht="11.25" customHeight="1" x14ac:dyDescent="0.25">
      <c r="A735" s="615"/>
      <c r="B735" s="616"/>
      <c r="C735" s="617"/>
      <c r="D735" s="617"/>
      <c r="E735" s="617"/>
      <c r="F735" s="1083"/>
      <c r="G735" s="1084"/>
      <c r="H735" s="1069"/>
      <c r="I735" s="618"/>
      <c r="J735" s="619"/>
      <c r="K735" s="618"/>
      <c r="L735" s="620"/>
      <c r="M735" s="621"/>
      <c r="N735" s="620"/>
    </row>
    <row r="736" spans="1:14" ht="11.25" customHeight="1" x14ac:dyDescent="0.25">
      <c r="A736" s="615"/>
      <c r="B736" s="616"/>
      <c r="C736" s="617"/>
      <c r="D736" s="617"/>
      <c r="E736" s="617"/>
      <c r="F736" s="1083"/>
      <c r="G736" s="1084"/>
      <c r="H736" s="1069"/>
      <c r="I736" s="618"/>
      <c r="J736" s="619"/>
      <c r="K736" s="618"/>
      <c r="L736" s="620"/>
      <c r="M736" s="621"/>
      <c r="N736" s="620"/>
    </row>
    <row r="737" spans="1:14" ht="11.25" customHeight="1" x14ac:dyDescent="0.25">
      <c r="A737" s="615"/>
      <c r="B737" s="616"/>
      <c r="C737" s="617"/>
      <c r="D737" s="617"/>
      <c r="E737" s="617"/>
      <c r="F737" s="1083"/>
      <c r="G737" s="1084"/>
      <c r="H737" s="1069"/>
      <c r="I737" s="618"/>
      <c r="J737" s="619"/>
      <c r="K737" s="618"/>
      <c r="L737" s="620"/>
      <c r="M737" s="621"/>
      <c r="N737" s="620"/>
    </row>
    <row r="738" spans="1:14" ht="11.25" customHeight="1" x14ac:dyDescent="0.25">
      <c r="A738" s="615"/>
      <c r="B738" s="616"/>
      <c r="C738" s="617"/>
      <c r="D738" s="617"/>
      <c r="E738" s="617"/>
      <c r="F738" s="1083"/>
      <c r="G738" s="1084"/>
      <c r="H738" s="1069"/>
      <c r="I738" s="618"/>
      <c r="J738" s="619"/>
      <c r="K738" s="618"/>
      <c r="L738" s="620"/>
      <c r="M738" s="621"/>
      <c r="N738" s="620"/>
    </row>
    <row r="739" spans="1:14" ht="11.25" customHeight="1" x14ac:dyDescent="0.25">
      <c r="A739" s="615"/>
      <c r="B739" s="616"/>
      <c r="C739" s="617"/>
      <c r="D739" s="617"/>
      <c r="E739" s="617"/>
      <c r="F739" s="1083"/>
      <c r="G739" s="1084"/>
      <c r="H739" s="1069"/>
      <c r="I739" s="618"/>
      <c r="J739" s="619"/>
      <c r="K739" s="618"/>
      <c r="L739" s="620"/>
      <c r="M739" s="621"/>
      <c r="N739" s="620"/>
    </row>
    <row r="740" spans="1:14" ht="11.25" customHeight="1" x14ac:dyDescent="0.25">
      <c r="A740" s="615"/>
      <c r="B740" s="616"/>
      <c r="C740" s="617"/>
      <c r="D740" s="617"/>
      <c r="E740" s="617"/>
      <c r="F740" s="1083"/>
      <c r="G740" s="1084"/>
      <c r="H740" s="1069"/>
      <c r="I740" s="618"/>
      <c r="J740" s="619"/>
      <c r="K740" s="618"/>
      <c r="L740" s="620"/>
      <c r="M740" s="621"/>
      <c r="N740" s="620"/>
    </row>
    <row r="741" spans="1:14" ht="11.25" customHeight="1" x14ac:dyDescent="0.25">
      <c r="A741" s="615"/>
      <c r="B741" s="616"/>
      <c r="C741" s="617"/>
      <c r="D741" s="617"/>
      <c r="E741" s="617"/>
      <c r="F741" s="1083"/>
      <c r="G741" s="1084"/>
      <c r="H741" s="1069"/>
      <c r="I741" s="618"/>
      <c r="J741" s="619"/>
      <c r="K741" s="618"/>
      <c r="L741" s="620"/>
      <c r="M741" s="621"/>
      <c r="N741" s="620"/>
    </row>
    <row r="742" spans="1:14" ht="11.25" customHeight="1" x14ac:dyDescent="0.25">
      <c r="A742" s="615"/>
      <c r="B742" s="616"/>
      <c r="C742" s="617"/>
      <c r="D742" s="617"/>
      <c r="E742" s="617"/>
      <c r="F742" s="1083"/>
      <c r="G742" s="1084"/>
      <c r="H742" s="1069"/>
      <c r="I742" s="618"/>
      <c r="J742" s="619"/>
      <c r="K742" s="618"/>
      <c r="L742" s="620"/>
      <c r="M742" s="621"/>
      <c r="N742" s="620"/>
    </row>
    <row r="743" spans="1:14" ht="11.25" customHeight="1" x14ac:dyDescent="0.25">
      <c r="A743" s="615"/>
      <c r="B743" s="616"/>
      <c r="C743" s="617"/>
      <c r="D743" s="617"/>
      <c r="E743" s="617"/>
      <c r="F743" s="1083"/>
      <c r="G743" s="1084"/>
      <c r="H743" s="1069"/>
      <c r="I743" s="618"/>
      <c r="J743" s="619"/>
      <c r="K743" s="618"/>
      <c r="L743" s="620"/>
      <c r="M743" s="621"/>
      <c r="N743" s="620"/>
    </row>
    <row r="744" spans="1:14" ht="11.25" customHeight="1" x14ac:dyDescent="0.25">
      <c r="A744" s="615"/>
      <c r="B744" s="616"/>
      <c r="C744" s="617"/>
      <c r="D744" s="617"/>
      <c r="E744" s="617"/>
      <c r="F744" s="1083"/>
      <c r="G744" s="1084"/>
      <c r="H744" s="1069"/>
      <c r="I744" s="618"/>
      <c r="J744" s="619"/>
      <c r="K744" s="618"/>
      <c r="L744" s="620"/>
      <c r="M744" s="621"/>
      <c r="N744" s="620"/>
    </row>
    <row r="745" spans="1:14" ht="11.25" customHeight="1" x14ac:dyDescent="0.25">
      <c r="A745" s="615"/>
      <c r="B745" s="616"/>
      <c r="C745" s="617"/>
      <c r="D745" s="617"/>
      <c r="E745" s="617"/>
      <c r="F745" s="1083"/>
      <c r="G745" s="1084"/>
      <c r="H745" s="1069"/>
      <c r="I745" s="618"/>
      <c r="J745" s="619"/>
      <c r="K745" s="618"/>
      <c r="L745" s="620"/>
      <c r="M745" s="621"/>
      <c r="N745" s="620"/>
    </row>
    <row r="746" spans="1:14" ht="11.25" customHeight="1" x14ac:dyDescent="0.25">
      <c r="A746" s="615"/>
      <c r="B746" s="616"/>
      <c r="C746" s="617"/>
      <c r="D746" s="617"/>
      <c r="E746" s="617"/>
      <c r="F746" s="1083"/>
      <c r="G746" s="1084"/>
      <c r="H746" s="1069"/>
      <c r="I746" s="618"/>
      <c r="J746" s="619"/>
      <c r="K746" s="618"/>
      <c r="L746" s="620"/>
      <c r="M746" s="621"/>
      <c r="N746" s="620"/>
    </row>
    <row r="747" spans="1:14" ht="11.25" customHeight="1" x14ac:dyDescent="0.25">
      <c r="A747" s="615"/>
      <c r="B747" s="616"/>
      <c r="C747" s="617"/>
      <c r="D747" s="617"/>
      <c r="E747" s="617"/>
      <c r="F747" s="1083"/>
      <c r="G747" s="1084"/>
      <c r="H747" s="1069"/>
      <c r="I747" s="618"/>
      <c r="J747" s="619"/>
      <c r="K747" s="618"/>
      <c r="L747" s="620"/>
      <c r="M747" s="621"/>
      <c r="N747" s="620"/>
    </row>
    <row r="748" spans="1:14" ht="11.25" customHeight="1" x14ac:dyDescent="0.25">
      <c r="A748" s="615"/>
      <c r="B748" s="616"/>
      <c r="C748" s="617"/>
      <c r="D748" s="617"/>
      <c r="E748" s="617"/>
      <c r="F748" s="1083"/>
      <c r="G748" s="1084"/>
      <c r="H748" s="1069"/>
      <c r="I748" s="618"/>
      <c r="J748" s="619"/>
      <c r="K748" s="618"/>
      <c r="L748" s="620"/>
      <c r="M748" s="621"/>
      <c r="N748" s="620"/>
    </row>
    <row r="749" spans="1:14" ht="11.25" customHeight="1" x14ac:dyDescent="0.25">
      <c r="A749" s="615"/>
      <c r="B749" s="616"/>
      <c r="C749" s="617"/>
      <c r="D749" s="617"/>
      <c r="E749" s="617"/>
      <c r="F749" s="1083"/>
      <c r="G749" s="1084"/>
      <c r="H749" s="1069"/>
      <c r="I749" s="618"/>
      <c r="J749" s="619"/>
      <c r="K749" s="618"/>
      <c r="L749" s="620"/>
      <c r="M749" s="621"/>
      <c r="N749" s="620"/>
    </row>
    <row r="750" spans="1:14" ht="11.25" customHeight="1" x14ac:dyDescent="0.25">
      <c r="A750" s="615"/>
      <c r="B750" s="616"/>
      <c r="C750" s="617"/>
      <c r="D750" s="617"/>
      <c r="E750" s="617"/>
      <c r="F750" s="1083"/>
      <c r="G750" s="1084"/>
      <c r="H750" s="1069"/>
      <c r="I750" s="618"/>
      <c r="J750" s="619"/>
      <c r="K750" s="618"/>
      <c r="L750" s="620"/>
      <c r="M750" s="621"/>
      <c r="N750" s="620"/>
    </row>
    <row r="751" spans="1:14" ht="11.25" customHeight="1" x14ac:dyDescent="0.25">
      <c r="A751" s="615"/>
      <c r="B751" s="616"/>
      <c r="C751" s="617"/>
      <c r="D751" s="617"/>
      <c r="E751" s="617"/>
      <c r="F751" s="1083"/>
      <c r="G751" s="1084"/>
      <c r="H751" s="1069"/>
      <c r="I751" s="618"/>
      <c r="J751" s="619"/>
      <c r="K751" s="618"/>
      <c r="L751" s="620"/>
      <c r="M751" s="621"/>
      <c r="N751" s="620"/>
    </row>
    <row r="752" spans="1:14" ht="11.25" customHeight="1" x14ac:dyDescent="0.25">
      <c r="A752" s="615"/>
      <c r="B752" s="616"/>
      <c r="C752" s="617"/>
      <c r="D752" s="617"/>
      <c r="E752" s="617"/>
      <c r="F752" s="1083"/>
      <c r="G752" s="1084"/>
      <c r="H752" s="1069"/>
      <c r="I752" s="618"/>
      <c r="J752" s="619"/>
      <c r="K752" s="618"/>
      <c r="L752" s="620"/>
      <c r="M752" s="621"/>
      <c r="N752" s="620"/>
    </row>
    <row r="753" spans="1:14" ht="11.25" customHeight="1" x14ac:dyDescent="0.25">
      <c r="A753" s="615"/>
      <c r="B753" s="616"/>
      <c r="C753" s="617"/>
      <c r="D753" s="617"/>
      <c r="E753" s="617"/>
      <c r="F753" s="1083"/>
      <c r="G753" s="1084"/>
      <c r="H753" s="1069"/>
      <c r="I753" s="618"/>
      <c r="J753" s="619"/>
      <c r="K753" s="618"/>
      <c r="L753" s="620"/>
      <c r="M753" s="621"/>
      <c r="N753" s="620"/>
    </row>
    <row r="754" spans="1:14" ht="11.25" customHeight="1" x14ac:dyDescent="0.25">
      <c r="A754" s="615"/>
      <c r="B754" s="616"/>
      <c r="C754" s="617"/>
      <c r="D754" s="617"/>
      <c r="E754" s="617"/>
      <c r="F754" s="1083"/>
      <c r="G754" s="1084"/>
      <c r="H754" s="1069"/>
      <c r="I754" s="618"/>
      <c r="J754" s="619"/>
      <c r="K754" s="618"/>
      <c r="L754" s="620"/>
      <c r="M754" s="621"/>
      <c r="N754" s="620"/>
    </row>
    <row r="755" spans="1:14" ht="11.25" customHeight="1" x14ac:dyDescent="0.25">
      <c r="A755" s="615"/>
      <c r="B755" s="616"/>
      <c r="C755" s="617"/>
      <c r="D755" s="617"/>
      <c r="E755" s="617"/>
      <c r="F755" s="1083"/>
      <c r="G755" s="1084"/>
      <c r="H755" s="1069"/>
      <c r="I755" s="618"/>
      <c r="J755" s="619"/>
      <c r="K755" s="618"/>
      <c r="L755" s="620"/>
      <c r="M755" s="621"/>
      <c r="N755" s="620"/>
    </row>
    <row r="756" spans="1:14" ht="11.25" customHeight="1" x14ac:dyDescent="0.25">
      <c r="A756" s="615"/>
      <c r="B756" s="616"/>
      <c r="C756" s="617"/>
      <c r="D756" s="617"/>
      <c r="E756" s="617"/>
      <c r="F756" s="1083"/>
      <c r="G756" s="1084"/>
      <c r="H756" s="1069"/>
      <c r="I756" s="618"/>
      <c r="J756" s="619"/>
      <c r="K756" s="618"/>
      <c r="L756" s="620"/>
      <c r="M756" s="621"/>
      <c r="N756" s="620"/>
    </row>
    <row r="757" spans="1:14" ht="11.25" customHeight="1" x14ac:dyDescent="0.25">
      <c r="A757" s="615"/>
      <c r="B757" s="616"/>
      <c r="C757" s="617"/>
      <c r="D757" s="617"/>
      <c r="E757" s="617"/>
      <c r="F757" s="1083"/>
      <c r="G757" s="1084"/>
      <c r="H757" s="1069"/>
      <c r="I757" s="618"/>
      <c r="J757" s="619"/>
      <c r="K757" s="618"/>
      <c r="L757" s="620"/>
      <c r="M757" s="621"/>
      <c r="N757" s="620"/>
    </row>
    <row r="758" spans="1:14" ht="11.25" customHeight="1" x14ac:dyDescent="0.25">
      <c r="A758" s="615"/>
      <c r="B758" s="616"/>
      <c r="C758" s="617"/>
      <c r="D758" s="617"/>
      <c r="E758" s="617"/>
      <c r="F758" s="1083"/>
      <c r="G758" s="1084"/>
      <c r="H758" s="1069"/>
      <c r="I758" s="618"/>
      <c r="J758" s="619"/>
      <c r="K758" s="618"/>
      <c r="L758" s="620"/>
      <c r="M758" s="621"/>
      <c r="N758" s="620"/>
    </row>
    <row r="759" spans="1:14" ht="11.25" customHeight="1" x14ac:dyDescent="0.25">
      <c r="A759" s="615"/>
      <c r="B759" s="616"/>
      <c r="C759" s="617"/>
      <c r="D759" s="617"/>
      <c r="E759" s="617"/>
      <c r="F759" s="1083"/>
      <c r="G759" s="1084"/>
      <c r="H759" s="1069"/>
      <c r="I759" s="618"/>
      <c r="J759" s="619"/>
      <c r="K759" s="618"/>
      <c r="L759" s="620"/>
      <c r="M759" s="621"/>
      <c r="N759" s="620"/>
    </row>
    <row r="760" spans="1:14" ht="11.25" customHeight="1" x14ac:dyDescent="0.25">
      <c r="A760" s="615"/>
      <c r="B760" s="616"/>
      <c r="C760" s="617"/>
      <c r="D760" s="617"/>
      <c r="E760" s="617"/>
      <c r="F760" s="1083"/>
      <c r="G760" s="1084"/>
      <c r="H760" s="1069"/>
      <c r="I760" s="618"/>
      <c r="J760" s="619"/>
      <c r="K760" s="618"/>
      <c r="L760" s="620"/>
      <c r="M760" s="621"/>
      <c r="N760" s="620"/>
    </row>
    <row r="761" spans="1:14" ht="11.25" customHeight="1" x14ac:dyDescent="0.25">
      <c r="A761" s="615"/>
      <c r="B761" s="616"/>
      <c r="C761" s="617"/>
      <c r="D761" s="617"/>
      <c r="E761" s="617"/>
      <c r="F761" s="1083"/>
      <c r="G761" s="1084"/>
      <c r="H761" s="1069"/>
      <c r="I761" s="618"/>
      <c r="J761" s="619"/>
      <c r="K761" s="618"/>
      <c r="L761" s="620"/>
      <c r="M761" s="621"/>
      <c r="N761" s="620"/>
    </row>
    <row r="762" spans="1:14" ht="11.25" customHeight="1" x14ac:dyDescent="0.25">
      <c r="A762" s="615"/>
      <c r="B762" s="616"/>
      <c r="C762" s="617"/>
      <c r="D762" s="617"/>
      <c r="E762" s="617"/>
      <c r="F762" s="1083"/>
      <c r="G762" s="1084"/>
      <c r="H762" s="1069"/>
      <c r="I762" s="618"/>
      <c r="J762" s="619"/>
      <c r="K762" s="618"/>
      <c r="L762" s="620"/>
      <c r="M762" s="621"/>
      <c r="N762" s="620"/>
    </row>
    <row r="763" spans="1:14" ht="11.25" customHeight="1" x14ac:dyDescent="0.25">
      <c r="A763" s="615"/>
      <c r="B763" s="616"/>
      <c r="C763" s="617"/>
      <c r="D763" s="617"/>
      <c r="E763" s="617"/>
      <c r="F763" s="1083"/>
      <c r="G763" s="1084"/>
      <c r="H763" s="1069"/>
      <c r="I763" s="618"/>
      <c r="J763" s="619"/>
      <c r="K763" s="618"/>
      <c r="L763" s="620"/>
      <c r="M763" s="621"/>
      <c r="N763" s="620"/>
    </row>
    <row r="764" spans="1:14" ht="11.25" customHeight="1" x14ac:dyDescent="0.25">
      <c r="A764" s="615"/>
      <c r="B764" s="616"/>
      <c r="C764" s="617"/>
      <c r="D764" s="617"/>
      <c r="E764" s="617"/>
      <c r="F764" s="1083"/>
      <c r="G764" s="1084"/>
      <c r="H764" s="1069"/>
      <c r="I764" s="618"/>
      <c r="J764" s="619"/>
      <c r="K764" s="618"/>
      <c r="L764" s="620"/>
      <c r="M764" s="621"/>
      <c r="N764" s="620"/>
    </row>
    <row r="765" spans="1:14" ht="11.25" customHeight="1" x14ac:dyDescent="0.25">
      <c r="A765" s="615"/>
      <c r="B765" s="616"/>
      <c r="C765" s="617"/>
      <c r="D765" s="617"/>
      <c r="E765" s="617"/>
      <c r="F765" s="1083"/>
      <c r="G765" s="1084"/>
      <c r="H765" s="1069"/>
      <c r="I765" s="618"/>
      <c r="J765" s="619"/>
      <c r="K765" s="618"/>
      <c r="L765" s="620"/>
      <c r="M765" s="621"/>
      <c r="N765" s="620"/>
    </row>
    <row r="766" spans="1:14" ht="11.25" customHeight="1" x14ac:dyDescent="0.25">
      <c r="A766" s="615"/>
      <c r="B766" s="616"/>
      <c r="C766" s="617"/>
      <c r="D766" s="617"/>
      <c r="E766" s="617"/>
      <c r="F766" s="1083"/>
      <c r="G766" s="1084"/>
      <c r="H766" s="1069"/>
      <c r="I766" s="618"/>
      <c r="J766" s="619"/>
      <c r="K766" s="618"/>
      <c r="L766" s="620"/>
      <c r="M766" s="621"/>
      <c r="N766" s="620"/>
    </row>
    <row r="767" spans="1:14" ht="11.25" customHeight="1" x14ac:dyDescent="0.25">
      <c r="A767" s="615"/>
      <c r="B767" s="616"/>
      <c r="C767" s="617"/>
      <c r="D767" s="617"/>
      <c r="E767" s="617"/>
      <c r="F767" s="1083"/>
      <c r="G767" s="1084"/>
      <c r="H767" s="1069"/>
      <c r="I767" s="618"/>
      <c r="J767" s="619"/>
      <c r="K767" s="618"/>
      <c r="L767" s="620"/>
      <c r="M767" s="621"/>
      <c r="N767" s="620"/>
    </row>
    <row r="768" spans="1:14" ht="11.25" customHeight="1" x14ac:dyDescent="0.25">
      <c r="A768" s="615"/>
      <c r="B768" s="616"/>
      <c r="C768" s="617"/>
      <c r="D768" s="617"/>
      <c r="E768" s="617"/>
      <c r="F768" s="1083"/>
      <c r="G768" s="1084"/>
      <c r="H768" s="1069"/>
      <c r="I768" s="618"/>
      <c r="J768" s="619"/>
      <c r="K768" s="618"/>
      <c r="L768" s="620"/>
      <c r="M768" s="621"/>
      <c r="N768" s="620"/>
    </row>
    <row r="769" spans="1:14" ht="11.25" customHeight="1" x14ac:dyDescent="0.25">
      <c r="A769" s="615"/>
      <c r="B769" s="616"/>
      <c r="C769" s="617"/>
      <c r="D769" s="617"/>
      <c r="E769" s="617"/>
      <c r="F769" s="1083"/>
      <c r="G769" s="1084"/>
      <c r="H769" s="1069"/>
      <c r="I769" s="618"/>
      <c r="J769" s="619"/>
      <c r="K769" s="618"/>
      <c r="L769" s="620"/>
      <c r="M769" s="621"/>
      <c r="N769" s="620"/>
    </row>
    <row r="770" spans="1:14" ht="11.25" customHeight="1" x14ac:dyDescent="0.25">
      <c r="A770" s="615"/>
      <c r="B770" s="616"/>
      <c r="C770" s="617"/>
      <c r="D770" s="617"/>
      <c r="E770" s="617"/>
      <c r="F770" s="1083"/>
      <c r="G770" s="1084"/>
      <c r="H770" s="1069"/>
      <c r="I770" s="618"/>
      <c r="J770" s="619"/>
      <c r="K770" s="618"/>
      <c r="L770" s="620"/>
      <c r="M770" s="621"/>
      <c r="N770" s="620"/>
    </row>
    <row r="771" spans="1:14" ht="11.25" customHeight="1" x14ac:dyDescent="0.25">
      <c r="A771" s="615"/>
      <c r="B771" s="616"/>
      <c r="C771" s="617"/>
      <c r="D771" s="617"/>
      <c r="E771" s="617"/>
      <c r="F771" s="1083"/>
      <c r="G771" s="1084"/>
      <c r="H771" s="1069"/>
      <c r="I771" s="618"/>
      <c r="J771" s="619"/>
      <c r="K771" s="618"/>
      <c r="L771" s="620"/>
      <c r="M771" s="621"/>
      <c r="N771" s="620"/>
    </row>
    <row r="772" spans="1:14" ht="11.25" customHeight="1" x14ac:dyDescent="0.25">
      <c r="A772" s="615"/>
      <c r="B772" s="616"/>
      <c r="C772" s="617"/>
      <c r="D772" s="617"/>
      <c r="E772" s="617"/>
      <c r="F772" s="1083"/>
      <c r="G772" s="1084"/>
      <c r="H772" s="1069"/>
      <c r="I772" s="618"/>
      <c r="J772" s="619"/>
      <c r="K772" s="618"/>
      <c r="L772" s="620"/>
      <c r="M772" s="621"/>
      <c r="N772" s="620"/>
    </row>
    <row r="773" spans="1:14" ht="11.25" customHeight="1" x14ac:dyDescent="0.25">
      <c r="A773" s="615"/>
      <c r="B773" s="616"/>
      <c r="C773" s="617"/>
      <c r="D773" s="617"/>
      <c r="E773" s="617"/>
      <c r="F773" s="1083"/>
      <c r="G773" s="1084"/>
      <c r="H773" s="1069"/>
      <c r="I773" s="618"/>
      <c r="J773" s="619"/>
      <c r="K773" s="618"/>
      <c r="L773" s="620"/>
      <c r="M773" s="621"/>
      <c r="N773" s="620"/>
    </row>
    <row r="774" spans="1:14" ht="11.25" customHeight="1" x14ac:dyDescent="0.25">
      <c r="A774" s="615"/>
      <c r="B774" s="616"/>
      <c r="C774" s="617"/>
      <c r="D774" s="617"/>
      <c r="E774" s="617"/>
      <c r="F774" s="1083"/>
      <c r="G774" s="1084"/>
      <c r="H774" s="1069"/>
      <c r="I774" s="618"/>
      <c r="J774" s="619"/>
      <c r="K774" s="618"/>
      <c r="L774" s="620"/>
      <c r="M774" s="621"/>
      <c r="N774" s="620"/>
    </row>
    <row r="775" spans="1:14" ht="11.25" customHeight="1" x14ac:dyDescent="0.25">
      <c r="A775" s="615"/>
      <c r="B775" s="616"/>
      <c r="C775" s="617"/>
      <c r="D775" s="617"/>
      <c r="E775" s="617"/>
      <c r="F775" s="1083"/>
      <c r="G775" s="1084"/>
      <c r="H775" s="1069"/>
      <c r="I775" s="618"/>
      <c r="J775" s="619"/>
      <c r="K775" s="618"/>
      <c r="L775" s="620"/>
      <c r="M775" s="621"/>
      <c r="N775" s="620"/>
    </row>
    <row r="776" spans="1:14" ht="11.25" customHeight="1" x14ac:dyDescent="0.25">
      <c r="A776" s="615"/>
      <c r="B776" s="616"/>
      <c r="C776" s="617"/>
      <c r="D776" s="617"/>
      <c r="E776" s="617"/>
      <c r="F776" s="1083"/>
      <c r="G776" s="1084"/>
      <c r="H776" s="1069"/>
      <c r="I776" s="618"/>
      <c r="J776" s="619"/>
      <c r="K776" s="618"/>
      <c r="L776" s="620"/>
      <c r="M776" s="621"/>
      <c r="N776" s="620"/>
    </row>
    <row r="777" spans="1:14" ht="11.25" customHeight="1" x14ac:dyDescent="0.25">
      <c r="A777" s="615"/>
      <c r="B777" s="616"/>
      <c r="C777" s="617"/>
      <c r="D777" s="617"/>
      <c r="E777" s="617"/>
      <c r="F777" s="1083"/>
      <c r="G777" s="1084"/>
      <c r="H777" s="1069"/>
      <c r="I777" s="618"/>
      <c r="J777" s="619"/>
      <c r="K777" s="618"/>
      <c r="L777" s="620"/>
      <c r="M777" s="621"/>
      <c r="N777" s="620"/>
    </row>
    <row r="778" spans="1:14" ht="11.25" customHeight="1" x14ac:dyDescent="0.25">
      <c r="A778" s="615"/>
      <c r="B778" s="616"/>
      <c r="C778" s="617"/>
      <c r="D778" s="617"/>
      <c r="E778" s="617"/>
      <c r="F778" s="1083"/>
      <c r="G778" s="1084"/>
      <c r="H778" s="1069"/>
      <c r="I778" s="618"/>
      <c r="J778" s="619"/>
      <c r="K778" s="618"/>
      <c r="L778" s="620"/>
      <c r="M778" s="621"/>
      <c r="N778" s="620"/>
    </row>
    <row r="779" spans="1:14" ht="11.25" customHeight="1" x14ac:dyDescent="0.25">
      <c r="A779" s="615"/>
      <c r="B779" s="616"/>
      <c r="C779" s="617"/>
      <c r="D779" s="617"/>
      <c r="E779" s="617"/>
      <c r="F779" s="1083"/>
      <c r="G779" s="1084"/>
      <c r="H779" s="1069"/>
      <c r="I779" s="618"/>
      <c r="J779" s="619"/>
      <c r="K779" s="618"/>
      <c r="L779" s="620"/>
      <c r="M779" s="621"/>
      <c r="N779" s="620"/>
    </row>
    <row r="780" spans="1:14" ht="11.25" customHeight="1" x14ac:dyDescent="0.25">
      <c r="A780" s="615"/>
      <c r="B780" s="616"/>
      <c r="C780" s="617"/>
      <c r="D780" s="617"/>
      <c r="E780" s="617"/>
      <c r="F780" s="1083"/>
      <c r="G780" s="1084"/>
      <c r="H780" s="1069"/>
      <c r="I780" s="618"/>
      <c r="J780" s="619"/>
      <c r="K780" s="618"/>
      <c r="L780" s="620"/>
      <c r="M780" s="621"/>
      <c r="N780" s="620"/>
    </row>
    <row r="781" spans="1:14" ht="11.25" customHeight="1" x14ac:dyDescent="0.25">
      <c r="A781" s="615"/>
      <c r="B781" s="616"/>
      <c r="C781" s="617"/>
      <c r="D781" s="617"/>
      <c r="E781" s="617"/>
      <c r="F781" s="1083"/>
      <c r="G781" s="1084"/>
      <c r="H781" s="1069"/>
      <c r="I781" s="618"/>
      <c r="J781" s="619"/>
      <c r="K781" s="618"/>
      <c r="L781" s="620"/>
      <c r="M781" s="621"/>
      <c r="N781" s="620"/>
    </row>
    <row r="782" spans="1:14" ht="11.25" customHeight="1" x14ac:dyDescent="0.25">
      <c r="A782" s="615"/>
      <c r="B782" s="616"/>
      <c r="C782" s="617"/>
      <c r="D782" s="617"/>
      <c r="E782" s="617"/>
      <c r="F782" s="1083"/>
      <c r="G782" s="1084"/>
      <c r="H782" s="1069"/>
      <c r="I782" s="618"/>
      <c r="J782" s="619"/>
      <c r="K782" s="618"/>
      <c r="L782" s="620"/>
      <c r="M782" s="621"/>
      <c r="N782" s="620"/>
    </row>
    <row r="783" spans="1:14" ht="11.25" customHeight="1" x14ac:dyDescent="0.25">
      <c r="A783" s="615"/>
      <c r="B783" s="616"/>
      <c r="C783" s="617"/>
      <c r="D783" s="617"/>
      <c r="E783" s="617"/>
      <c r="F783" s="1083"/>
      <c r="G783" s="1084"/>
      <c r="H783" s="1069"/>
      <c r="I783" s="618"/>
      <c r="J783" s="619"/>
      <c r="K783" s="618"/>
      <c r="L783" s="620"/>
      <c r="M783" s="621"/>
      <c r="N783" s="620"/>
    </row>
    <row r="784" spans="1:14" ht="11.25" customHeight="1" x14ac:dyDescent="0.25">
      <c r="A784" s="615"/>
      <c r="B784" s="616"/>
      <c r="C784" s="617"/>
      <c r="D784" s="617"/>
      <c r="E784" s="617"/>
      <c r="F784" s="1083"/>
      <c r="G784" s="1084"/>
      <c r="H784" s="1069"/>
      <c r="I784" s="618"/>
      <c r="J784" s="619"/>
      <c r="K784" s="618"/>
      <c r="L784" s="620"/>
      <c r="M784" s="621"/>
      <c r="N784" s="620"/>
    </row>
    <row r="785" spans="1:14" ht="11.25" customHeight="1" x14ac:dyDescent="0.25">
      <c r="A785" s="615"/>
      <c r="B785" s="616"/>
      <c r="C785" s="617"/>
      <c r="D785" s="617"/>
      <c r="E785" s="617"/>
      <c r="F785" s="1083"/>
      <c r="G785" s="1084"/>
      <c r="H785" s="1069"/>
      <c r="I785" s="618"/>
      <c r="J785" s="619"/>
      <c r="K785" s="618"/>
      <c r="L785" s="620"/>
      <c r="M785" s="621"/>
      <c r="N785" s="620"/>
    </row>
    <row r="786" spans="1:14" ht="11.25" customHeight="1" x14ac:dyDescent="0.25">
      <c r="A786" s="615"/>
      <c r="B786" s="616"/>
      <c r="C786" s="617"/>
      <c r="D786" s="617"/>
      <c r="E786" s="617"/>
      <c r="F786" s="1083"/>
      <c r="G786" s="1084"/>
      <c r="H786" s="1069"/>
      <c r="I786" s="618"/>
      <c r="J786" s="619"/>
      <c r="K786" s="618"/>
      <c r="L786" s="620"/>
      <c r="M786" s="621"/>
      <c r="N786" s="620"/>
    </row>
    <row r="787" spans="1:14" ht="11.25" customHeight="1" x14ac:dyDescent="0.25">
      <c r="A787" s="615"/>
      <c r="B787" s="616"/>
      <c r="C787" s="617"/>
      <c r="D787" s="617"/>
      <c r="E787" s="617"/>
      <c r="F787" s="1083"/>
      <c r="G787" s="1084"/>
      <c r="H787" s="1069"/>
      <c r="I787" s="618"/>
      <c r="J787" s="619"/>
      <c r="K787" s="618"/>
      <c r="L787" s="620"/>
      <c r="M787" s="621"/>
      <c r="N787" s="620"/>
    </row>
    <row r="788" spans="1:14" ht="11.25" customHeight="1" x14ac:dyDescent="0.25">
      <c r="A788" s="615"/>
      <c r="B788" s="616"/>
      <c r="C788" s="617"/>
      <c r="D788" s="617"/>
      <c r="E788" s="617"/>
      <c r="F788" s="1083"/>
      <c r="G788" s="1084"/>
      <c r="H788" s="1069"/>
      <c r="I788" s="618"/>
      <c r="J788" s="619"/>
      <c r="K788" s="618"/>
      <c r="L788" s="620"/>
      <c r="M788" s="621"/>
      <c r="N788" s="620"/>
    </row>
    <row r="789" spans="1:14" ht="11.25" customHeight="1" x14ac:dyDescent="0.25">
      <c r="A789" s="615"/>
      <c r="B789" s="616"/>
      <c r="C789" s="617"/>
      <c r="D789" s="617"/>
      <c r="E789" s="617"/>
      <c r="F789" s="1083"/>
      <c r="G789" s="1084"/>
      <c r="H789" s="1069"/>
      <c r="I789" s="618"/>
      <c r="J789" s="619"/>
      <c r="K789" s="618"/>
      <c r="L789" s="620"/>
      <c r="M789" s="621"/>
      <c r="N789" s="620"/>
    </row>
    <row r="790" spans="1:14" ht="11.25" customHeight="1" x14ac:dyDescent="0.25">
      <c r="A790" s="615"/>
      <c r="B790" s="616"/>
      <c r="C790" s="617"/>
      <c r="D790" s="617"/>
      <c r="E790" s="617"/>
      <c r="F790" s="1083"/>
      <c r="G790" s="1084"/>
      <c r="H790" s="1069"/>
      <c r="I790" s="618"/>
      <c r="J790" s="619"/>
      <c r="K790" s="618"/>
      <c r="L790" s="620"/>
      <c r="M790" s="621"/>
      <c r="N790" s="620"/>
    </row>
    <row r="791" spans="1:14" ht="11.25" customHeight="1" x14ac:dyDescent="0.25">
      <c r="A791" s="615"/>
      <c r="B791" s="616"/>
      <c r="C791" s="617"/>
      <c r="D791" s="617"/>
      <c r="E791" s="617"/>
      <c r="F791" s="1083"/>
      <c r="G791" s="1084"/>
      <c r="H791" s="1069"/>
      <c r="I791" s="618"/>
      <c r="J791" s="619"/>
      <c r="K791" s="618"/>
      <c r="L791" s="620"/>
      <c r="M791" s="621"/>
      <c r="N791" s="620"/>
    </row>
    <row r="792" spans="1:14" ht="11.25" customHeight="1" x14ac:dyDescent="0.25">
      <c r="A792" s="615"/>
      <c r="B792" s="616"/>
      <c r="C792" s="617"/>
      <c r="D792" s="617"/>
      <c r="E792" s="617"/>
      <c r="F792" s="1083"/>
      <c r="G792" s="1084"/>
      <c r="H792" s="1069"/>
      <c r="I792" s="618"/>
      <c r="J792" s="619"/>
      <c r="K792" s="618"/>
      <c r="L792" s="620"/>
      <c r="M792" s="621"/>
      <c r="N792" s="620"/>
    </row>
    <row r="793" spans="1:14" ht="11.25" customHeight="1" x14ac:dyDescent="0.25">
      <c r="A793" s="615"/>
      <c r="B793" s="616"/>
      <c r="C793" s="617"/>
      <c r="D793" s="617"/>
      <c r="E793" s="617"/>
      <c r="F793" s="1083"/>
      <c r="G793" s="1084"/>
      <c r="H793" s="1069"/>
      <c r="I793" s="618"/>
      <c r="J793" s="619"/>
      <c r="K793" s="618"/>
      <c r="L793" s="620"/>
      <c r="M793" s="621"/>
      <c r="N793" s="620"/>
    </row>
    <row r="794" spans="1:14" ht="11.25" customHeight="1" x14ac:dyDescent="0.25">
      <c r="A794" s="615"/>
      <c r="B794" s="616"/>
      <c r="C794" s="617"/>
      <c r="D794" s="617"/>
      <c r="E794" s="617"/>
      <c r="F794" s="1083"/>
      <c r="G794" s="1084"/>
      <c r="H794" s="1069"/>
      <c r="I794" s="618"/>
      <c r="J794" s="619"/>
      <c r="K794" s="618"/>
      <c r="L794" s="620"/>
      <c r="M794" s="621"/>
      <c r="N794" s="620"/>
    </row>
    <row r="795" spans="1:14" ht="11.25" customHeight="1" x14ac:dyDescent="0.25">
      <c r="A795" s="615"/>
      <c r="B795" s="616"/>
      <c r="C795" s="617"/>
      <c r="D795" s="617"/>
      <c r="E795" s="617"/>
      <c r="F795" s="1083"/>
      <c r="G795" s="1084"/>
      <c r="H795" s="1069"/>
      <c r="I795" s="618"/>
      <c r="J795" s="619"/>
      <c r="K795" s="618"/>
      <c r="L795" s="620"/>
      <c r="M795" s="621"/>
      <c r="N795" s="620"/>
    </row>
    <row r="796" spans="1:14" ht="11.25" customHeight="1" x14ac:dyDescent="0.25">
      <c r="A796" s="615"/>
      <c r="B796" s="616"/>
      <c r="C796" s="617"/>
      <c r="D796" s="617"/>
      <c r="E796" s="617"/>
      <c r="F796" s="1083"/>
      <c r="G796" s="1084"/>
      <c r="H796" s="1069"/>
      <c r="I796" s="618"/>
      <c r="J796" s="619"/>
      <c r="K796" s="618"/>
      <c r="L796" s="620"/>
      <c r="M796" s="621"/>
      <c r="N796" s="620"/>
    </row>
    <row r="797" spans="1:14" ht="11.25" customHeight="1" x14ac:dyDescent="0.25">
      <c r="A797" s="615"/>
      <c r="B797" s="616"/>
      <c r="C797" s="617"/>
      <c r="D797" s="617"/>
      <c r="E797" s="617"/>
      <c r="F797" s="1083"/>
      <c r="G797" s="1084"/>
      <c r="H797" s="1069"/>
      <c r="I797" s="618"/>
      <c r="J797" s="619"/>
      <c r="K797" s="618"/>
      <c r="L797" s="620"/>
      <c r="M797" s="621"/>
      <c r="N797" s="620"/>
    </row>
    <row r="798" spans="1:14" ht="11.25" customHeight="1" x14ac:dyDescent="0.25">
      <c r="A798" s="615"/>
      <c r="B798" s="616"/>
      <c r="C798" s="617"/>
      <c r="D798" s="617"/>
      <c r="E798" s="617"/>
      <c r="F798" s="1083"/>
      <c r="G798" s="1084"/>
      <c r="H798" s="1069"/>
      <c r="I798" s="618"/>
      <c r="J798" s="619"/>
      <c r="K798" s="618"/>
      <c r="L798" s="620"/>
      <c r="M798" s="621"/>
      <c r="N798" s="620"/>
    </row>
    <row r="799" spans="1:14" ht="11.25" customHeight="1" x14ac:dyDescent="0.25">
      <c r="A799" s="615"/>
      <c r="B799" s="616"/>
      <c r="C799" s="617"/>
      <c r="D799" s="617"/>
      <c r="E799" s="617"/>
      <c r="F799" s="1083"/>
      <c r="G799" s="1084"/>
      <c r="H799" s="1069"/>
      <c r="I799" s="618"/>
      <c r="J799" s="619"/>
      <c r="K799" s="618"/>
      <c r="L799" s="620"/>
      <c r="M799" s="621"/>
      <c r="N799" s="620"/>
    </row>
    <row r="800" spans="1:14" ht="11.25" customHeight="1" x14ac:dyDescent="0.25">
      <c r="A800" s="615"/>
      <c r="B800" s="616"/>
      <c r="C800" s="617"/>
      <c r="D800" s="617"/>
      <c r="E800" s="617"/>
      <c r="F800" s="1083"/>
      <c r="G800" s="1084"/>
      <c r="H800" s="1069"/>
      <c r="I800" s="618"/>
      <c r="J800" s="619"/>
      <c r="K800" s="618"/>
      <c r="L800" s="620"/>
      <c r="M800" s="621"/>
      <c r="N800" s="620"/>
    </row>
    <row r="801" spans="1:14" ht="11.25" customHeight="1" x14ac:dyDescent="0.25">
      <c r="A801" s="615"/>
      <c r="B801" s="616"/>
      <c r="C801" s="617"/>
      <c r="D801" s="617"/>
      <c r="E801" s="617"/>
      <c r="F801" s="1083"/>
      <c r="G801" s="1084"/>
      <c r="H801" s="1069"/>
      <c r="I801" s="618"/>
      <c r="J801" s="619"/>
      <c r="K801" s="618"/>
      <c r="L801" s="620"/>
      <c r="M801" s="621"/>
      <c r="N801" s="620"/>
    </row>
    <row r="802" spans="1:14" ht="11.25" customHeight="1" x14ac:dyDescent="0.25">
      <c r="A802" s="615"/>
      <c r="B802" s="616"/>
      <c r="C802" s="617"/>
      <c r="D802" s="617"/>
      <c r="E802" s="617"/>
      <c r="F802" s="1083"/>
      <c r="G802" s="1084"/>
      <c r="H802" s="1069"/>
      <c r="I802" s="618"/>
      <c r="J802" s="619"/>
      <c r="K802" s="618"/>
      <c r="L802" s="620"/>
      <c r="M802" s="621"/>
      <c r="N802" s="620"/>
    </row>
    <row r="803" spans="1:14" ht="11.25" customHeight="1" x14ac:dyDescent="0.25">
      <c r="A803" s="615"/>
      <c r="B803" s="616"/>
      <c r="C803" s="617"/>
      <c r="D803" s="617"/>
      <c r="E803" s="617"/>
      <c r="F803" s="1083"/>
      <c r="G803" s="1084"/>
      <c r="H803" s="1069"/>
      <c r="I803" s="618"/>
      <c r="J803" s="619"/>
      <c r="K803" s="618"/>
      <c r="L803" s="620"/>
      <c r="M803" s="621"/>
      <c r="N803" s="620"/>
    </row>
    <row r="804" spans="1:14" ht="11.25" customHeight="1" x14ac:dyDescent="0.25">
      <c r="A804" s="615"/>
      <c r="B804" s="616"/>
      <c r="C804" s="617"/>
      <c r="D804" s="617"/>
      <c r="E804" s="617"/>
      <c r="F804" s="1083"/>
      <c r="G804" s="1084"/>
      <c r="H804" s="1069"/>
      <c r="I804" s="618"/>
      <c r="J804" s="619"/>
      <c r="K804" s="618"/>
      <c r="L804" s="620"/>
      <c r="M804" s="621"/>
      <c r="N804" s="620"/>
    </row>
    <row r="805" spans="1:14" ht="11.25" customHeight="1" x14ac:dyDescent="0.25">
      <c r="A805" s="615"/>
      <c r="B805" s="616"/>
      <c r="C805" s="617"/>
      <c r="D805" s="617"/>
      <c r="E805" s="617"/>
      <c r="F805" s="1083"/>
      <c r="G805" s="1084"/>
      <c r="H805" s="1069"/>
      <c r="I805" s="618"/>
      <c r="J805" s="619"/>
      <c r="K805" s="618"/>
      <c r="L805" s="620"/>
      <c r="M805" s="621"/>
      <c r="N805" s="620"/>
    </row>
    <row r="806" spans="1:14" ht="11.25" customHeight="1" x14ac:dyDescent="0.25">
      <c r="A806" s="615"/>
      <c r="B806" s="616"/>
      <c r="C806" s="617"/>
      <c r="D806" s="617"/>
      <c r="E806" s="617"/>
      <c r="F806" s="1083"/>
      <c r="G806" s="1084"/>
      <c r="H806" s="1069"/>
      <c r="I806" s="618"/>
      <c r="J806" s="619"/>
      <c r="K806" s="618"/>
      <c r="L806" s="620"/>
      <c r="M806" s="621"/>
      <c r="N806" s="620"/>
    </row>
    <row r="807" spans="1:14" ht="11.25" customHeight="1" x14ac:dyDescent="0.25">
      <c r="A807" s="615"/>
      <c r="B807" s="616"/>
      <c r="C807" s="617"/>
      <c r="D807" s="617"/>
      <c r="E807" s="617"/>
      <c r="F807" s="1083"/>
      <c r="G807" s="1084"/>
      <c r="H807" s="1069"/>
      <c r="I807" s="618"/>
      <c r="J807" s="619"/>
      <c r="K807" s="618"/>
      <c r="L807" s="620"/>
      <c r="M807" s="621"/>
      <c r="N807" s="620"/>
    </row>
    <row r="808" spans="1:14" ht="11.25" customHeight="1" x14ac:dyDescent="0.25">
      <c r="A808" s="615"/>
      <c r="B808" s="616"/>
      <c r="C808" s="617"/>
      <c r="D808" s="617"/>
      <c r="E808" s="617"/>
      <c r="F808" s="1083"/>
      <c r="G808" s="1084"/>
      <c r="H808" s="1069"/>
      <c r="I808" s="618"/>
      <c r="J808" s="619"/>
      <c r="K808" s="618"/>
      <c r="L808" s="620"/>
      <c r="M808" s="621"/>
      <c r="N808" s="620"/>
    </row>
    <row r="809" spans="1:14" ht="11.25" customHeight="1" x14ac:dyDescent="0.25">
      <c r="A809" s="615"/>
      <c r="B809" s="616"/>
      <c r="C809" s="617"/>
      <c r="D809" s="617"/>
      <c r="E809" s="617"/>
      <c r="F809" s="1083"/>
      <c r="G809" s="1084"/>
      <c r="H809" s="1069"/>
      <c r="I809" s="618"/>
      <c r="J809" s="619"/>
      <c r="K809" s="618"/>
      <c r="L809" s="620"/>
      <c r="M809" s="621"/>
      <c r="N809" s="620"/>
    </row>
    <row r="810" spans="1:14" ht="11.25" customHeight="1" x14ac:dyDescent="0.25">
      <c r="A810" s="615"/>
      <c r="B810" s="616"/>
      <c r="C810" s="617"/>
      <c r="D810" s="617"/>
      <c r="E810" s="617"/>
      <c r="F810" s="1083"/>
      <c r="G810" s="1084"/>
      <c r="H810" s="1069"/>
      <c r="I810" s="618"/>
      <c r="J810" s="619"/>
      <c r="K810" s="618"/>
      <c r="L810" s="620"/>
      <c r="M810" s="621"/>
      <c r="N810" s="620"/>
    </row>
    <row r="811" spans="1:14" ht="11.25" customHeight="1" x14ac:dyDescent="0.25">
      <c r="A811" s="615"/>
      <c r="B811" s="616"/>
      <c r="C811" s="617"/>
      <c r="D811" s="617"/>
      <c r="E811" s="617"/>
      <c r="F811" s="1083"/>
      <c r="G811" s="1084"/>
      <c r="H811" s="1069"/>
      <c r="I811" s="618"/>
      <c r="J811" s="619"/>
      <c r="K811" s="618"/>
      <c r="L811" s="620"/>
      <c r="M811" s="621"/>
      <c r="N811" s="620"/>
    </row>
    <row r="812" spans="1:14" ht="11.25" customHeight="1" x14ac:dyDescent="0.25">
      <c r="A812" s="615"/>
      <c r="B812" s="616"/>
      <c r="C812" s="617"/>
      <c r="D812" s="617"/>
      <c r="E812" s="617"/>
      <c r="F812" s="1083"/>
      <c r="G812" s="1084"/>
      <c r="H812" s="1069"/>
      <c r="I812" s="618"/>
      <c r="J812" s="619"/>
      <c r="K812" s="618"/>
      <c r="L812" s="620"/>
      <c r="M812" s="621"/>
      <c r="N812" s="620"/>
    </row>
    <row r="813" spans="1:14" ht="11.25" customHeight="1" x14ac:dyDescent="0.25">
      <c r="A813" s="615"/>
      <c r="B813" s="616"/>
      <c r="C813" s="617"/>
      <c r="D813" s="617"/>
      <c r="E813" s="617"/>
      <c r="F813" s="1083"/>
      <c r="G813" s="1084"/>
      <c r="H813" s="1069"/>
      <c r="I813" s="618"/>
      <c r="J813" s="619"/>
      <c r="K813" s="618"/>
      <c r="L813" s="620"/>
      <c r="M813" s="621"/>
      <c r="N813" s="620"/>
    </row>
    <row r="814" spans="1:14" ht="11.25" customHeight="1" x14ac:dyDescent="0.25">
      <c r="A814" s="615"/>
      <c r="B814" s="616"/>
      <c r="C814" s="617"/>
      <c r="D814" s="617"/>
      <c r="E814" s="617"/>
      <c r="F814" s="1083"/>
      <c r="G814" s="1084"/>
      <c r="H814" s="1069"/>
      <c r="I814" s="618"/>
      <c r="J814" s="619"/>
      <c r="K814" s="618"/>
      <c r="L814" s="620"/>
      <c r="M814" s="621"/>
      <c r="N814" s="620"/>
    </row>
    <row r="815" spans="1:14" ht="11.25" customHeight="1" x14ac:dyDescent="0.25">
      <c r="A815" s="615"/>
      <c r="B815" s="616"/>
      <c r="C815" s="617"/>
      <c r="D815" s="617"/>
      <c r="E815" s="617"/>
      <c r="F815" s="1083"/>
      <c r="G815" s="1084"/>
      <c r="H815" s="1069"/>
      <c r="I815" s="618"/>
      <c r="J815" s="619"/>
      <c r="K815" s="618"/>
      <c r="L815" s="620"/>
      <c r="M815" s="621"/>
      <c r="N815" s="620"/>
    </row>
    <row r="816" spans="1:14" ht="11.25" customHeight="1" x14ac:dyDescent="0.25">
      <c r="A816" s="615"/>
      <c r="B816" s="616"/>
      <c r="C816" s="617"/>
      <c r="D816" s="617"/>
      <c r="E816" s="617"/>
      <c r="F816" s="1083"/>
      <c r="G816" s="1084"/>
      <c r="H816" s="1069"/>
      <c r="I816" s="618"/>
      <c r="J816" s="619"/>
      <c r="K816" s="618"/>
      <c r="L816" s="620"/>
      <c r="M816" s="621"/>
      <c r="N816" s="620"/>
    </row>
    <row r="817" spans="1:14" ht="11.25" customHeight="1" x14ac:dyDescent="0.25">
      <c r="A817" s="615"/>
      <c r="B817" s="616"/>
      <c r="C817" s="617"/>
      <c r="D817" s="617"/>
      <c r="E817" s="617"/>
      <c r="F817" s="1083"/>
      <c r="G817" s="1084"/>
      <c r="H817" s="1069"/>
      <c r="I817" s="618"/>
      <c r="J817" s="619"/>
      <c r="K817" s="618"/>
      <c r="L817" s="620"/>
      <c r="M817" s="621"/>
      <c r="N817" s="620"/>
    </row>
    <row r="818" spans="1:14" ht="11.25" customHeight="1" x14ac:dyDescent="0.25">
      <c r="A818" s="615"/>
      <c r="B818" s="616"/>
      <c r="C818" s="617"/>
      <c r="D818" s="617"/>
      <c r="E818" s="617"/>
      <c r="F818" s="1083"/>
      <c r="G818" s="1084"/>
      <c r="H818" s="1069"/>
      <c r="I818" s="618"/>
      <c r="J818" s="619"/>
      <c r="K818" s="618"/>
      <c r="L818" s="620"/>
      <c r="M818" s="621"/>
      <c r="N818" s="620"/>
    </row>
    <row r="819" spans="1:14" ht="11.25" customHeight="1" x14ac:dyDescent="0.25">
      <c r="A819" s="615"/>
      <c r="B819" s="616"/>
      <c r="C819" s="617"/>
      <c r="D819" s="617"/>
      <c r="E819" s="617"/>
      <c r="F819" s="1083"/>
      <c r="G819" s="1084"/>
      <c r="H819" s="1069"/>
      <c r="I819" s="618"/>
      <c r="J819" s="619"/>
      <c r="K819" s="618"/>
      <c r="L819" s="620"/>
      <c r="M819" s="621"/>
      <c r="N819" s="620"/>
    </row>
    <row r="820" spans="1:14" ht="11.25" customHeight="1" x14ac:dyDescent="0.25">
      <c r="A820" s="615"/>
      <c r="B820" s="616"/>
      <c r="C820" s="617"/>
      <c r="D820" s="617"/>
      <c r="E820" s="617"/>
      <c r="F820" s="1083"/>
      <c r="G820" s="1084"/>
      <c r="H820" s="1069"/>
      <c r="I820" s="618"/>
      <c r="J820" s="619"/>
      <c r="K820" s="618"/>
      <c r="L820" s="620"/>
      <c r="M820" s="621"/>
      <c r="N820" s="620"/>
    </row>
    <row r="821" spans="1:14" ht="11.25" customHeight="1" x14ac:dyDescent="0.25">
      <c r="A821" s="615"/>
      <c r="B821" s="616"/>
      <c r="C821" s="617"/>
      <c r="D821" s="617"/>
      <c r="E821" s="617"/>
      <c r="F821" s="1083"/>
      <c r="G821" s="1084"/>
      <c r="H821" s="1069"/>
      <c r="I821" s="618"/>
      <c r="J821" s="619"/>
      <c r="K821" s="618"/>
      <c r="L821" s="620"/>
      <c r="M821" s="621"/>
      <c r="N821" s="620"/>
    </row>
    <row r="822" spans="1:14" ht="11.25" customHeight="1" x14ac:dyDescent="0.25">
      <c r="A822" s="615"/>
      <c r="B822" s="616"/>
      <c r="C822" s="617"/>
      <c r="D822" s="617"/>
      <c r="E822" s="617"/>
      <c r="F822" s="1083"/>
      <c r="G822" s="1084"/>
      <c r="H822" s="1069"/>
      <c r="I822" s="618"/>
      <c r="J822" s="619"/>
      <c r="K822" s="618"/>
      <c r="L822" s="620"/>
      <c r="M822" s="621"/>
      <c r="N822" s="620"/>
    </row>
    <row r="823" spans="1:14" ht="11.25" customHeight="1" x14ac:dyDescent="0.25">
      <c r="A823" s="615"/>
      <c r="B823" s="616"/>
      <c r="C823" s="617"/>
      <c r="D823" s="617"/>
      <c r="E823" s="617"/>
      <c r="F823" s="1083"/>
      <c r="G823" s="1084"/>
      <c r="H823" s="1069"/>
      <c r="I823" s="618"/>
      <c r="J823" s="619"/>
      <c r="K823" s="618"/>
      <c r="L823" s="620"/>
      <c r="M823" s="621"/>
      <c r="N823" s="620"/>
    </row>
    <row r="824" spans="1:14" ht="11.25" customHeight="1" x14ac:dyDescent="0.25">
      <c r="A824" s="615"/>
      <c r="B824" s="616"/>
      <c r="C824" s="617"/>
      <c r="D824" s="617"/>
      <c r="E824" s="617"/>
      <c r="F824" s="1083"/>
      <c r="G824" s="1084"/>
      <c r="H824" s="1069"/>
      <c r="I824" s="618"/>
      <c r="J824" s="619"/>
      <c r="K824" s="618"/>
      <c r="L824" s="620"/>
      <c r="M824" s="621"/>
      <c r="N824" s="620"/>
    </row>
    <row r="825" spans="1:14" ht="11.25" customHeight="1" x14ac:dyDescent="0.25">
      <c r="A825" s="615"/>
      <c r="B825" s="616"/>
      <c r="C825" s="617"/>
      <c r="D825" s="617"/>
      <c r="E825" s="617"/>
      <c r="F825" s="1083"/>
      <c r="G825" s="1084"/>
      <c r="H825" s="1069"/>
      <c r="I825" s="618"/>
      <c r="J825" s="619"/>
      <c r="K825" s="618"/>
      <c r="L825" s="620"/>
      <c r="M825" s="621"/>
      <c r="N825" s="620"/>
    </row>
    <row r="826" spans="1:14" ht="11.25" customHeight="1" x14ac:dyDescent="0.25">
      <c r="A826" s="615"/>
      <c r="B826" s="616"/>
      <c r="C826" s="617"/>
      <c r="D826" s="617"/>
      <c r="E826" s="617"/>
      <c r="F826" s="1083"/>
      <c r="G826" s="1084"/>
      <c r="H826" s="1069"/>
      <c r="I826" s="618"/>
      <c r="J826" s="619"/>
      <c r="K826" s="618"/>
      <c r="L826" s="620"/>
      <c r="M826" s="621"/>
      <c r="N826" s="620"/>
    </row>
    <row r="827" spans="1:14" ht="11.25" customHeight="1" x14ac:dyDescent="0.25">
      <c r="A827" s="615"/>
      <c r="B827" s="616"/>
      <c r="C827" s="617"/>
      <c r="D827" s="617"/>
      <c r="E827" s="617"/>
      <c r="F827" s="1083"/>
      <c r="G827" s="1084"/>
      <c r="H827" s="1069"/>
      <c r="I827" s="618"/>
      <c r="J827" s="619"/>
      <c r="K827" s="618"/>
      <c r="L827" s="620"/>
      <c r="M827" s="621"/>
      <c r="N827" s="620"/>
    </row>
    <row r="828" spans="1:14" ht="11.25" customHeight="1" x14ac:dyDescent="0.25">
      <c r="A828" s="615"/>
      <c r="B828" s="616"/>
      <c r="C828" s="617"/>
      <c r="D828" s="617"/>
      <c r="E828" s="617"/>
      <c r="F828" s="1083"/>
      <c r="G828" s="1084"/>
      <c r="H828" s="1069"/>
      <c r="I828" s="618"/>
      <c r="J828" s="619"/>
      <c r="K828" s="618"/>
      <c r="L828" s="620"/>
      <c r="M828" s="621"/>
      <c r="N828" s="620"/>
    </row>
    <row r="829" spans="1:14" ht="11.25" customHeight="1" x14ac:dyDescent="0.25">
      <c r="A829" s="615"/>
      <c r="B829" s="616"/>
      <c r="C829" s="617"/>
      <c r="D829" s="617"/>
      <c r="E829" s="617"/>
      <c r="F829" s="1083"/>
      <c r="G829" s="1084"/>
      <c r="H829" s="1069"/>
      <c r="I829" s="618"/>
      <c r="J829" s="619"/>
      <c r="K829" s="618"/>
      <c r="L829" s="620"/>
      <c r="M829" s="621"/>
      <c r="N829" s="620"/>
    </row>
    <row r="830" spans="1:14" ht="11.25" customHeight="1" x14ac:dyDescent="0.25">
      <c r="A830" s="615"/>
      <c r="B830" s="616"/>
      <c r="C830" s="617"/>
      <c r="D830" s="617"/>
      <c r="E830" s="617"/>
      <c r="F830" s="1083"/>
      <c r="G830" s="1084"/>
      <c r="H830" s="1069"/>
      <c r="I830" s="618"/>
      <c r="J830" s="619"/>
      <c r="K830" s="618"/>
      <c r="L830" s="620"/>
      <c r="M830" s="621"/>
      <c r="N830" s="620"/>
    </row>
    <row r="831" spans="1:14" ht="11.25" customHeight="1" x14ac:dyDescent="0.25">
      <c r="A831" s="615"/>
      <c r="B831" s="616"/>
      <c r="C831" s="617"/>
      <c r="D831" s="617"/>
      <c r="E831" s="617"/>
      <c r="F831" s="1083"/>
      <c r="G831" s="1084"/>
      <c r="H831" s="1069"/>
      <c r="I831" s="618"/>
      <c r="J831" s="619"/>
      <c r="K831" s="618"/>
      <c r="L831" s="620"/>
      <c r="M831" s="621"/>
      <c r="N831" s="620"/>
    </row>
    <row r="832" spans="1:14" ht="11.25" customHeight="1" x14ac:dyDescent="0.25">
      <c r="A832" s="615"/>
      <c r="B832" s="616"/>
      <c r="C832" s="617"/>
      <c r="D832" s="617"/>
      <c r="E832" s="617"/>
      <c r="F832" s="1083"/>
      <c r="G832" s="1084"/>
      <c r="H832" s="1069"/>
      <c r="I832" s="618"/>
      <c r="J832" s="619"/>
      <c r="K832" s="618"/>
      <c r="L832" s="620"/>
      <c r="M832" s="621"/>
      <c r="N832" s="620"/>
    </row>
    <row r="833" spans="1:14" ht="11.25" customHeight="1" x14ac:dyDescent="0.25">
      <c r="A833" s="615"/>
      <c r="B833" s="616"/>
      <c r="C833" s="617"/>
      <c r="D833" s="617"/>
      <c r="E833" s="617"/>
      <c r="F833" s="1083"/>
      <c r="G833" s="1084"/>
      <c r="H833" s="1069"/>
      <c r="I833" s="618"/>
      <c r="J833" s="619"/>
      <c r="K833" s="618"/>
      <c r="L833" s="620"/>
      <c r="M833" s="621"/>
      <c r="N833" s="620"/>
    </row>
    <row r="834" spans="1:14" ht="11.25" customHeight="1" x14ac:dyDescent="0.25">
      <c r="A834" s="615"/>
      <c r="B834" s="616"/>
      <c r="C834" s="617"/>
      <c r="D834" s="617"/>
      <c r="E834" s="617"/>
      <c r="F834" s="1083"/>
      <c r="G834" s="1084"/>
      <c r="H834" s="1069"/>
      <c r="I834" s="618"/>
      <c r="J834" s="619"/>
      <c r="K834" s="618"/>
      <c r="L834" s="620"/>
      <c r="M834" s="621"/>
      <c r="N834" s="620"/>
    </row>
    <row r="835" spans="1:14" ht="11.25" customHeight="1" x14ac:dyDescent="0.25">
      <c r="A835" s="615"/>
      <c r="B835" s="616"/>
      <c r="C835" s="617"/>
      <c r="D835" s="617"/>
      <c r="E835" s="617"/>
      <c r="F835" s="1083"/>
      <c r="G835" s="1084"/>
      <c r="H835" s="1069"/>
      <c r="I835" s="618"/>
      <c r="J835" s="619"/>
      <c r="K835" s="618"/>
      <c r="L835" s="620"/>
      <c r="M835" s="621"/>
      <c r="N835" s="620"/>
    </row>
    <row r="836" spans="1:14" ht="11.25" customHeight="1" x14ac:dyDescent="0.25">
      <c r="A836" s="615"/>
      <c r="B836" s="616"/>
      <c r="C836" s="617"/>
      <c r="D836" s="617"/>
      <c r="E836" s="617"/>
      <c r="F836" s="1083"/>
      <c r="G836" s="1084"/>
      <c r="H836" s="1069"/>
      <c r="I836" s="618"/>
      <c r="J836" s="619"/>
      <c r="K836" s="618"/>
      <c r="L836" s="620"/>
      <c r="M836" s="621"/>
      <c r="N836" s="620"/>
    </row>
    <row r="837" spans="1:14" ht="11.25" customHeight="1" x14ac:dyDescent="0.25">
      <c r="A837" s="615"/>
      <c r="B837" s="616"/>
      <c r="C837" s="617"/>
      <c r="D837" s="617"/>
      <c r="E837" s="617"/>
      <c r="F837" s="1083"/>
      <c r="G837" s="1084"/>
      <c r="H837" s="1069"/>
      <c r="I837" s="618"/>
      <c r="J837" s="619"/>
      <c r="K837" s="618"/>
      <c r="L837" s="620"/>
      <c r="M837" s="621"/>
      <c r="N837" s="620"/>
    </row>
    <row r="838" spans="1:14" ht="11.25" customHeight="1" x14ac:dyDescent="0.25">
      <c r="A838" s="615"/>
      <c r="B838" s="616"/>
      <c r="C838" s="617"/>
      <c r="D838" s="617"/>
      <c r="E838" s="617"/>
      <c r="F838" s="1083"/>
      <c r="G838" s="1084"/>
      <c r="H838" s="1069"/>
      <c r="I838" s="618"/>
      <c r="J838" s="619"/>
      <c r="K838" s="618"/>
      <c r="L838" s="620"/>
      <c r="M838" s="621"/>
      <c r="N838" s="620"/>
    </row>
    <row r="839" spans="1:14" ht="11.25" customHeight="1" x14ac:dyDescent="0.25">
      <c r="A839" s="615"/>
      <c r="B839" s="616"/>
      <c r="C839" s="617"/>
      <c r="D839" s="617"/>
      <c r="E839" s="617"/>
      <c r="F839" s="1083"/>
      <c r="G839" s="1084"/>
      <c r="H839" s="1069"/>
      <c r="I839" s="618"/>
      <c r="J839" s="619"/>
      <c r="K839" s="618"/>
      <c r="L839" s="620"/>
      <c r="M839" s="621"/>
      <c r="N839" s="620"/>
    </row>
    <row r="840" spans="1:14" ht="11.25" customHeight="1" x14ac:dyDescent="0.25">
      <c r="A840" s="615"/>
      <c r="B840" s="616"/>
      <c r="C840" s="617"/>
      <c r="D840" s="617"/>
      <c r="E840" s="617"/>
      <c r="F840" s="1083"/>
      <c r="G840" s="1084"/>
      <c r="H840" s="1069"/>
      <c r="I840" s="618"/>
      <c r="J840" s="619"/>
      <c r="K840" s="618"/>
      <c r="L840" s="620"/>
      <c r="M840" s="621"/>
      <c r="N840" s="620"/>
    </row>
    <row r="841" spans="1:14" ht="11.25" customHeight="1" x14ac:dyDescent="0.25">
      <c r="A841" s="615"/>
      <c r="B841" s="616"/>
      <c r="C841" s="617"/>
      <c r="D841" s="617"/>
      <c r="E841" s="617"/>
      <c r="F841" s="1083"/>
      <c r="G841" s="1084"/>
      <c r="H841" s="1069"/>
      <c r="I841" s="618"/>
      <c r="J841" s="619"/>
      <c r="K841" s="618"/>
      <c r="L841" s="620"/>
      <c r="M841" s="621"/>
      <c r="N841" s="620"/>
    </row>
    <row r="842" spans="1:14" ht="11.25" customHeight="1" x14ac:dyDescent="0.25">
      <c r="A842" s="615"/>
      <c r="B842" s="616"/>
      <c r="C842" s="617"/>
      <c r="D842" s="617"/>
      <c r="E842" s="617"/>
      <c r="F842" s="1083"/>
      <c r="G842" s="1084"/>
      <c r="H842" s="1069"/>
      <c r="I842" s="618"/>
      <c r="J842" s="619"/>
      <c r="K842" s="618"/>
      <c r="L842" s="620"/>
      <c r="M842" s="621"/>
      <c r="N842" s="620"/>
    </row>
    <row r="843" spans="1:14" ht="11.25" customHeight="1" x14ac:dyDescent="0.25">
      <c r="A843" s="615"/>
      <c r="B843" s="616"/>
      <c r="C843" s="617"/>
      <c r="D843" s="617"/>
      <c r="E843" s="617"/>
      <c r="F843" s="1083"/>
      <c r="G843" s="1084"/>
      <c r="H843" s="1069"/>
      <c r="I843" s="618"/>
      <c r="J843" s="619"/>
      <c r="K843" s="618"/>
      <c r="L843" s="620"/>
      <c r="M843" s="621"/>
      <c r="N843" s="620"/>
    </row>
    <row r="844" spans="1:14" ht="11.25" customHeight="1" x14ac:dyDescent="0.25">
      <c r="A844" s="615"/>
      <c r="B844" s="616"/>
      <c r="C844" s="617"/>
      <c r="D844" s="617"/>
      <c r="E844" s="617"/>
      <c r="F844" s="1083"/>
      <c r="G844" s="1084"/>
      <c r="H844" s="1069"/>
      <c r="I844" s="618"/>
      <c r="J844" s="619"/>
      <c r="K844" s="618"/>
      <c r="L844" s="620"/>
      <c r="M844" s="621"/>
      <c r="N844" s="620"/>
    </row>
    <row r="845" spans="1:14" ht="11.25" customHeight="1" x14ac:dyDescent="0.25">
      <c r="A845" s="615"/>
      <c r="B845" s="616"/>
      <c r="C845" s="617"/>
      <c r="D845" s="617"/>
      <c r="E845" s="617"/>
      <c r="F845" s="1083"/>
      <c r="G845" s="1084"/>
      <c r="H845" s="1069"/>
      <c r="I845" s="618"/>
      <c r="J845" s="619"/>
      <c r="K845" s="618"/>
      <c r="L845" s="620"/>
      <c r="M845" s="621"/>
      <c r="N845" s="620"/>
    </row>
    <row r="846" spans="1:14" ht="11.25" customHeight="1" x14ac:dyDescent="0.25">
      <c r="A846" s="615"/>
      <c r="B846" s="616"/>
      <c r="C846" s="617"/>
      <c r="D846" s="617"/>
      <c r="E846" s="617"/>
      <c r="F846" s="1083"/>
      <c r="G846" s="1084"/>
      <c r="H846" s="1069"/>
      <c r="I846" s="618"/>
      <c r="J846" s="619"/>
      <c r="K846" s="618"/>
      <c r="L846" s="620"/>
      <c r="M846" s="621"/>
      <c r="N846" s="620"/>
    </row>
    <row r="847" spans="1:14" ht="11.25" customHeight="1" x14ac:dyDescent="0.25">
      <c r="A847" s="615"/>
      <c r="B847" s="616"/>
      <c r="C847" s="617"/>
      <c r="D847" s="617"/>
      <c r="E847" s="617"/>
      <c r="F847" s="1083"/>
      <c r="G847" s="1084"/>
      <c r="H847" s="1069"/>
      <c r="I847" s="618"/>
      <c r="J847" s="619"/>
      <c r="K847" s="618"/>
      <c r="L847" s="620"/>
      <c r="M847" s="621"/>
      <c r="N847" s="620"/>
    </row>
    <row r="848" spans="1:14" ht="11.25" customHeight="1" x14ac:dyDescent="0.25">
      <c r="A848" s="615"/>
      <c r="B848" s="616"/>
      <c r="C848" s="617"/>
      <c r="D848" s="617"/>
      <c r="E848" s="617"/>
      <c r="F848" s="1083"/>
      <c r="G848" s="1084"/>
      <c r="H848" s="1069"/>
      <c r="I848" s="618"/>
      <c r="J848" s="619"/>
      <c r="K848" s="618"/>
      <c r="L848" s="620"/>
      <c r="M848" s="621"/>
      <c r="N848" s="620"/>
    </row>
    <row r="849" spans="1:14" ht="11.25" customHeight="1" x14ac:dyDescent="0.25">
      <c r="A849" s="615"/>
      <c r="B849" s="616"/>
      <c r="C849" s="617"/>
      <c r="D849" s="617"/>
      <c r="E849" s="617"/>
      <c r="F849" s="1083"/>
      <c r="G849" s="1084"/>
      <c r="H849" s="1069"/>
      <c r="I849" s="618"/>
      <c r="J849" s="619"/>
      <c r="K849" s="618"/>
      <c r="L849" s="620"/>
      <c r="M849" s="621"/>
      <c r="N849" s="620"/>
    </row>
    <row r="850" spans="1:14" ht="11.25" customHeight="1" x14ac:dyDescent="0.25">
      <c r="A850" s="615"/>
      <c r="B850" s="616"/>
      <c r="C850" s="617"/>
      <c r="D850" s="617"/>
      <c r="E850" s="617"/>
      <c r="F850" s="1083"/>
      <c r="G850" s="1084"/>
      <c r="H850" s="1069"/>
      <c r="I850" s="618"/>
      <c r="J850" s="619"/>
      <c r="K850" s="618"/>
      <c r="L850" s="620"/>
      <c r="M850" s="621"/>
      <c r="N850" s="620"/>
    </row>
    <row r="851" spans="1:14" ht="11.25" customHeight="1" x14ac:dyDescent="0.25">
      <c r="A851" s="615"/>
      <c r="B851" s="616"/>
      <c r="C851" s="617"/>
      <c r="D851" s="617"/>
      <c r="E851" s="617"/>
      <c r="F851" s="1083"/>
      <c r="G851" s="1084"/>
      <c r="H851" s="1069"/>
      <c r="I851" s="618"/>
      <c r="J851" s="619"/>
      <c r="K851" s="618"/>
      <c r="L851" s="620"/>
      <c r="M851" s="621"/>
      <c r="N851" s="620"/>
    </row>
    <row r="852" spans="1:14" ht="11.25" customHeight="1" x14ac:dyDescent="0.25">
      <c r="A852" s="615"/>
      <c r="B852" s="616"/>
      <c r="C852" s="617"/>
      <c r="D852" s="617"/>
      <c r="E852" s="617"/>
      <c r="F852" s="1083"/>
      <c r="G852" s="1084"/>
      <c r="H852" s="1069"/>
      <c r="I852" s="618"/>
      <c r="J852" s="619"/>
      <c r="K852" s="618"/>
      <c r="L852" s="620"/>
      <c r="M852" s="621"/>
      <c r="N852" s="620"/>
    </row>
    <row r="853" spans="1:14" ht="11.25" customHeight="1" x14ac:dyDescent="0.25">
      <c r="A853" s="615"/>
      <c r="B853" s="616"/>
      <c r="C853" s="617"/>
      <c r="D853" s="617"/>
      <c r="E853" s="617"/>
      <c r="F853" s="1083"/>
      <c r="G853" s="1084"/>
      <c r="H853" s="1069"/>
      <c r="I853" s="618"/>
      <c r="J853" s="619"/>
      <c r="K853" s="618"/>
      <c r="L853" s="620"/>
      <c r="M853" s="621"/>
      <c r="N853" s="620"/>
    </row>
    <row r="854" spans="1:14" ht="11.25" customHeight="1" x14ac:dyDescent="0.25">
      <c r="A854" s="615"/>
      <c r="B854" s="616"/>
      <c r="C854" s="617"/>
      <c r="D854" s="617"/>
      <c r="E854" s="617"/>
      <c r="F854" s="1083"/>
      <c r="G854" s="1084"/>
      <c r="H854" s="1069"/>
      <c r="I854" s="618"/>
      <c r="J854" s="619"/>
      <c r="K854" s="618"/>
      <c r="L854" s="620"/>
      <c r="M854" s="621"/>
      <c r="N854" s="620"/>
    </row>
    <row r="855" spans="1:14" ht="11.25" customHeight="1" x14ac:dyDescent="0.25">
      <c r="A855" s="615"/>
      <c r="B855" s="616"/>
      <c r="C855" s="617"/>
      <c r="D855" s="617"/>
      <c r="E855" s="617"/>
      <c r="F855" s="1083"/>
      <c r="G855" s="1084"/>
      <c r="H855" s="1069"/>
      <c r="I855" s="618"/>
      <c r="J855" s="619"/>
      <c r="K855" s="618"/>
      <c r="L855" s="620"/>
      <c r="M855" s="621"/>
      <c r="N855" s="620"/>
    </row>
    <row r="856" spans="1:14" ht="11.25" customHeight="1" x14ac:dyDescent="0.25">
      <c r="A856" s="615"/>
      <c r="B856" s="616"/>
      <c r="C856" s="617"/>
      <c r="D856" s="617"/>
      <c r="E856" s="617"/>
      <c r="F856" s="1083"/>
      <c r="G856" s="1084"/>
      <c r="H856" s="1069"/>
      <c r="I856" s="618"/>
      <c r="J856" s="619"/>
      <c r="K856" s="618"/>
      <c r="L856" s="620"/>
      <c r="M856" s="621"/>
      <c r="N856" s="620"/>
    </row>
    <row r="857" spans="1:14" ht="11.25" customHeight="1" x14ac:dyDescent="0.25">
      <c r="A857" s="615"/>
      <c r="B857" s="616"/>
      <c r="C857" s="617"/>
      <c r="D857" s="617"/>
      <c r="E857" s="617"/>
      <c r="F857" s="1083"/>
      <c r="G857" s="1084"/>
      <c r="H857" s="1069"/>
      <c r="I857" s="618"/>
      <c r="J857" s="619"/>
      <c r="K857" s="618"/>
      <c r="L857" s="620"/>
      <c r="M857" s="621"/>
      <c r="N857" s="620"/>
    </row>
    <row r="858" spans="1:14" ht="11.25" customHeight="1" x14ac:dyDescent="0.25">
      <c r="A858" s="615"/>
      <c r="B858" s="616"/>
      <c r="C858" s="617"/>
      <c r="D858" s="617"/>
      <c r="E858" s="617"/>
      <c r="F858" s="1083"/>
      <c r="G858" s="1084"/>
      <c r="H858" s="1069"/>
      <c r="I858" s="618"/>
      <c r="J858" s="619"/>
      <c r="K858" s="618"/>
      <c r="L858" s="620"/>
      <c r="M858" s="621"/>
      <c r="N858" s="620"/>
    </row>
    <row r="859" spans="1:14" ht="11.25" customHeight="1" x14ac:dyDescent="0.25">
      <c r="A859" s="615"/>
      <c r="B859" s="616"/>
      <c r="C859" s="617"/>
      <c r="D859" s="617"/>
      <c r="E859" s="617"/>
      <c r="F859" s="1083"/>
      <c r="G859" s="1084"/>
      <c r="H859" s="1069"/>
      <c r="I859" s="618"/>
      <c r="J859" s="619"/>
      <c r="K859" s="618"/>
      <c r="L859" s="620"/>
      <c r="M859" s="621"/>
      <c r="N859" s="620"/>
    </row>
    <row r="860" spans="1:14" ht="11.25" customHeight="1" x14ac:dyDescent="0.25">
      <c r="A860" s="615"/>
      <c r="B860" s="616"/>
      <c r="C860" s="617"/>
      <c r="D860" s="617"/>
      <c r="E860" s="617"/>
      <c r="F860" s="1083"/>
      <c r="G860" s="1084"/>
      <c r="H860" s="1069"/>
      <c r="I860" s="618"/>
      <c r="J860" s="619"/>
      <c r="K860" s="618"/>
      <c r="L860" s="620"/>
      <c r="M860" s="621"/>
      <c r="N860" s="620"/>
    </row>
    <row r="861" spans="1:14" ht="11.25" customHeight="1" x14ac:dyDescent="0.25">
      <c r="A861" s="615"/>
      <c r="B861" s="616"/>
      <c r="C861" s="617"/>
      <c r="D861" s="617"/>
      <c r="E861" s="617"/>
      <c r="F861" s="1083"/>
      <c r="G861" s="1084"/>
      <c r="H861" s="1069"/>
      <c r="I861" s="618"/>
      <c r="J861" s="619"/>
      <c r="K861" s="618"/>
      <c r="L861" s="620"/>
      <c r="M861" s="621"/>
      <c r="N861" s="620"/>
    </row>
    <row r="862" spans="1:14" ht="11.25" customHeight="1" x14ac:dyDescent="0.25">
      <c r="A862" s="615"/>
      <c r="B862" s="616"/>
      <c r="C862" s="617"/>
      <c r="D862" s="617"/>
      <c r="E862" s="617"/>
      <c r="F862" s="1083"/>
      <c r="G862" s="1084"/>
      <c r="H862" s="1069"/>
      <c r="I862" s="618"/>
      <c r="J862" s="619"/>
      <c r="K862" s="618"/>
      <c r="L862" s="620"/>
      <c r="M862" s="621"/>
      <c r="N862" s="620"/>
    </row>
    <row r="863" spans="1:14" ht="11.25" customHeight="1" x14ac:dyDescent="0.25">
      <c r="A863" s="615"/>
      <c r="B863" s="616"/>
      <c r="C863" s="617"/>
      <c r="D863" s="617"/>
      <c r="E863" s="617"/>
      <c r="F863" s="1083"/>
      <c r="G863" s="1084"/>
      <c r="H863" s="1069"/>
      <c r="I863" s="618"/>
      <c r="J863" s="619"/>
      <c r="K863" s="618"/>
      <c r="L863" s="620"/>
      <c r="M863" s="621"/>
      <c r="N863" s="620"/>
    </row>
    <row r="864" spans="1:14" ht="11.25" customHeight="1" x14ac:dyDescent="0.25">
      <c r="A864" s="615"/>
      <c r="B864" s="616"/>
      <c r="C864" s="617"/>
      <c r="D864" s="617"/>
      <c r="E864" s="617"/>
      <c r="F864" s="1083"/>
      <c r="G864" s="1084"/>
      <c r="H864" s="1069"/>
      <c r="I864" s="618"/>
      <c r="J864" s="619"/>
      <c r="K864" s="618"/>
      <c r="L864" s="620"/>
      <c r="M864" s="621"/>
      <c r="N864" s="620"/>
    </row>
    <row r="865" spans="1:14" ht="11.25" customHeight="1" x14ac:dyDescent="0.25">
      <c r="A865" s="615"/>
      <c r="B865" s="616"/>
      <c r="C865" s="617"/>
      <c r="D865" s="617"/>
      <c r="E865" s="617"/>
      <c r="F865" s="1083"/>
      <c r="G865" s="1084"/>
      <c r="H865" s="1069"/>
      <c r="I865" s="618"/>
      <c r="J865" s="619"/>
      <c r="K865" s="618"/>
      <c r="L865" s="620"/>
      <c r="M865" s="621"/>
      <c r="N865" s="620"/>
    </row>
    <row r="866" spans="1:14" ht="11.25" customHeight="1" x14ac:dyDescent="0.25">
      <c r="A866" s="615"/>
      <c r="B866" s="616"/>
      <c r="C866" s="617"/>
      <c r="D866" s="617"/>
      <c r="E866" s="617"/>
      <c r="F866" s="1083"/>
      <c r="G866" s="1084"/>
      <c r="H866" s="1069"/>
      <c r="I866" s="618"/>
      <c r="J866" s="619"/>
      <c r="K866" s="618"/>
      <c r="L866" s="620"/>
      <c r="M866" s="621"/>
      <c r="N866" s="620"/>
    </row>
    <row r="867" spans="1:14" ht="11.25" customHeight="1" x14ac:dyDescent="0.25">
      <c r="A867" s="615"/>
      <c r="B867" s="616"/>
      <c r="C867" s="617"/>
      <c r="D867" s="617"/>
      <c r="E867" s="617"/>
      <c r="F867" s="1083"/>
      <c r="G867" s="1084"/>
      <c r="H867" s="1069"/>
      <c r="I867" s="618"/>
      <c r="J867" s="619"/>
      <c r="K867" s="618"/>
      <c r="L867" s="620"/>
      <c r="M867" s="621"/>
      <c r="N867" s="620"/>
    </row>
    <row r="868" spans="1:14" ht="11.25" customHeight="1" x14ac:dyDescent="0.25">
      <c r="A868" s="615"/>
      <c r="B868" s="616"/>
      <c r="C868" s="617"/>
      <c r="D868" s="617"/>
      <c r="E868" s="617"/>
      <c r="F868" s="1083"/>
      <c r="G868" s="1084"/>
      <c r="H868" s="1069"/>
      <c r="I868" s="618"/>
      <c r="J868" s="619"/>
      <c r="K868" s="618"/>
      <c r="L868" s="620"/>
      <c r="M868" s="621"/>
      <c r="N868" s="620"/>
    </row>
    <row r="869" spans="1:14" ht="11.25" customHeight="1" x14ac:dyDescent="0.25">
      <c r="A869" s="615"/>
      <c r="B869" s="616"/>
      <c r="C869" s="617"/>
      <c r="D869" s="617"/>
      <c r="E869" s="617"/>
      <c r="F869" s="1083"/>
      <c r="G869" s="1084"/>
      <c r="H869" s="1069"/>
      <c r="I869" s="618"/>
      <c r="J869" s="619"/>
      <c r="K869" s="618"/>
      <c r="L869" s="620"/>
      <c r="M869" s="621"/>
      <c r="N869" s="620"/>
    </row>
    <row r="870" spans="1:14" ht="11.25" customHeight="1" x14ac:dyDescent="0.25">
      <c r="A870" s="615"/>
      <c r="B870" s="616"/>
      <c r="C870" s="617"/>
      <c r="D870" s="617"/>
      <c r="E870" s="617"/>
      <c r="F870" s="1083"/>
      <c r="G870" s="1084"/>
      <c r="H870" s="1069"/>
      <c r="I870" s="618"/>
      <c r="J870" s="619"/>
      <c r="K870" s="618"/>
      <c r="L870" s="620"/>
      <c r="M870" s="621"/>
      <c r="N870" s="620"/>
    </row>
    <row r="871" spans="1:14" ht="11.25" customHeight="1" x14ac:dyDescent="0.25">
      <c r="A871" s="615"/>
      <c r="B871" s="616"/>
      <c r="C871" s="617"/>
      <c r="D871" s="617"/>
      <c r="E871" s="617"/>
      <c r="F871" s="1083"/>
      <c r="G871" s="1084"/>
      <c r="H871" s="1069"/>
      <c r="I871" s="618"/>
      <c r="J871" s="619"/>
      <c r="K871" s="618"/>
      <c r="L871" s="620"/>
      <c r="M871" s="621"/>
      <c r="N871" s="620"/>
    </row>
    <row r="872" spans="1:14" ht="11.25" customHeight="1" x14ac:dyDescent="0.25">
      <c r="A872" s="615"/>
      <c r="B872" s="616"/>
      <c r="C872" s="617"/>
      <c r="D872" s="617"/>
      <c r="E872" s="617"/>
      <c r="F872" s="1083"/>
      <c r="G872" s="1084"/>
      <c r="H872" s="1069"/>
      <c r="I872" s="618"/>
      <c r="J872" s="619"/>
      <c r="K872" s="618"/>
      <c r="L872" s="620"/>
      <c r="M872" s="621"/>
      <c r="N872" s="620"/>
    </row>
    <row r="873" spans="1:14" ht="11.25" customHeight="1" x14ac:dyDescent="0.25">
      <c r="A873" s="615"/>
      <c r="B873" s="616"/>
      <c r="C873" s="617"/>
      <c r="D873" s="617"/>
      <c r="E873" s="617"/>
      <c r="F873" s="1083"/>
      <c r="G873" s="1084"/>
      <c r="H873" s="1069"/>
      <c r="I873" s="618"/>
      <c r="J873" s="619"/>
      <c r="K873" s="618"/>
      <c r="L873" s="620"/>
      <c r="M873" s="621"/>
      <c r="N873" s="620"/>
    </row>
    <row r="874" spans="1:14" ht="11.25" customHeight="1" x14ac:dyDescent="0.25">
      <c r="A874" s="615"/>
      <c r="B874" s="616"/>
      <c r="C874" s="617"/>
      <c r="D874" s="617"/>
      <c r="E874" s="617"/>
      <c r="F874" s="1083"/>
      <c r="G874" s="1084"/>
      <c r="H874" s="1069"/>
      <c r="I874" s="618"/>
      <c r="J874" s="619"/>
      <c r="K874" s="618"/>
      <c r="L874" s="620"/>
      <c r="M874" s="621"/>
      <c r="N874" s="620"/>
    </row>
    <row r="875" spans="1:14" ht="11.25" customHeight="1" x14ac:dyDescent="0.25">
      <c r="A875" s="615"/>
      <c r="B875" s="616"/>
      <c r="C875" s="617"/>
      <c r="D875" s="617"/>
      <c r="E875" s="617"/>
      <c r="F875" s="1083"/>
      <c r="G875" s="1084"/>
      <c r="H875" s="1069"/>
      <c r="I875" s="618"/>
      <c r="J875" s="619"/>
      <c r="K875" s="618"/>
      <c r="L875" s="620"/>
      <c r="M875" s="621"/>
      <c r="N875" s="620"/>
    </row>
    <row r="876" spans="1:14" ht="11.25" customHeight="1" x14ac:dyDescent="0.25">
      <c r="A876" s="615"/>
      <c r="B876" s="616"/>
      <c r="C876" s="617"/>
      <c r="D876" s="617"/>
      <c r="E876" s="617"/>
      <c r="F876" s="1083"/>
      <c r="G876" s="1084"/>
      <c r="H876" s="1069"/>
      <c r="I876" s="618"/>
      <c r="J876" s="619"/>
      <c r="K876" s="618"/>
      <c r="L876" s="620"/>
      <c r="M876" s="621"/>
      <c r="N876" s="620"/>
    </row>
    <row r="877" spans="1:14" ht="11.25" customHeight="1" x14ac:dyDescent="0.25">
      <c r="A877" s="615"/>
      <c r="B877" s="616"/>
      <c r="C877" s="617"/>
      <c r="D877" s="617"/>
      <c r="E877" s="617"/>
      <c r="F877" s="1083"/>
      <c r="G877" s="1084"/>
      <c r="H877" s="1069"/>
      <c r="I877" s="618"/>
      <c r="J877" s="619"/>
      <c r="K877" s="618"/>
      <c r="L877" s="620"/>
      <c r="M877" s="621"/>
      <c r="N877" s="620"/>
    </row>
    <row r="878" spans="1:14" ht="11.25" customHeight="1" x14ac:dyDescent="0.25">
      <c r="A878" s="615"/>
      <c r="B878" s="616"/>
      <c r="C878" s="617"/>
      <c r="D878" s="617"/>
      <c r="E878" s="617"/>
      <c r="F878" s="1083"/>
      <c r="G878" s="1084"/>
      <c r="H878" s="1069"/>
      <c r="I878" s="618"/>
      <c r="J878" s="619"/>
      <c r="K878" s="618"/>
      <c r="L878" s="620"/>
      <c r="M878" s="621"/>
      <c r="N878" s="620"/>
    </row>
    <row r="879" spans="1:14" ht="11.25" customHeight="1" x14ac:dyDescent="0.25">
      <c r="A879" s="615"/>
      <c r="B879" s="616"/>
      <c r="C879" s="617"/>
      <c r="D879" s="617"/>
      <c r="E879" s="617"/>
      <c r="F879" s="1083"/>
      <c r="G879" s="1084"/>
      <c r="H879" s="1069"/>
      <c r="I879" s="618"/>
      <c r="J879" s="619"/>
      <c r="K879" s="618"/>
      <c r="L879" s="620"/>
      <c r="M879" s="621"/>
      <c r="N879" s="620"/>
    </row>
    <row r="880" spans="1:14" ht="11.25" customHeight="1" x14ac:dyDescent="0.25">
      <c r="A880" s="615"/>
      <c r="B880" s="616"/>
      <c r="C880" s="617"/>
      <c r="D880" s="617"/>
      <c r="E880" s="617"/>
      <c r="F880" s="1083"/>
      <c r="G880" s="1084"/>
      <c r="H880" s="1069"/>
      <c r="I880" s="618"/>
      <c r="J880" s="619"/>
      <c r="K880" s="618"/>
      <c r="L880" s="620"/>
      <c r="M880" s="621"/>
      <c r="N880" s="620"/>
    </row>
    <row r="881" spans="1:14" ht="11.25" customHeight="1" x14ac:dyDescent="0.25">
      <c r="A881" s="615"/>
      <c r="B881" s="616"/>
      <c r="C881" s="617"/>
      <c r="D881" s="617"/>
      <c r="E881" s="617"/>
      <c r="F881" s="1083"/>
      <c r="G881" s="1084"/>
      <c r="H881" s="1069"/>
      <c r="I881" s="618"/>
      <c r="J881" s="619"/>
      <c r="K881" s="618"/>
      <c r="L881" s="620"/>
      <c r="M881" s="621"/>
      <c r="N881" s="620"/>
    </row>
    <row r="882" spans="1:14" ht="11.25" customHeight="1" x14ac:dyDescent="0.25">
      <c r="A882" s="615"/>
      <c r="B882" s="616"/>
      <c r="C882" s="617"/>
      <c r="D882" s="617"/>
      <c r="E882" s="617"/>
      <c r="F882" s="1083"/>
      <c r="G882" s="1084"/>
      <c r="H882" s="1069"/>
      <c r="I882" s="618"/>
      <c r="J882" s="619"/>
      <c r="K882" s="618"/>
      <c r="L882" s="620"/>
      <c r="M882" s="621"/>
      <c r="N882" s="620"/>
    </row>
    <row r="883" spans="1:14" ht="11.25" customHeight="1" x14ac:dyDescent="0.25">
      <c r="A883" s="615"/>
      <c r="B883" s="616"/>
      <c r="C883" s="617"/>
      <c r="D883" s="617"/>
      <c r="E883" s="617"/>
      <c r="F883" s="1083"/>
      <c r="G883" s="1084"/>
      <c r="H883" s="1069"/>
      <c r="I883" s="618"/>
      <c r="J883" s="619"/>
      <c r="K883" s="618"/>
      <c r="L883" s="620"/>
      <c r="M883" s="621"/>
      <c r="N883" s="620"/>
    </row>
    <row r="884" spans="1:14" ht="11.25" customHeight="1" x14ac:dyDescent="0.25">
      <c r="A884" s="615"/>
      <c r="B884" s="616"/>
      <c r="C884" s="617"/>
      <c r="D884" s="617"/>
      <c r="E884" s="617"/>
      <c r="F884" s="1083"/>
      <c r="G884" s="1084"/>
      <c r="H884" s="1069"/>
      <c r="I884" s="618"/>
      <c r="J884" s="619"/>
      <c r="K884" s="618"/>
      <c r="L884" s="620"/>
      <c r="M884" s="621"/>
      <c r="N884" s="620"/>
    </row>
    <row r="885" spans="1:14" ht="11.25" customHeight="1" x14ac:dyDescent="0.25">
      <c r="A885" s="615"/>
      <c r="B885" s="616"/>
      <c r="C885" s="617"/>
      <c r="D885" s="617"/>
      <c r="E885" s="617"/>
      <c r="F885" s="1083"/>
      <c r="G885" s="1084"/>
      <c r="H885" s="1069"/>
      <c r="I885" s="618"/>
      <c r="J885" s="619"/>
      <c r="K885" s="618"/>
      <c r="L885" s="620"/>
      <c r="M885" s="621"/>
      <c r="N885" s="620"/>
    </row>
    <row r="886" spans="1:14" ht="11.25" customHeight="1" x14ac:dyDescent="0.25">
      <c r="A886" s="615"/>
      <c r="B886" s="616"/>
      <c r="C886" s="617"/>
      <c r="D886" s="617"/>
      <c r="E886" s="617"/>
      <c r="F886" s="1083"/>
      <c r="G886" s="1084"/>
      <c r="H886" s="1069"/>
      <c r="I886" s="618"/>
      <c r="J886" s="619"/>
      <c r="K886" s="618"/>
      <c r="L886" s="620"/>
      <c r="M886" s="621"/>
      <c r="N886" s="620"/>
    </row>
    <row r="887" spans="1:14" ht="11.25" customHeight="1" x14ac:dyDescent="0.25">
      <c r="A887" s="615"/>
      <c r="B887" s="616"/>
      <c r="C887" s="617"/>
      <c r="D887" s="617"/>
      <c r="E887" s="617"/>
      <c r="F887" s="1083"/>
      <c r="G887" s="1084"/>
      <c r="H887" s="1069"/>
      <c r="I887" s="618"/>
      <c r="J887" s="619"/>
      <c r="K887" s="618"/>
      <c r="L887" s="620"/>
      <c r="M887" s="621"/>
      <c r="N887" s="620"/>
    </row>
    <row r="888" spans="1:14" ht="11.25" customHeight="1" x14ac:dyDescent="0.25">
      <c r="A888" s="615"/>
      <c r="B888" s="616"/>
      <c r="C888" s="617"/>
      <c r="D888" s="617"/>
      <c r="E888" s="617"/>
      <c r="F888" s="1083"/>
      <c r="G888" s="1084"/>
      <c r="H888" s="1069"/>
      <c r="I888" s="618"/>
      <c r="J888" s="619"/>
      <c r="K888" s="618"/>
      <c r="L888" s="620"/>
      <c r="M888" s="621"/>
      <c r="N888" s="620"/>
    </row>
    <row r="889" spans="1:14" ht="11.25" customHeight="1" x14ac:dyDescent="0.25">
      <c r="A889" s="615"/>
      <c r="B889" s="616"/>
      <c r="C889" s="617"/>
      <c r="D889" s="617"/>
      <c r="E889" s="617"/>
      <c r="F889" s="1083"/>
      <c r="G889" s="1084"/>
      <c r="H889" s="1069"/>
      <c r="I889" s="618"/>
      <c r="J889" s="619"/>
      <c r="K889" s="618"/>
      <c r="L889" s="620"/>
      <c r="M889" s="621"/>
      <c r="N889" s="620"/>
    </row>
    <row r="890" spans="1:14" ht="11.25" customHeight="1" x14ac:dyDescent="0.25">
      <c r="A890" s="615"/>
      <c r="B890" s="616"/>
      <c r="C890" s="617"/>
      <c r="D890" s="617"/>
      <c r="E890" s="617"/>
      <c r="F890" s="1083"/>
      <c r="G890" s="1084"/>
      <c r="H890" s="1069"/>
      <c r="I890" s="618"/>
      <c r="J890" s="619"/>
      <c r="K890" s="618"/>
      <c r="L890" s="620"/>
      <c r="M890" s="621"/>
      <c r="N890" s="620"/>
    </row>
    <row r="891" spans="1:14" ht="11.25" customHeight="1" x14ac:dyDescent="0.25">
      <c r="A891" s="615"/>
      <c r="B891" s="616"/>
      <c r="C891" s="617"/>
      <c r="D891" s="617"/>
      <c r="E891" s="617"/>
      <c r="F891" s="1083"/>
      <c r="G891" s="1084"/>
      <c r="H891" s="1069"/>
      <c r="I891" s="618"/>
      <c r="J891" s="619"/>
      <c r="K891" s="618"/>
      <c r="L891" s="620"/>
      <c r="M891" s="621"/>
      <c r="N891" s="620"/>
    </row>
    <row r="892" spans="1:14" ht="11.25" customHeight="1" x14ac:dyDescent="0.25">
      <c r="A892" s="615"/>
      <c r="B892" s="616"/>
      <c r="C892" s="617"/>
      <c r="D892" s="617"/>
      <c r="E892" s="617"/>
      <c r="F892" s="1083"/>
      <c r="G892" s="1084"/>
      <c r="H892" s="1069"/>
      <c r="I892" s="618"/>
      <c r="J892" s="619"/>
      <c r="K892" s="618"/>
      <c r="L892" s="620"/>
      <c r="M892" s="621"/>
      <c r="N892" s="620"/>
    </row>
    <row r="893" spans="1:14" ht="11.25" customHeight="1" x14ac:dyDescent="0.25">
      <c r="A893" s="615"/>
      <c r="B893" s="616"/>
      <c r="C893" s="617"/>
      <c r="D893" s="617"/>
      <c r="E893" s="617"/>
      <c r="F893" s="1083"/>
      <c r="G893" s="1084"/>
      <c r="H893" s="1069"/>
      <c r="I893" s="618"/>
      <c r="J893" s="619"/>
      <c r="K893" s="618"/>
      <c r="L893" s="620"/>
      <c r="M893" s="621"/>
      <c r="N893" s="620"/>
    </row>
    <row r="894" spans="1:14" ht="11.25" customHeight="1" x14ac:dyDescent="0.25">
      <c r="A894" s="615"/>
      <c r="B894" s="616"/>
      <c r="C894" s="617"/>
      <c r="D894" s="617"/>
      <c r="E894" s="617"/>
      <c r="F894" s="1083"/>
      <c r="G894" s="1084"/>
      <c r="H894" s="1069"/>
      <c r="I894" s="618"/>
      <c r="J894" s="619"/>
      <c r="K894" s="618"/>
      <c r="L894" s="620"/>
      <c r="M894" s="621"/>
      <c r="N894" s="620"/>
    </row>
    <row r="895" spans="1:14" ht="11.25" customHeight="1" x14ac:dyDescent="0.25">
      <c r="A895" s="615"/>
      <c r="B895" s="616"/>
      <c r="C895" s="617"/>
      <c r="D895" s="617"/>
      <c r="E895" s="617"/>
      <c r="F895" s="1083"/>
      <c r="G895" s="1084"/>
      <c r="H895" s="1069"/>
      <c r="I895" s="618"/>
      <c r="J895" s="619"/>
      <c r="K895" s="618"/>
      <c r="L895" s="620"/>
      <c r="M895" s="621"/>
      <c r="N895" s="620"/>
    </row>
    <row r="896" spans="1:14" ht="11.25" customHeight="1" x14ac:dyDescent="0.25">
      <c r="A896" s="615"/>
      <c r="B896" s="616"/>
      <c r="C896" s="617"/>
      <c r="D896" s="617"/>
      <c r="E896" s="617"/>
      <c r="F896" s="1083"/>
      <c r="G896" s="1084"/>
      <c r="H896" s="1069"/>
      <c r="I896" s="618"/>
      <c r="J896" s="619"/>
      <c r="K896" s="618"/>
      <c r="L896" s="620"/>
      <c r="M896" s="621"/>
      <c r="N896" s="620"/>
    </row>
    <row r="897" spans="1:14" ht="11.25" customHeight="1" x14ac:dyDescent="0.25">
      <c r="A897" s="615"/>
      <c r="B897" s="616"/>
      <c r="C897" s="617"/>
      <c r="D897" s="617"/>
      <c r="E897" s="617"/>
      <c r="F897" s="1083"/>
      <c r="G897" s="1084"/>
      <c r="H897" s="1069"/>
      <c r="I897" s="618"/>
      <c r="J897" s="619"/>
      <c r="K897" s="618"/>
      <c r="L897" s="620"/>
      <c r="M897" s="621"/>
      <c r="N897" s="620"/>
    </row>
    <row r="898" spans="1:14" ht="11.25" customHeight="1" x14ac:dyDescent="0.25">
      <c r="A898" s="615"/>
      <c r="B898" s="616"/>
      <c r="C898" s="617"/>
      <c r="D898" s="617"/>
      <c r="E898" s="617"/>
      <c r="F898" s="1083"/>
      <c r="G898" s="1084"/>
      <c r="H898" s="1069"/>
      <c r="I898" s="618"/>
      <c r="J898" s="619"/>
      <c r="K898" s="618"/>
      <c r="L898" s="620"/>
      <c r="M898" s="621"/>
      <c r="N898" s="620"/>
    </row>
    <row r="899" spans="1:14" ht="11.25" customHeight="1" x14ac:dyDescent="0.25">
      <c r="A899" s="615"/>
      <c r="B899" s="616"/>
      <c r="C899" s="617"/>
      <c r="D899" s="617"/>
      <c r="E899" s="617"/>
      <c r="F899" s="1083"/>
      <c r="G899" s="1084"/>
      <c r="H899" s="1069"/>
      <c r="I899" s="618"/>
      <c r="J899" s="619"/>
      <c r="K899" s="618"/>
      <c r="L899" s="620"/>
      <c r="M899" s="621"/>
      <c r="N899" s="620"/>
    </row>
    <row r="900" spans="1:14" ht="11.25" customHeight="1" x14ac:dyDescent="0.25">
      <c r="A900" s="615"/>
      <c r="B900" s="616"/>
      <c r="C900" s="617"/>
      <c r="D900" s="617"/>
      <c r="E900" s="617"/>
      <c r="F900" s="1083"/>
      <c r="G900" s="1084"/>
      <c r="H900" s="1069"/>
      <c r="I900" s="618"/>
      <c r="J900" s="619"/>
      <c r="K900" s="618"/>
      <c r="L900" s="620"/>
      <c r="M900" s="621"/>
      <c r="N900" s="620"/>
    </row>
    <row r="901" spans="1:14" ht="11.25" customHeight="1" x14ac:dyDescent="0.25">
      <c r="A901" s="615"/>
      <c r="B901" s="616"/>
      <c r="C901" s="617"/>
      <c r="D901" s="617"/>
      <c r="E901" s="617"/>
      <c r="F901" s="1083"/>
      <c r="G901" s="1084"/>
      <c r="H901" s="1069"/>
      <c r="I901" s="618"/>
      <c r="J901" s="619"/>
      <c r="K901" s="618"/>
      <c r="L901" s="620"/>
      <c r="M901" s="621"/>
      <c r="N901" s="620"/>
    </row>
    <row r="902" spans="1:14" ht="11.25" customHeight="1" x14ac:dyDescent="0.25">
      <c r="A902" s="615"/>
      <c r="B902" s="616"/>
      <c r="C902" s="617"/>
      <c r="D902" s="617"/>
      <c r="E902" s="617"/>
      <c r="F902" s="1083"/>
      <c r="G902" s="1084"/>
      <c r="H902" s="1069"/>
      <c r="I902" s="618"/>
      <c r="J902" s="619"/>
      <c r="K902" s="618"/>
      <c r="L902" s="620"/>
      <c r="M902" s="621"/>
      <c r="N902" s="620"/>
    </row>
    <row r="903" spans="1:14" ht="11.25" customHeight="1" x14ac:dyDescent="0.25">
      <c r="A903" s="615"/>
      <c r="B903" s="616"/>
      <c r="C903" s="617"/>
      <c r="D903" s="617"/>
      <c r="E903" s="617"/>
      <c r="F903" s="1083"/>
      <c r="G903" s="1084"/>
      <c r="H903" s="1069"/>
      <c r="I903" s="618"/>
      <c r="J903" s="619"/>
      <c r="K903" s="618"/>
      <c r="L903" s="620"/>
      <c r="M903" s="621"/>
      <c r="N903" s="620"/>
    </row>
    <row r="904" spans="1:14" ht="11.25" customHeight="1" x14ac:dyDescent="0.25">
      <c r="A904" s="615"/>
      <c r="B904" s="616"/>
      <c r="C904" s="617"/>
      <c r="D904" s="617"/>
      <c r="E904" s="617"/>
      <c r="F904" s="1083"/>
      <c r="G904" s="1084"/>
      <c r="H904" s="1069"/>
      <c r="I904" s="618"/>
      <c r="J904" s="619"/>
      <c r="K904" s="618"/>
      <c r="L904" s="620"/>
      <c r="M904" s="621"/>
      <c r="N904" s="620"/>
    </row>
    <row r="905" spans="1:14" ht="11.25" customHeight="1" x14ac:dyDescent="0.25">
      <c r="A905" s="615"/>
      <c r="B905" s="616"/>
      <c r="C905" s="617"/>
      <c r="D905" s="617"/>
      <c r="E905" s="617"/>
      <c r="F905" s="1083"/>
      <c r="G905" s="1084"/>
      <c r="H905" s="1069"/>
      <c r="I905" s="618"/>
      <c r="J905" s="619"/>
      <c r="K905" s="618"/>
      <c r="L905" s="620"/>
      <c r="M905" s="621"/>
      <c r="N905" s="620"/>
    </row>
    <row r="906" spans="1:14" ht="11.25" customHeight="1" x14ac:dyDescent="0.25">
      <c r="A906" s="615"/>
      <c r="B906" s="616"/>
      <c r="C906" s="617"/>
      <c r="D906" s="617"/>
      <c r="E906" s="617"/>
      <c r="F906" s="1083"/>
      <c r="G906" s="1084"/>
      <c r="H906" s="1069"/>
      <c r="I906" s="618"/>
      <c r="J906" s="619"/>
      <c r="K906" s="618"/>
      <c r="L906" s="620"/>
      <c r="M906" s="621"/>
      <c r="N906" s="620"/>
    </row>
    <row r="907" spans="1:14" ht="11.25" customHeight="1" x14ac:dyDescent="0.25">
      <c r="A907" s="615"/>
      <c r="B907" s="616"/>
      <c r="C907" s="617"/>
      <c r="D907" s="617"/>
      <c r="E907" s="617"/>
      <c r="F907" s="1083"/>
      <c r="G907" s="1084"/>
      <c r="H907" s="1069"/>
      <c r="I907" s="618"/>
      <c r="J907" s="619"/>
      <c r="K907" s="618"/>
      <c r="L907" s="620"/>
      <c r="M907" s="621"/>
      <c r="N907" s="620"/>
    </row>
    <row r="908" spans="1:14" ht="11.25" customHeight="1" x14ac:dyDescent="0.25">
      <c r="A908" s="615"/>
      <c r="B908" s="616"/>
      <c r="C908" s="617"/>
      <c r="D908" s="617"/>
      <c r="E908" s="617"/>
      <c r="F908" s="1083"/>
      <c r="G908" s="1084"/>
      <c r="H908" s="1069"/>
      <c r="I908" s="618"/>
      <c r="J908" s="619"/>
      <c r="K908" s="618"/>
      <c r="L908" s="620"/>
      <c r="M908" s="621"/>
      <c r="N908" s="620"/>
    </row>
    <row r="909" spans="1:14" ht="11.25" customHeight="1" x14ac:dyDescent="0.25">
      <c r="A909" s="615"/>
      <c r="B909" s="616"/>
      <c r="C909" s="617"/>
      <c r="D909" s="617"/>
      <c r="E909" s="617"/>
      <c r="F909" s="1083"/>
      <c r="G909" s="1084"/>
      <c r="H909" s="1069"/>
      <c r="I909" s="618"/>
      <c r="J909" s="619"/>
      <c r="K909" s="618"/>
      <c r="L909" s="620"/>
      <c r="M909" s="621"/>
      <c r="N909" s="620"/>
    </row>
    <row r="910" spans="1:14" ht="11.25" customHeight="1" x14ac:dyDescent="0.25">
      <c r="A910" s="615"/>
      <c r="B910" s="616"/>
      <c r="C910" s="617"/>
      <c r="D910" s="617"/>
      <c r="E910" s="617"/>
      <c r="F910" s="1083"/>
      <c r="G910" s="1084"/>
      <c r="H910" s="1069"/>
      <c r="I910" s="618"/>
      <c r="J910" s="619"/>
      <c r="K910" s="618"/>
      <c r="L910" s="620"/>
      <c r="M910" s="621"/>
      <c r="N910" s="620"/>
    </row>
    <row r="911" spans="1:14" ht="11.25" customHeight="1" x14ac:dyDescent="0.25">
      <c r="A911" s="615"/>
      <c r="B911" s="616"/>
      <c r="C911" s="617"/>
      <c r="D911" s="617"/>
      <c r="E911" s="617"/>
      <c r="F911" s="1083"/>
      <c r="G911" s="1084"/>
      <c r="H911" s="1069"/>
      <c r="I911" s="618"/>
      <c r="J911" s="619"/>
      <c r="K911" s="618"/>
      <c r="L911" s="620"/>
      <c r="M911" s="621"/>
      <c r="N911" s="620"/>
    </row>
    <row r="912" spans="1:14" ht="11.25" customHeight="1" x14ac:dyDescent="0.25">
      <c r="A912" s="615"/>
      <c r="B912" s="616"/>
      <c r="C912" s="617"/>
      <c r="D912" s="617"/>
      <c r="E912" s="617"/>
      <c r="F912" s="1083"/>
      <c r="G912" s="1084"/>
      <c r="H912" s="1069"/>
      <c r="I912" s="618"/>
      <c r="J912" s="619"/>
      <c r="K912" s="618"/>
      <c r="L912" s="620"/>
      <c r="M912" s="621"/>
      <c r="N912" s="620"/>
    </row>
    <row r="913" spans="1:14" ht="11.25" customHeight="1" x14ac:dyDescent="0.25">
      <c r="A913" s="615"/>
      <c r="B913" s="616"/>
      <c r="C913" s="617"/>
      <c r="D913" s="617"/>
      <c r="E913" s="617"/>
      <c r="F913" s="1083"/>
      <c r="G913" s="1084"/>
      <c r="H913" s="1069"/>
      <c r="I913" s="618"/>
      <c r="J913" s="619"/>
      <c r="K913" s="618"/>
      <c r="L913" s="620"/>
      <c r="M913" s="621"/>
      <c r="N913" s="620"/>
    </row>
    <row r="914" spans="1:14" ht="11.25" customHeight="1" x14ac:dyDescent="0.25">
      <c r="A914" s="615"/>
      <c r="B914" s="616"/>
      <c r="C914" s="617"/>
      <c r="D914" s="617"/>
      <c r="E914" s="617"/>
      <c r="F914" s="1083"/>
      <c r="G914" s="1084"/>
      <c r="H914" s="1069"/>
      <c r="I914" s="618"/>
      <c r="J914" s="619"/>
      <c r="K914" s="618"/>
      <c r="L914" s="620"/>
      <c r="M914" s="621"/>
      <c r="N914" s="620"/>
    </row>
    <row r="915" spans="1:14" ht="11.25" customHeight="1" x14ac:dyDescent="0.25">
      <c r="A915" s="615"/>
      <c r="B915" s="616"/>
      <c r="C915" s="617"/>
      <c r="D915" s="617"/>
      <c r="E915" s="617"/>
      <c r="F915" s="1083"/>
      <c r="G915" s="1084"/>
      <c r="H915" s="1069"/>
      <c r="I915" s="618"/>
      <c r="J915" s="619"/>
      <c r="K915" s="618"/>
      <c r="L915" s="620"/>
      <c r="M915" s="621"/>
      <c r="N915" s="620"/>
    </row>
    <row r="916" spans="1:14" ht="11.25" customHeight="1" x14ac:dyDescent="0.25">
      <c r="A916" s="615"/>
      <c r="B916" s="616"/>
      <c r="C916" s="617"/>
      <c r="D916" s="617"/>
      <c r="E916" s="617"/>
      <c r="F916" s="1083"/>
      <c r="G916" s="1084"/>
      <c r="H916" s="1069"/>
      <c r="I916" s="618"/>
      <c r="J916" s="619"/>
      <c r="K916" s="618"/>
      <c r="L916" s="620"/>
      <c r="M916" s="621"/>
      <c r="N916" s="620"/>
    </row>
    <row r="917" spans="1:14" ht="11.25" customHeight="1" x14ac:dyDescent="0.25">
      <c r="A917" s="615"/>
      <c r="B917" s="616"/>
      <c r="C917" s="617"/>
      <c r="D917" s="617"/>
      <c r="E917" s="617"/>
      <c r="F917" s="1083"/>
      <c r="G917" s="1084"/>
      <c r="H917" s="1069"/>
      <c r="I917" s="618"/>
      <c r="J917" s="619"/>
      <c r="K917" s="618"/>
      <c r="L917" s="620"/>
      <c r="M917" s="621"/>
      <c r="N917" s="620"/>
    </row>
    <row r="918" spans="1:14" ht="11.25" customHeight="1" x14ac:dyDescent="0.25">
      <c r="A918" s="615"/>
      <c r="B918" s="616"/>
      <c r="C918" s="617"/>
      <c r="D918" s="617"/>
      <c r="E918" s="617"/>
      <c r="F918" s="1083"/>
      <c r="G918" s="1084"/>
      <c r="H918" s="1069"/>
      <c r="I918" s="618"/>
      <c r="J918" s="619"/>
      <c r="K918" s="618"/>
      <c r="L918" s="620"/>
      <c r="M918" s="621"/>
      <c r="N918" s="620"/>
    </row>
    <row r="919" spans="1:14" ht="11.25" customHeight="1" x14ac:dyDescent="0.25">
      <c r="A919" s="615"/>
      <c r="B919" s="616"/>
      <c r="C919" s="617"/>
      <c r="D919" s="617"/>
      <c r="E919" s="617"/>
      <c r="F919" s="1083"/>
      <c r="G919" s="1084"/>
      <c r="H919" s="1069"/>
      <c r="I919" s="618"/>
      <c r="J919" s="619"/>
      <c r="K919" s="618"/>
      <c r="L919" s="620"/>
      <c r="M919" s="621"/>
      <c r="N919" s="620"/>
    </row>
    <row r="920" spans="1:14" ht="11.25" customHeight="1" x14ac:dyDescent="0.25">
      <c r="A920" s="615"/>
      <c r="B920" s="616"/>
      <c r="C920" s="617"/>
      <c r="D920" s="617"/>
      <c r="E920" s="617"/>
      <c r="F920" s="1083"/>
      <c r="G920" s="1084"/>
      <c r="H920" s="1069"/>
      <c r="I920" s="618"/>
      <c r="J920" s="619"/>
      <c r="K920" s="618"/>
      <c r="L920" s="620"/>
      <c r="M920" s="621"/>
      <c r="N920" s="620"/>
    </row>
    <row r="921" spans="1:14" ht="11.25" customHeight="1" x14ac:dyDescent="0.25">
      <c r="A921" s="615"/>
      <c r="B921" s="616"/>
      <c r="C921" s="617"/>
      <c r="D921" s="617"/>
      <c r="E921" s="617"/>
      <c r="F921" s="1083"/>
      <c r="G921" s="1084"/>
      <c r="H921" s="1069"/>
      <c r="I921" s="618"/>
      <c r="J921" s="619"/>
      <c r="K921" s="618"/>
      <c r="L921" s="620"/>
      <c r="M921" s="621"/>
      <c r="N921" s="620"/>
    </row>
    <row r="922" spans="1:14" ht="11.25" customHeight="1" x14ac:dyDescent="0.25">
      <c r="A922" s="615"/>
      <c r="B922" s="616"/>
      <c r="C922" s="617"/>
      <c r="D922" s="617"/>
      <c r="E922" s="617"/>
      <c r="F922" s="1083"/>
      <c r="G922" s="1084"/>
      <c r="H922" s="1069"/>
      <c r="I922" s="618"/>
      <c r="J922" s="619"/>
      <c r="K922" s="618"/>
      <c r="L922" s="620"/>
      <c r="M922" s="621"/>
      <c r="N922" s="620"/>
    </row>
    <row r="923" spans="1:14" ht="11.25" customHeight="1" x14ac:dyDescent="0.25">
      <c r="A923" s="615"/>
      <c r="B923" s="616"/>
      <c r="C923" s="617"/>
      <c r="D923" s="617"/>
      <c r="E923" s="617"/>
      <c r="F923" s="1083"/>
      <c r="G923" s="1084"/>
      <c r="H923" s="1069"/>
      <c r="I923" s="618"/>
      <c r="J923" s="619"/>
      <c r="K923" s="618"/>
      <c r="L923" s="620"/>
      <c r="M923" s="621"/>
      <c r="N923" s="620"/>
    </row>
    <row r="924" spans="1:14" ht="11.25" customHeight="1" x14ac:dyDescent="0.25">
      <c r="A924" s="615"/>
      <c r="B924" s="616"/>
      <c r="C924" s="617"/>
      <c r="D924" s="617"/>
      <c r="E924" s="617"/>
      <c r="F924" s="1083"/>
      <c r="G924" s="1084"/>
      <c r="H924" s="1069"/>
      <c r="I924" s="618"/>
      <c r="J924" s="619"/>
      <c r="K924" s="618"/>
      <c r="L924" s="620"/>
      <c r="M924" s="621"/>
      <c r="N924" s="620"/>
    </row>
    <row r="925" spans="1:14" ht="11.25" customHeight="1" x14ac:dyDescent="0.25">
      <c r="A925" s="615"/>
      <c r="B925" s="616"/>
      <c r="C925" s="617"/>
      <c r="D925" s="617"/>
      <c r="E925" s="617"/>
      <c r="F925" s="1083"/>
      <c r="G925" s="1084"/>
      <c r="H925" s="1069"/>
      <c r="I925" s="618"/>
      <c r="J925" s="619"/>
      <c r="K925" s="618"/>
      <c r="L925" s="620"/>
      <c r="M925" s="621"/>
      <c r="N925" s="620"/>
    </row>
    <row r="926" spans="1:14" ht="11.25" customHeight="1" x14ac:dyDescent="0.25">
      <c r="A926" s="615"/>
      <c r="B926" s="616"/>
      <c r="C926" s="617"/>
      <c r="D926" s="617"/>
      <c r="E926" s="617"/>
      <c r="F926" s="1083"/>
      <c r="G926" s="1084"/>
      <c r="H926" s="1069"/>
      <c r="I926" s="618"/>
      <c r="J926" s="619"/>
      <c r="K926" s="618"/>
      <c r="L926" s="620"/>
      <c r="M926" s="621"/>
      <c r="N926" s="620"/>
    </row>
    <row r="927" spans="1:14" ht="11.25" customHeight="1" x14ac:dyDescent="0.25">
      <c r="A927" s="615"/>
      <c r="B927" s="616"/>
      <c r="C927" s="617"/>
      <c r="D927" s="617"/>
      <c r="E927" s="617"/>
      <c r="F927" s="1083"/>
      <c r="G927" s="1084"/>
      <c r="H927" s="1069"/>
      <c r="I927" s="618"/>
      <c r="J927" s="619"/>
      <c r="K927" s="618"/>
      <c r="L927" s="620"/>
      <c r="M927" s="621"/>
      <c r="N927" s="620"/>
    </row>
    <row r="928" spans="1:14" ht="11.25" customHeight="1" x14ac:dyDescent="0.25">
      <c r="A928" s="615"/>
      <c r="B928" s="616"/>
      <c r="C928" s="617"/>
      <c r="D928" s="617"/>
      <c r="E928" s="617"/>
      <c r="F928" s="1083"/>
      <c r="G928" s="1084"/>
      <c r="H928" s="1069"/>
      <c r="I928" s="618"/>
      <c r="J928" s="619"/>
      <c r="K928" s="618"/>
      <c r="L928" s="620"/>
      <c r="M928" s="621"/>
      <c r="N928" s="620"/>
    </row>
    <row r="929" spans="1:14" ht="11.25" customHeight="1" x14ac:dyDescent="0.25">
      <c r="A929" s="615"/>
      <c r="B929" s="616"/>
      <c r="C929" s="617"/>
      <c r="D929" s="617"/>
      <c r="E929" s="617"/>
      <c r="F929" s="1083"/>
      <c r="G929" s="1084"/>
      <c r="H929" s="1069"/>
      <c r="I929" s="618"/>
      <c r="J929" s="619"/>
      <c r="K929" s="618"/>
      <c r="L929" s="620"/>
      <c r="M929" s="621"/>
      <c r="N929" s="620"/>
    </row>
    <row r="930" spans="1:14" ht="11.25" customHeight="1" x14ac:dyDescent="0.25">
      <c r="A930" s="615"/>
      <c r="B930" s="616"/>
      <c r="C930" s="617"/>
      <c r="D930" s="617"/>
      <c r="E930" s="617"/>
      <c r="F930" s="1083"/>
      <c r="G930" s="1084"/>
      <c r="H930" s="1069"/>
      <c r="I930" s="618"/>
      <c r="J930" s="619"/>
      <c r="K930" s="618"/>
      <c r="L930" s="620"/>
      <c r="M930" s="621"/>
      <c r="N930" s="620"/>
    </row>
    <row r="931" spans="1:14" ht="11.25" customHeight="1" x14ac:dyDescent="0.25">
      <c r="A931" s="615"/>
      <c r="B931" s="616"/>
      <c r="C931" s="617"/>
      <c r="D931" s="617"/>
      <c r="E931" s="617"/>
      <c r="F931" s="1083"/>
      <c r="G931" s="1084"/>
      <c r="H931" s="1069"/>
      <c r="I931" s="618"/>
      <c r="J931" s="619"/>
      <c r="K931" s="618"/>
      <c r="L931" s="620"/>
      <c r="M931" s="621"/>
      <c r="N931" s="620"/>
    </row>
    <row r="932" spans="1:14" ht="11.25" customHeight="1" x14ac:dyDescent="0.25">
      <c r="A932" s="615"/>
      <c r="B932" s="616"/>
      <c r="C932" s="617"/>
      <c r="D932" s="617"/>
      <c r="E932" s="617"/>
      <c r="F932" s="1083"/>
      <c r="G932" s="1084"/>
      <c r="H932" s="1069"/>
      <c r="I932" s="618"/>
      <c r="J932" s="619"/>
      <c r="K932" s="618"/>
      <c r="L932" s="620"/>
      <c r="M932" s="621"/>
      <c r="N932" s="620"/>
    </row>
    <row r="933" spans="1:14" ht="11.25" customHeight="1" x14ac:dyDescent="0.25">
      <c r="A933" s="615"/>
      <c r="B933" s="616"/>
      <c r="C933" s="617"/>
      <c r="D933" s="617"/>
      <c r="E933" s="617"/>
      <c r="F933" s="1083"/>
      <c r="G933" s="1084"/>
      <c r="H933" s="1069"/>
      <c r="I933" s="618"/>
      <c r="J933" s="619"/>
      <c r="K933" s="618"/>
      <c r="L933" s="620"/>
      <c r="M933" s="621"/>
      <c r="N933" s="620"/>
    </row>
    <row r="934" spans="1:14" ht="11.25" customHeight="1" x14ac:dyDescent="0.25">
      <c r="A934" s="615"/>
      <c r="B934" s="616"/>
      <c r="C934" s="617"/>
      <c r="D934" s="617"/>
      <c r="E934" s="617"/>
      <c r="F934" s="1083"/>
      <c r="G934" s="1084"/>
      <c r="H934" s="1069"/>
      <c r="I934" s="618"/>
      <c r="J934" s="619"/>
      <c r="K934" s="618"/>
      <c r="L934" s="620"/>
      <c r="M934" s="621"/>
      <c r="N934" s="620"/>
    </row>
    <row r="935" spans="1:14" ht="11.25" customHeight="1" x14ac:dyDescent="0.25">
      <c r="A935" s="615"/>
      <c r="B935" s="616"/>
      <c r="C935" s="617"/>
      <c r="D935" s="617"/>
      <c r="E935" s="617"/>
      <c r="F935" s="1083"/>
      <c r="G935" s="1084"/>
      <c r="H935" s="1069"/>
      <c r="I935" s="618"/>
      <c r="J935" s="619"/>
      <c r="K935" s="618"/>
      <c r="L935" s="620"/>
      <c r="M935" s="621"/>
      <c r="N935" s="620"/>
    </row>
    <row r="936" spans="1:14" ht="11.25" customHeight="1" x14ac:dyDescent="0.25">
      <c r="A936" s="615"/>
      <c r="B936" s="616"/>
      <c r="C936" s="617"/>
      <c r="D936" s="617"/>
      <c r="E936" s="617"/>
      <c r="F936" s="1083"/>
      <c r="G936" s="1084"/>
      <c r="H936" s="1069"/>
      <c r="I936" s="618"/>
      <c r="J936" s="619"/>
      <c r="K936" s="618"/>
      <c r="L936" s="620"/>
      <c r="M936" s="621"/>
      <c r="N936" s="620"/>
    </row>
    <row r="937" spans="1:14" ht="11.25" customHeight="1" x14ac:dyDescent="0.25">
      <c r="A937" s="615"/>
      <c r="B937" s="616"/>
      <c r="C937" s="617"/>
      <c r="D937" s="617"/>
      <c r="E937" s="617"/>
      <c r="F937" s="1083"/>
      <c r="G937" s="1084"/>
      <c r="H937" s="1069"/>
      <c r="I937" s="618"/>
      <c r="J937" s="619"/>
      <c r="K937" s="618"/>
      <c r="L937" s="620"/>
      <c r="M937" s="621"/>
      <c r="N937" s="620"/>
    </row>
    <row r="938" spans="1:14" ht="11.25" customHeight="1" x14ac:dyDescent="0.25">
      <c r="A938" s="615"/>
      <c r="B938" s="616"/>
      <c r="C938" s="617"/>
      <c r="D938" s="617"/>
      <c r="E938" s="617"/>
      <c r="F938" s="1083"/>
      <c r="G938" s="1084"/>
      <c r="H938" s="1069"/>
      <c r="I938" s="618"/>
      <c r="J938" s="619"/>
      <c r="K938" s="618"/>
      <c r="L938" s="620"/>
      <c r="M938" s="621"/>
      <c r="N938" s="620"/>
    </row>
    <row r="939" spans="1:14" ht="11.25" customHeight="1" x14ac:dyDescent="0.25">
      <c r="A939" s="615"/>
      <c r="B939" s="616"/>
      <c r="C939" s="617"/>
      <c r="D939" s="617"/>
      <c r="E939" s="617"/>
      <c r="F939" s="1083"/>
      <c r="G939" s="1084"/>
      <c r="H939" s="1069"/>
      <c r="I939" s="618"/>
      <c r="J939" s="619"/>
      <c r="K939" s="618"/>
      <c r="L939" s="620"/>
      <c r="M939" s="621"/>
      <c r="N939" s="620"/>
    </row>
    <row r="940" spans="1:14" ht="11.25" customHeight="1" x14ac:dyDescent="0.25">
      <c r="A940" s="615"/>
      <c r="B940" s="616"/>
      <c r="C940" s="617"/>
      <c r="D940" s="617"/>
      <c r="E940" s="617"/>
      <c r="F940" s="1083"/>
      <c r="G940" s="1084"/>
      <c r="H940" s="1069"/>
      <c r="I940" s="618"/>
      <c r="J940" s="619"/>
      <c r="K940" s="618"/>
      <c r="L940" s="620"/>
      <c r="M940" s="621"/>
      <c r="N940" s="620"/>
    </row>
    <row r="941" spans="1:14" ht="11.25" customHeight="1" x14ac:dyDescent="0.25">
      <c r="A941" s="615"/>
      <c r="B941" s="616"/>
      <c r="C941" s="617"/>
      <c r="D941" s="617"/>
      <c r="E941" s="617"/>
      <c r="F941" s="1083"/>
      <c r="G941" s="1084"/>
      <c r="H941" s="1069"/>
      <c r="I941" s="618"/>
      <c r="J941" s="619"/>
      <c r="K941" s="618"/>
      <c r="L941" s="620"/>
      <c r="M941" s="621"/>
      <c r="N941" s="620"/>
    </row>
    <row r="942" spans="1:14" ht="11.25" customHeight="1" x14ac:dyDescent="0.25">
      <c r="A942" s="615"/>
      <c r="B942" s="616"/>
      <c r="C942" s="617"/>
      <c r="D942" s="617"/>
      <c r="E942" s="617"/>
      <c r="F942" s="1083"/>
      <c r="G942" s="1084"/>
      <c r="H942" s="1069"/>
      <c r="I942" s="618"/>
      <c r="J942" s="619"/>
      <c r="K942" s="618"/>
      <c r="L942" s="620"/>
      <c r="M942" s="621"/>
      <c r="N942" s="620"/>
    </row>
    <row r="943" spans="1:14" ht="11.25" customHeight="1" x14ac:dyDescent="0.25">
      <c r="A943" s="615"/>
      <c r="B943" s="616"/>
      <c r="C943" s="617"/>
      <c r="D943" s="617"/>
      <c r="E943" s="617"/>
      <c r="F943" s="1083"/>
      <c r="G943" s="1084"/>
      <c r="H943" s="1069"/>
      <c r="I943" s="618"/>
      <c r="J943" s="619"/>
      <c r="K943" s="618"/>
      <c r="L943" s="620"/>
      <c r="M943" s="621"/>
      <c r="N943" s="620"/>
    </row>
    <row r="944" spans="1:14" ht="11.25" customHeight="1" x14ac:dyDescent="0.25">
      <c r="A944" s="615"/>
      <c r="B944" s="616"/>
      <c r="C944" s="617"/>
      <c r="D944" s="617"/>
      <c r="E944" s="617"/>
      <c r="F944" s="1083"/>
      <c r="G944" s="1084"/>
      <c r="H944" s="1069"/>
      <c r="I944" s="618"/>
      <c r="J944" s="619"/>
      <c r="K944" s="618"/>
      <c r="L944" s="620"/>
      <c r="M944" s="621"/>
      <c r="N944" s="620"/>
    </row>
    <row r="945" spans="1:14" ht="11.25" customHeight="1" x14ac:dyDescent="0.25">
      <c r="A945" s="615"/>
      <c r="B945" s="616"/>
      <c r="C945" s="617"/>
      <c r="D945" s="617"/>
      <c r="E945" s="617"/>
      <c r="F945" s="1083"/>
      <c r="G945" s="1084"/>
      <c r="H945" s="1069"/>
      <c r="I945" s="618"/>
      <c r="J945" s="619"/>
      <c r="K945" s="618"/>
      <c r="L945" s="620"/>
      <c r="M945" s="621"/>
      <c r="N945" s="620"/>
    </row>
    <row r="946" spans="1:14" ht="11.25" customHeight="1" x14ac:dyDescent="0.25">
      <c r="A946" s="615"/>
      <c r="B946" s="616"/>
      <c r="C946" s="617"/>
      <c r="D946" s="617"/>
      <c r="E946" s="617"/>
      <c r="F946" s="1083"/>
      <c r="G946" s="1084"/>
      <c r="H946" s="1069"/>
      <c r="I946" s="618"/>
      <c r="J946" s="619"/>
      <c r="K946" s="618"/>
      <c r="L946" s="620"/>
      <c r="M946" s="621"/>
      <c r="N946" s="620"/>
    </row>
    <row r="947" spans="1:14" ht="11.25" customHeight="1" x14ac:dyDescent="0.25">
      <c r="A947" s="615"/>
      <c r="B947" s="616"/>
      <c r="C947" s="617"/>
      <c r="D947" s="617"/>
      <c r="E947" s="617"/>
      <c r="F947" s="1083"/>
      <c r="G947" s="1084"/>
      <c r="H947" s="1069"/>
      <c r="I947" s="618"/>
      <c r="J947" s="619"/>
      <c r="K947" s="618"/>
      <c r="L947" s="620"/>
      <c r="M947" s="621"/>
      <c r="N947" s="620"/>
    </row>
    <row r="948" spans="1:14" ht="11.25" customHeight="1" x14ac:dyDescent="0.25">
      <c r="A948" s="615"/>
      <c r="B948" s="616"/>
      <c r="C948" s="617"/>
      <c r="D948" s="617"/>
      <c r="E948" s="617"/>
      <c r="F948" s="1083"/>
      <c r="G948" s="1084"/>
      <c r="H948" s="1069"/>
      <c r="I948" s="618"/>
      <c r="J948" s="619"/>
      <c r="K948" s="618"/>
      <c r="L948" s="620"/>
      <c r="M948" s="621"/>
      <c r="N948" s="620"/>
    </row>
    <row r="949" spans="1:14" ht="11.25" customHeight="1" x14ac:dyDescent="0.25">
      <c r="A949" s="615"/>
      <c r="B949" s="616"/>
      <c r="C949" s="617"/>
      <c r="D949" s="617"/>
      <c r="E949" s="617"/>
      <c r="F949" s="1083"/>
      <c r="G949" s="1084"/>
      <c r="H949" s="1069"/>
      <c r="I949" s="618"/>
      <c r="J949" s="619"/>
      <c r="K949" s="618"/>
      <c r="L949" s="620"/>
      <c r="M949" s="621"/>
      <c r="N949" s="620"/>
    </row>
    <row r="950" spans="1:14" ht="11.25" customHeight="1" x14ac:dyDescent="0.25">
      <c r="A950" s="615"/>
      <c r="B950" s="616"/>
      <c r="C950" s="617"/>
      <c r="D950" s="617"/>
      <c r="E950" s="617"/>
      <c r="F950" s="1083"/>
      <c r="G950" s="1084"/>
      <c r="H950" s="1069"/>
      <c r="I950" s="618"/>
      <c r="J950" s="619"/>
      <c r="K950" s="618"/>
      <c r="L950" s="620"/>
      <c r="M950" s="621"/>
      <c r="N950" s="620"/>
    </row>
    <row r="951" spans="1:14" ht="11.25" customHeight="1" x14ac:dyDescent="0.25">
      <c r="A951" s="615"/>
      <c r="B951" s="616"/>
      <c r="C951" s="617"/>
      <c r="D951" s="617"/>
      <c r="E951" s="617"/>
      <c r="F951" s="1083"/>
      <c r="G951" s="1084"/>
      <c r="H951" s="1069"/>
      <c r="I951" s="618"/>
      <c r="J951" s="619"/>
      <c r="K951" s="618"/>
      <c r="L951" s="620"/>
      <c r="M951" s="621"/>
      <c r="N951" s="620"/>
    </row>
    <row r="952" spans="1:14" ht="11.25" customHeight="1" x14ac:dyDescent="0.25">
      <c r="A952" s="615"/>
      <c r="B952" s="616"/>
      <c r="C952" s="617"/>
      <c r="D952" s="617"/>
      <c r="E952" s="617"/>
      <c r="F952" s="1083"/>
      <c r="G952" s="1084"/>
      <c r="H952" s="1069"/>
      <c r="I952" s="618"/>
      <c r="J952" s="619"/>
      <c r="K952" s="618"/>
      <c r="L952" s="620"/>
      <c r="M952" s="621"/>
      <c r="N952" s="620"/>
    </row>
    <row r="953" spans="1:14" ht="11.25" customHeight="1" x14ac:dyDescent="0.25">
      <c r="A953" s="615"/>
      <c r="B953" s="616"/>
      <c r="C953" s="617"/>
      <c r="D953" s="617"/>
      <c r="E953" s="617"/>
      <c r="F953" s="1083"/>
      <c r="G953" s="1084"/>
      <c r="H953" s="1069"/>
      <c r="I953" s="618"/>
      <c r="J953" s="619"/>
      <c r="K953" s="618"/>
      <c r="L953" s="620"/>
      <c r="M953" s="621"/>
      <c r="N953" s="620"/>
    </row>
    <row r="954" spans="1:14" ht="11.25" customHeight="1" x14ac:dyDescent="0.25">
      <c r="A954" s="615"/>
      <c r="B954" s="616"/>
      <c r="C954" s="617"/>
      <c r="D954" s="617"/>
      <c r="E954" s="617"/>
      <c r="F954" s="1083"/>
      <c r="G954" s="1084"/>
      <c r="H954" s="1069"/>
      <c r="I954" s="618"/>
      <c r="J954" s="619"/>
      <c r="K954" s="618"/>
      <c r="L954" s="620"/>
      <c r="M954" s="621"/>
      <c r="N954" s="620"/>
    </row>
    <row r="955" spans="1:14" ht="11.25" customHeight="1" x14ac:dyDescent="0.25">
      <c r="A955" s="615"/>
      <c r="B955" s="616"/>
      <c r="C955" s="617"/>
      <c r="D955" s="617"/>
      <c r="E955" s="617"/>
      <c r="F955" s="1083"/>
      <c r="G955" s="1084"/>
      <c r="H955" s="1069"/>
      <c r="I955" s="618"/>
      <c r="J955" s="619"/>
      <c r="K955" s="618"/>
      <c r="L955" s="620"/>
      <c r="M955" s="621"/>
      <c r="N955" s="620"/>
    </row>
    <row r="956" spans="1:14" ht="11.25" customHeight="1" x14ac:dyDescent="0.25">
      <c r="A956" s="615"/>
      <c r="B956" s="616"/>
      <c r="C956" s="617"/>
      <c r="D956" s="617"/>
      <c r="E956" s="617"/>
      <c r="F956" s="1083"/>
      <c r="G956" s="1084"/>
      <c r="H956" s="1069"/>
      <c r="I956" s="618"/>
      <c r="J956" s="619"/>
      <c r="K956" s="618"/>
      <c r="L956" s="620"/>
      <c r="M956" s="621"/>
      <c r="N956" s="620"/>
    </row>
    <row r="957" spans="1:14" ht="11.25" customHeight="1" x14ac:dyDescent="0.25">
      <c r="A957" s="615"/>
      <c r="B957" s="616"/>
      <c r="C957" s="617"/>
      <c r="D957" s="617"/>
      <c r="E957" s="617"/>
      <c r="F957" s="1083"/>
      <c r="G957" s="1084"/>
      <c r="H957" s="1069"/>
      <c r="I957" s="618"/>
      <c r="J957" s="619"/>
      <c r="K957" s="618"/>
      <c r="L957" s="620"/>
      <c r="M957" s="621"/>
      <c r="N957" s="620"/>
    </row>
    <row r="958" spans="1:14" ht="11.25" customHeight="1" x14ac:dyDescent="0.25">
      <c r="A958" s="615"/>
      <c r="B958" s="616"/>
      <c r="C958" s="617"/>
      <c r="D958" s="617"/>
      <c r="E958" s="617"/>
      <c r="F958" s="1083"/>
      <c r="G958" s="1084"/>
      <c r="H958" s="1069"/>
      <c r="I958" s="618"/>
      <c r="J958" s="619"/>
      <c r="K958" s="618"/>
      <c r="L958" s="620"/>
      <c r="M958" s="621"/>
      <c r="N958" s="620"/>
    </row>
    <row r="959" spans="1:14" ht="11.25" customHeight="1" x14ac:dyDescent="0.25">
      <c r="A959" s="615"/>
      <c r="B959" s="616"/>
      <c r="C959" s="617"/>
      <c r="D959" s="617"/>
      <c r="E959" s="617"/>
      <c r="F959" s="1083"/>
      <c r="G959" s="1084"/>
      <c r="H959" s="1069"/>
      <c r="I959" s="618"/>
      <c r="J959" s="619"/>
      <c r="K959" s="618"/>
      <c r="L959" s="620"/>
      <c r="M959" s="621"/>
      <c r="N959" s="620"/>
    </row>
    <row r="960" spans="1:14" ht="11.25" customHeight="1" x14ac:dyDescent="0.25">
      <c r="A960" s="615"/>
      <c r="B960" s="616"/>
      <c r="C960" s="617"/>
      <c r="D960" s="617"/>
      <c r="E960" s="617"/>
      <c r="F960" s="1083"/>
      <c r="G960" s="1084"/>
      <c r="H960" s="1069"/>
      <c r="I960" s="618"/>
      <c r="J960" s="619"/>
      <c r="K960" s="618"/>
      <c r="L960" s="620"/>
      <c r="M960" s="621"/>
      <c r="N960" s="620"/>
    </row>
    <row r="961" spans="1:14" ht="11.25" customHeight="1" x14ac:dyDescent="0.25">
      <c r="A961" s="615"/>
      <c r="B961" s="616"/>
      <c r="C961" s="617"/>
      <c r="D961" s="617"/>
      <c r="E961" s="617"/>
      <c r="F961" s="1083"/>
      <c r="G961" s="1084"/>
      <c r="H961" s="1069"/>
      <c r="I961" s="618"/>
      <c r="J961" s="619"/>
      <c r="K961" s="618"/>
      <c r="L961" s="620"/>
      <c r="M961" s="621"/>
      <c r="N961" s="620"/>
    </row>
    <row r="962" spans="1:14" ht="11.25" customHeight="1" x14ac:dyDescent="0.25">
      <c r="A962" s="615"/>
      <c r="B962" s="616"/>
      <c r="C962" s="617"/>
      <c r="D962" s="617"/>
      <c r="E962" s="617"/>
      <c r="F962" s="1083"/>
      <c r="G962" s="1084"/>
      <c r="H962" s="1069"/>
      <c r="I962" s="618"/>
      <c r="J962" s="619"/>
      <c r="K962" s="618"/>
      <c r="L962" s="620"/>
      <c r="M962" s="621"/>
      <c r="N962" s="620"/>
    </row>
    <row r="963" spans="1:14" ht="11.25" customHeight="1" x14ac:dyDescent="0.25">
      <c r="A963" s="615"/>
      <c r="B963" s="616"/>
      <c r="C963" s="617"/>
      <c r="D963" s="617"/>
      <c r="E963" s="617"/>
      <c r="F963" s="1083"/>
      <c r="G963" s="1084"/>
      <c r="H963" s="1069"/>
      <c r="I963" s="618"/>
      <c r="J963" s="619"/>
      <c r="K963" s="618"/>
      <c r="L963" s="620"/>
      <c r="M963" s="621"/>
      <c r="N963" s="620"/>
    </row>
    <row r="964" spans="1:14" ht="11.25" customHeight="1" x14ac:dyDescent="0.25">
      <c r="A964" s="615"/>
      <c r="B964" s="616"/>
      <c r="C964" s="617"/>
      <c r="D964" s="617"/>
      <c r="E964" s="617"/>
      <c r="F964" s="1083"/>
      <c r="G964" s="1084"/>
      <c r="H964" s="1069"/>
      <c r="I964" s="618"/>
      <c r="J964" s="619"/>
      <c r="K964" s="618"/>
      <c r="L964" s="620"/>
      <c r="M964" s="621"/>
      <c r="N964" s="620"/>
    </row>
    <row r="965" spans="1:14" ht="11.25" customHeight="1" x14ac:dyDescent="0.25">
      <c r="A965" s="615"/>
      <c r="B965" s="616"/>
      <c r="C965" s="617"/>
      <c r="D965" s="617"/>
      <c r="E965" s="617"/>
      <c r="F965" s="1083"/>
      <c r="G965" s="1084"/>
      <c r="H965" s="1069"/>
      <c r="I965" s="618"/>
      <c r="J965" s="619"/>
      <c r="K965" s="618"/>
      <c r="L965" s="620"/>
      <c r="M965" s="621"/>
      <c r="N965" s="620"/>
    </row>
    <row r="966" spans="1:14" ht="11.25" customHeight="1" x14ac:dyDescent="0.25">
      <c r="A966" s="615"/>
      <c r="B966" s="616"/>
      <c r="C966" s="617"/>
      <c r="D966" s="617"/>
      <c r="E966" s="617"/>
      <c r="F966" s="1083"/>
      <c r="G966" s="1084"/>
      <c r="H966" s="1069"/>
      <c r="I966" s="618"/>
      <c r="J966" s="619"/>
      <c r="K966" s="618"/>
      <c r="L966" s="620"/>
      <c r="M966" s="621"/>
      <c r="N966" s="620"/>
    </row>
    <row r="967" spans="1:14" ht="11.25" customHeight="1" x14ac:dyDescent="0.25">
      <c r="A967" s="615"/>
      <c r="B967" s="616"/>
      <c r="C967" s="617"/>
      <c r="D967" s="617"/>
      <c r="E967" s="617"/>
      <c r="F967" s="1083"/>
      <c r="G967" s="1084"/>
      <c r="H967" s="1069"/>
      <c r="I967" s="618"/>
      <c r="J967" s="619"/>
      <c r="K967" s="618"/>
      <c r="L967" s="620"/>
      <c r="M967" s="621"/>
      <c r="N967" s="620"/>
    </row>
    <row r="968" spans="1:14" ht="11.25" customHeight="1" x14ac:dyDescent="0.25">
      <c r="A968" s="615"/>
      <c r="B968" s="616"/>
      <c r="C968" s="617"/>
      <c r="D968" s="617"/>
      <c r="E968" s="617"/>
      <c r="F968" s="1083"/>
      <c r="G968" s="1084"/>
      <c r="H968" s="1069"/>
      <c r="I968" s="618"/>
      <c r="J968" s="619"/>
      <c r="K968" s="618"/>
      <c r="L968" s="620"/>
      <c r="M968" s="621"/>
      <c r="N968" s="620"/>
    </row>
    <row r="969" spans="1:14" ht="11.25" customHeight="1" x14ac:dyDescent="0.25">
      <c r="A969" s="615"/>
      <c r="B969" s="616"/>
      <c r="C969" s="617"/>
      <c r="D969" s="617"/>
      <c r="E969" s="617"/>
      <c r="F969" s="1083"/>
      <c r="G969" s="1084"/>
      <c r="H969" s="1069"/>
      <c r="I969" s="618"/>
      <c r="J969" s="619"/>
      <c r="K969" s="618"/>
      <c r="L969" s="620"/>
      <c r="M969" s="621"/>
      <c r="N969" s="620"/>
    </row>
    <row r="970" spans="1:14" ht="11.25" customHeight="1" x14ac:dyDescent="0.25">
      <c r="A970" s="615"/>
      <c r="B970" s="616"/>
      <c r="C970" s="617"/>
      <c r="D970" s="617"/>
      <c r="E970" s="617"/>
      <c r="F970" s="1083"/>
      <c r="G970" s="1084"/>
      <c r="H970" s="1069"/>
      <c r="I970" s="618"/>
      <c r="J970" s="619"/>
      <c r="K970" s="618"/>
      <c r="L970" s="620"/>
      <c r="M970" s="621"/>
      <c r="N970" s="620"/>
    </row>
    <row r="971" spans="1:14" ht="11.25" customHeight="1" x14ac:dyDescent="0.25">
      <c r="A971" s="615"/>
      <c r="B971" s="616"/>
      <c r="C971" s="617"/>
      <c r="D971" s="617"/>
      <c r="E971" s="617"/>
      <c r="F971" s="1083"/>
      <c r="G971" s="1084"/>
      <c r="H971" s="1069"/>
      <c r="I971" s="618"/>
      <c r="J971" s="619"/>
      <c r="K971" s="618"/>
      <c r="L971" s="620"/>
      <c r="M971" s="621"/>
      <c r="N971" s="620"/>
    </row>
    <row r="972" spans="1:14" ht="11.25" customHeight="1" x14ac:dyDescent="0.25">
      <c r="A972" s="615"/>
      <c r="B972" s="616"/>
      <c r="C972" s="617"/>
      <c r="D972" s="617"/>
      <c r="E972" s="617"/>
      <c r="F972" s="1083"/>
      <c r="G972" s="1084"/>
      <c r="H972" s="1069"/>
      <c r="I972" s="618"/>
      <c r="J972" s="619"/>
      <c r="K972" s="618"/>
      <c r="L972" s="620"/>
      <c r="M972" s="621"/>
      <c r="N972" s="620"/>
    </row>
    <row r="973" spans="1:14" ht="11.25" customHeight="1" x14ac:dyDescent="0.25">
      <c r="A973" s="615"/>
      <c r="B973" s="616"/>
      <c r="C973" s="617"/>
      <c r="D973" s="617"/>
      <c r="E973" s="617"/>
      <c r="F973" s="1083"/>
      <c r="G973" s="1084"/>
      <c r="H973" s="1069"/>
      <c r="I973" s="618"/>
      <c r="J973" s="619"/>
      <c r="K973" s="618"/>
      <c r="L973" s="620"/>
      <c r="M973" s="621"/>
      <c r="N973" s="620"/>
    </row>
    <row r="974" spans="1:14" ht="11.25" customHeight="1" x14ac:dyDescent="0.25">
      <c r="A974" s="615"/>
      <c r="B974" s="616"/>
      <c r="C974" s="617"/>
      <c r="D974" s="617"/>
      <c r="E974" s="617"/>
      <c r="F974" s="1083"/>
      <c r="G974" s="1084"/>
      <c r="H974" s="1069"/>
      <c r="I974" s="618"/>
      <c r="J974" s="619"/>
      <c r="K974" s="618"/>
      <c r="L974" s="620"/>
      <c r="M974" s="621"/>
      <c r="N974" s="620"/>
    </row>
    <row r="975" spans="1:14" ht="11.25" customHeight="1" x14ac:dyDescent="0.25">
      <c r="A975" s="615"/>
      <c r="B975" s="616"/>
      <c r="C975" s="617"/>
      <c r="D975" s="617"/>
      <c r="E975" s="617"/>
      <c r="F975" s="1083"/>
      <c r="G975" s="1084"/>
      <c r="H975" s="1069"/>
      <c r="I975" s="618"/>
      <c r="J975" s="619"/>
      <c r="K975" s="618"/>
      <c r="L975" s="620"/>
      <c r="M975" s="621"/>
      <c r="N975" s="620"/>
    </row>
    <row r="976" spans="1:14" ht="11.25" customHeight="1" x14ac:dyDescent="0.25">
      <c r="A976" s="615"/>
      <c r="B976" s="616"/>
      <c r="C976" s="617"/>
      <c r="D976" s="617"/>
      <c r="E976" s="617"/>
      <c r="F976" s="1083"/>
      <c r="G976" s="1084"/>
      <c r="H976" s="1069"/>
      <c r="I976" s="618"/>
      <c r="J976" s="619"/>
      <c r="K976" s="618"/>
      <c r="L976" s="620"/>
      <c r="M976" s="621"/>
      <c r="N976" s="620"/>
    </row>
    <row r="977" spans="1:14" ht="11.25" customHeight="1" x14ac:dyDescent="0.25">
      <c r="A977" s="615"/>
      <c r="B977" s="616"/>
      <c r="C977" s="617"/>
      <c r="D977" s="617"/>
      <c r="E977" s="617"/>
      <c r="F977" s="1083"/>
      <c r="G977" s="1084"/>
      <c r="H977" s="1069"/>
      <c r="I977" s="618"/>
      <c r="J977" s="619"/>
      <c r="K977" s="618"/>
      <c r="L977" s="620"/>
      <c r="M977" s="621"/>
      <c r="N977" s="620"/>
    </row>
    <row r="978" spans="1:14" ht="11.25" customHeight="1" x14ac:dyDescent="0.25">
      <c r="A978" s="615"/>
      <c r="B978" s="616"/>
      <c r="C978" s="617"/>
      <c r="D978" s="617"/>
      <c r="E978" s="617"/>
      <c r="F978" s="1083"/>
      <c r="G978" s="1084"/>
      <c r="H978" s="1069"/>
      <c r="I978" s="618"/>
      <c r="J978" s="619"/>
      <c r="K978" s="618"/>
      <c r="L978" s="620"/>
      <c r="M978" s="621"/>
      <c r="N978" s="620"/>
    </row>
    <row r="979" spans="1:14" ht="11.25" customHeight="1" x14ac:dyDescent="0.25">
      <c r="A979" s="615"/>
      <c r="B979" s="616"/>
      <c r="C979" s="617"/>
      <c r="D979" s="617"/>
      <c r="E979" s="617"/>
      <c r="F979" s="1083"/>
      <c r="G979" s="1084"/>
      <c r="H979" s="1069"/>
      <c r="I979" s="618"/>
      <c r="J979" s="619"/>
      <c r="K979" s="618"/>
      <c r="L979" s="620"/>
      <c r="M979" s="621"/>
      <c r="N979" s="620"/>
    </row>
    <row r="980" spans="1:14" ht="11.25" customHeight="1" x14ac:dyDescent="0.25">
      <c r="A980" s="615"/>
      <c r="B980" s="616"/>
      <c r="C980" s="617"/>
      <c r="D980" s="617"/>
      <c r="E980" s="617"/>
      <c r="F980" s="1083"/>
      <c r="G980" s="1084"/>
      <c r="H980" s="1069"/>
      <c r="I980" s="618"/>
      <c r="J980" s="619"/>
      <c r="K980" s="618"/>
      <c r="L980" s="620"/>
      <c r="M980" s="621"/>
      <c r="N980" s="620"/>
    </row>
    <row r="981" spans="1:14" ht="11.25" customHeight="1" x14ac:dyDescent="0.25">
      <c r="A981" s="615"/>
      <c r="B981" s="616"/>
      <c r="C981" s="617"/>
      <c r="D981" s="617"/>
      <c r="E981" s="617"/>
      <c r="F981" s="1083"/>
      <c r="G981" s="1084"/>
      <c r="H981" s="1069"/>
      <c r="I981" s="618"/>
      <c r="J981" s="619"/>
      <c r="K981" s="618"/>
      <c r="L981" s="620"/>
      <c r="M981" s="621"/>
      <c r="N981" s="620"/>
    </row>
    <row r="982" spans="1:14" ht="11.25" customHeight="1" x14ac:dyDescent="0.25">
      <c r="A982" s="615"/>
      <c r="B982" s="616"/>
      <c r="C982" s="617"/>
      <c r="D982" s="617"/>
      <c r="E982" s="617"/>
      <c r="F982" s="1083"/>
      <c r="G982" s="1084"/>
      <c r="H982" s="1069"/>
      <c r="I982" s="618"/>
      <c r="J982" s="619"/>
      <c r="K982" s="618"/>
      <c r="L982" s="620"/>
      <c r="M982" s="621"/>
      <c r="N982" s="620"/>
    </row>
    <row r="983" spans="1:14" ht="11.25" customHeight="1" x14ac:dyDescent="0.25">
      <c r="A983" s="615"/>
      <c r="B983" s="616"/>
      <c r="C983" s="617"/>
      <c r="D983" s="617"/>
      <c r="E983" s="617"/>
      <c r="F983" s="1083"/>
      <c r="G983" s="1084"/>
      <c r="H983" s="1069"/>
      <c r="I983" s="618"/>
      <c r="J983" s="619"/>
      <c r="K983" s="618"/>
      <c r="L983" s="620"/>
      <c r="M983" s="621"/>
      <c r="N983" s="620"/>
    </row>
    <row r="984" spans="1:14" ht="11.25" customHeight="1" x14ac:dyDescent="0.25">
      <c r="A984" s="615"/>
      <c r="B984" s="616"/>
      <c r="C984" s="617"/>
      <c r="D984" s="617"/>
      <c r="E984" s="617"/>
      <c r="F984" s="1083"/>
      <c r="G984" s="1084"/>
      <c r="H984" s="1069"/>
      <c r="I984" s="618"/>
      <c r="J984" s="619"/>
      <c r="K984" s="618"/>
      <c r="L984" s="620"/>
      <c r="M984" s="621"/>
      <c r="N984" s="620"/>
    </row>
    <row r="985" spans="1:14" ht="11.25" customHeight="1" x14ac:dyDescent="0.25">
      <c r="A985" s="615"/>
      <c r="B985" s="616"/>
      <c r="C985" s="617"/>
      <c r="D985" s="617"/>
      <c r="E985" s="617"/>
      <c r="F985" s="1083"/>
      <c r="G985" s="1084"/>
      <c r="H985" s="1069"/>
      <c r="I985" s="618"/>
      <c r="J985" s="619"/>
      <c r="K985" s="618"/>
      <c r="L985" s="620"/>
      <c r="M985" s="621"/>
      <c r="N985" s="620"/>
    </row>
    <row r="986" spans="1:14" ht="11.25" customHeight="1" x14ac:dyDescent="0.25">
      <c r="A986" s="615"/>
      <c r="B986" s="616"/>
      <c r="C986" s="617"/>
      <c r="D986" s="617"/>
      <c r="E986" s="617"/>
      <c r="F986" s="1083"/>
      <c r="G986" s="1084"/>
      <c r="H986" s="1069"/>
      <c r="I986" s="618"/>
      <c r="J986" s="619"/>
      <c r="K986" s="618"/>
      <c r="L986" s="620"/>
      <c r="M986" s="621"/>
      <c r="N986" s="620"/>
    </row>
    <row r="987" spans="1:14" ht="11.25" customHeight="1" x14ac:dyDescent="0.25">
      <c r="A987" s="615"/>
      <c r="B987" s="616"/>
      <c r="C987" s="617"/>
      <c r="D987" s="617"/>
      <c r="E987" s="617"/>
      <c r="F987" s="1083"/>
      <c r="G987" s="1084"/>
      <c r="H987" s="1069"/>
      <c r="I987" s="618"/>
      <c r="J987" s="619"/>
      <c r="K987" s="618"/>
      <c r="L987" s="620"/>
      <c r="M987" s="621"/>
      <c r="N987" s="620"/>
    </row>
    <row r="988" spans="1:14" ht="11.25" customHeight="1" x14ac:dyDescent="0.25">
      <c r="A988" s="615"/>
      <c r="B988" s="616"/>
      <c r="C988" s="617"/>
      <c r="D988" s="617"/>
      <c r="E988" s="617"/>
      <c r="F988" s="1083"/>
      <c r="G988" s="1084"/>
      <c r="H988" s="1069"/>
      <c r="I988" s="618"/>
      <c r="J988" s="619"/>
      <c r="K988" s="618"/>
      <c r="L988" s="620"/>
      <c r="M988" s="621"/>
      <c r="N988" s="620"/>
    </row>
    <row r="989" spans="1:14" ht="11.25" customHeight="1" x14ac:dyDescent="0.25">
      <c r="A989" s="615"/>
      <c r="B989" s="616"/>
      <c r="C989" s="617"/>
      <c r="D989" s="617"/>
      <c r="E989" s="617"/>
      <c r="F989" s="1083"/>
      <c r="G989" s="1084"/>
      <c r="H989" s="1069"/>
      <c r="I989" s="618"/>
      <c r="J989" s="619"/>
      <c r="K989" s="618"/>
      <c r="L989" s="620"/>
      <c r="M989" s="621"/>
      <c r="N989" s="620"/>
    </row>
    <row r="990" spans="1:14" ht="11.25" customHeight="1" x14ac:dyDescent="0.25">
      <c r="A990" s="615"/>
      <c r="B990" s="616"/>
      <c r="C990" s="617"/>
      <c r="D990" s="617"/>
      <c r="E990" s="617"/>
      <c r="F990" s="1083"/>
      <c r="G990" s="1084"/>
      <c r="H990" s="1069"/>
      <c r="I990" s="618"/>
      <c r="J990" s="619"/>
      <c r="K990" s="618"/>
      <c r="L990" s="620"/>
      <c r="M990" s="621"/>
      <c r="N990" s="620"/>
    </row>
    <row r="991" spans="1:14" ht="11.25" customHeight="1" x14ac:dyDescent="0.25">
      <c r="A991" s="615"/>
      <c r="B991" s="616"/>
      <c r="C991" s="617"/>
      <c r="D991" s="617"/>
      <c r="E991" s="617"/>
      <c r="F991" s="1083"/>
      <c r="G991" s="1084"/>
      <c r="H991" s="1069"/>
      <c r="I991" s="618"/>
      <c r="J991" s="619"/>
      <c r="K991" s="618"/>
      <c r="L991" s="620"/>
      <c r="M991" s="621"/>
      <c r="N991" s="620"/>
    </row>
    <row r="992" spans="1:14" ht="11.25" customHeight="1" x14ac:dyDescent="0.25">
      <c r="A992" s="615"/>
      <c r="B992" s="616"/>
      <c r="C992" s="617"/>
      <c r="D992" s="617"/>
      <c r="E992" s="617"/>
      <c r="F992" s="1083"/>
      <c r="G992" s="1084"/>
      <c r="H992" s="1069"/>
      <c r="I992" s="618"/>
      <c r="J992" s="619"/>
      <c r="K992" s="618"/>
      <c r="L992" s="620"/>
      <c r="M992" s="621"/>
      <c r="N992" s="620"/>
    </row>
    <row r="993" spans="1:14" ht="11.25" customHeight="1" x14ac:dyDescent="0.25">
      <c r="A993" s="615"/>
      <c r="B993" s="616"/>
      <c r="C993" s="617"/>
      <c r="D993" s="617"/>
      <c r="E993" s="617"/>
      <c r="F993" s="1083"/>
      <c r="G993" s="1084"/>
      <c r="H993" s="1069"/>
      <c r="I993" s="618"/>
      <c r="J993" s="619"/>
      <c r="K993" s="618"/>
      <c r="L993" s="620"/>
      <c r="M993" s="621"/>
      <c r="N993" s="620"/>
    </row>
    <row r="994" spans="1:14" ht="11.25" customHeight="1" x14ac:dyDescent="0.25">
      <c r="A994" s="615"/>
      <c r="B994" s="616"/>
      <c r="C994" s="617"/>
      <c r="D994" s="617"/>
      <c r="E994" s="617"/>
      <c r="F994" s="1083"/>
      <c r="G994" s="1084"/>
      <c r="H994" s="1069"/>
      <c r="I994" s="618"/>
      <c r="J994" s="619"/>
      <c r="K994" s="618"/>
      <c r="L994" s="620"/>
      <c r="M994" s="621"/>
      <c r="N994" s="620"/>
    </row>
    <row r="995" spans="1:14" ht="11.25" customHeight="1" x14ac:dyDescent="0.25">
      <c r="A995" s="615"/>
      <c r="B995" s="616"/>
      <c r="C995" s="617"/>
      <c r="D995" s="617"/>
      <c r="E995" s="617"/>
      <c r="F995" s="1083"/>
      <c r="G995" s="1084"/>
      <c r="H995" s="1069"/>
      <c r="I995" s="618"/>
      <c r="J995" s="619"/>
      <c r="K995" s="618"/>
      <c r="L995" s="620"/>
      <c r="M995" s="621"/>
      <c r="N995" s="620"/>
    </row>
    <row r="996" spans="1:14" ht="11.25" customHeight="1" x14ac:dyDescent="0.25">
      <c r="A996" s="615"/>
      <c r="B996" s="616"/>
      <c r="C996" s="617"/>
      <c r="D996" s="617"/>
      <c r="E996" s="617"/>
      <c r="F996" s="1083"/>
      <c r="G996" s="1084"/>
      <c r="H996" s="1069"/>
      <c r="I996" s="618"/>
      <c r="J996" s="619"/>
      <c r="K996" s="618"/>
      <c r="L996" s="620"/>
      <c r="M996" s="621"/>
      <c r="N996" s="620"/>
    </row>
    <row r="997" spans="1:14" ht="11.25" customHeight="1" x14ac:dyDescent="0.25">
      <c r="A997" s="615"/>
      <c r="B997" s="616"/>
      <c r="C997" s="617"/>
      <c r="D997" s="617"/>
      <c r="E997" s="617"/>
      <c r="F997" s="1083"/>
      <c r="G997" s="1084"/>
      <c r="H997" s="1069"/>
      <c r="I997" s="618"/>
      <c r="J997" s="619"/>
      <c r="K997" s="618"/>
      <c r="L997" s="620"/>
      <c r="M997" s="621"/>
      <c r="N997" s="620"/>
    </row>
    <row r="998" spans="1:14" ht="11.25" customHeight="1" x14ac:dyDescent="0.25">
      <c r="A998" s="615"/>
      <c r="B998" s="616"/>
      <c r="C998" s="617"/>
      <c r="D998" s="617"/>
      <c r="E998" s="617"/>
      <c r="F998" s="1083"/>
      <c r="G998" s="1084"/>
      <c r="H998" s="1069"/>
      <c r="I998" s="618"/>
      <c r="J998" s="619"/>
      <c r="K998" s="618"/>
      <c r="L998" s="620"/>
      <c r="M998" s="621"/>
      <c r="N998" s="620"/>
    </row>
    <row r="999" spans="1:14" ht="11.25" customHeight="1" x14ac:dyDescent="0.25">
      <c r="A999" s="615"/>
      <c r="B999" s="616"/>
      <c r="C999" s="617"/>
      <c r="D999" s="617"/>
      <c r="E999" s="617"/>
      <c r="F999" s="1083"/>
      <c r="G999" s="1084"/>
      <c r="H999" s="1069"/>
      <c r="I999" s="618"/>
      <c r="J999" s="619"/>
      <c r="K999" s="618"/>
      <c r="L999" s="620"/>
      <c r="M999" s="621"/>
      <c r="N999" s="620"/>
    </row>
    <row r="1000" spans="1:14" ht="11.25" customHeight="1" x14ac:dyDescent="0.25">
      <c r="A1000" s="615"/>
      <c r="B1000" s="616"/>
      <c r="C1000" s="617"/>
      <c r="D1000" s="617"/>
      <c r="E1000" s="617"/>
      <c r="F1000" s="1083"/>
      <c r="G1000" s="1084"/>
      <c r="H1000" s="1069"/>
      <c r="I1000" s="618"/>
      <c r="J1000" s="619"/>
      <c r="K1000" s="618"/>
      <c r="L1000" s="620"/>
      <c r="M1000" s="621"/>
      <c r="N1000" s="620"/>
    </row>
    <row r="1001" spans="1:14" ht="11.25" customHeight="1" x14ac:dyDescent="0.25">
      <c r="A1001" s="615"/>
      <c r="B1001" s="616"/>
      <c r="C1001" s="617"/>
      <c r="D1001" s="617"/>
      <c r="E1001" s="617"/>
      <c r="F1001" s="1083"/>
      <c r="G1001" s="1084"/>
      <c r="H1001" s="1069"/>
      <c r="I1001" s="618"/>
      <c r="J1001" s="619"/>
      <c r="K1001" s="618"/>
      <c r="L1001" s="620"/>
      <c r="M1001" s="621"/>
      <c r="N1001" s="620"/>
    </row>
    <row r="1002" spans="1:14" ht="11.25" customHeight="1" x14ac:dyDescent="0.25">
      <c r="A1002" s="615"/>
      <c r="B1002" s="616"/>
      <c r="C1002" s="617"/>
      <c r="D1002" s="617"/>
      <c r="E1002" s="617"/>
      <c r="F1002" s="1083"/>
      <c r="G1002" s="1084"/>
      <c r="H1002" s="1069"/>
      <c r="I1002" s="618"/>
      <c r="J1002" s="619"/>
      <c r="K1002" s="618"/>
      <c r="L1002" s="620"/>
      <c r="M1002" s="621"/>
      <c r="N1002" s="620"/>
    </row>
    <row r="1003" spans="1:14" ht="11.25" customHeight="1" x14ac:dyDescent="0.25">
      <c r="A1003" s="615"/>
      <c r="B1003" s="616"/>
      <c r="C1003" s="617"/>
      <c r="D1003" s="617"/>
      <c r="E1003" s="617"/>
      <c r="F1003" s="1083"/>
      <c r="G1003" s="1084"/>
      <c r="H1003" s="1069"/>
      <c r="I1003" s="618"/>
      <c r="J1003" s="619"/>
      <c r="K1003" s="618"/>
      <c r="L1003" s="620"/>
      <c r="M1003" s="621"/>
      <c r="N1003" s="620"/>
    </row>
    <row r="1004" spans="1:14" ht="11.25" customHeight="1" x14ac:dyDescent="0.25">
      <c r="A1004" s="615"/>
      <c r="B1004" s="616"/>
      <c r="C1004" s="617"/>
      <c r="D1004" s="617"/>
      <c r="E1004" s="617"/>
      <c r="F1004" s="1083"/>
      <c r="G1004" s="1084"/>
      <c r="H1004" s="1069"/>
      <c r="I1004" s="618"/>
      <c r="J1004" s="619"/>
      <c r="K1004" s="618"/>
      <c r="L1004" s="620"/>
      <c r="M1004" s="621"/>
      <c r="N1004" s="620"/>
    </row>
    <row r="1005" spans="1:14" ht="11.25" customHeight="1" x14ac:dyDescent="0.25">
      <c r="A1005" s="615"/>
      <c r="B1005" s="616"/>
      <c r="C1005" s="617"/>
      <c r="D1005" s="617"/>
      <c r="E1005" s="617"/>
      <c r="F1005" s="1083"/>
      <c r="G1005" s="1084"/>
      <c r="H1005" s="1069"/>
      <c r="I1005" s="618"/>
      <c r="J1005" s="619"/>
      <c r="K1005" s="618"/>
      <c r="L1005" s="620"/>
      <c r="M1005" s="621"/>
      <c r="N1005" s="620"/>
    </row>
    <row r="1006" spans="1:14" ht="11.25" customHeight="1" x14ac:dyDescent="0.25">
      <c r="A1006" s="615"/>
      <c r="B1006" s="616"/>
      <c r="C1006" s="617"/>
      <c r="D1006" s="617"/>
      <c r="E1006" s="617"/>
      <c r="F1006" s="1083"/>
      <c r="G1006" s="1084"/>
      <c r="H1006" s="1069"/>
      <c r="I1006" s="618"/>
      <c r="J1006" s="619"/>
      <c r="K1006" s="618"/>
      <c r="L1006" s="620"/>
      <c r="M1006" s="621"/>
      <c r="N1006" s="620"/>
    </row>
    <row r="1007" spans="1:14" ht="11.25" customHeight="1" x14ac:dyDescent="0.25">
      <c r="A1007" s="615"/>
      <c r="B1007" s="616"/>
      <c r="C1007" s="617"/>
      <c r="D1007" s="617"/>
      <c r="E1007" s="617"/>
      <c r="F1007" s="1083"/>
      <c r="G1007" s="1084"/>
      <c r="H1007" s="1069"/>
      <c r="I1007" s="618"/>
      <c r="J1007" s="619"/>
      <c r="K1007" s="618"/>
      <c r="L1007" s="620"/>
      <c r="M1007" s="621"/>
      <c r="N1007" s="620"/>
    </row>
    <row r="1008" spans="1:14" ht="11.25" customHeight="1" x14ac:dyDescent="0.25">
      <c r="A1008" s="615"/>
      <c r="B1008" s="616"/>
      <c r="C1008" s="617"/>
      <c r="D1008" s="617"/>
      <c r="E1008" s="617"/>
      <c r="F1008" s="1083"/>
      <c r="G1008" s="1084"/>
      <c r="H1008" s="1069"/>
      <c r="I1008" s="618"/>
      <c r="J1008" s="619"/>
      <c r="K1008" s="618"/>
      <c r="L1008" s="620"/>
      <c r="M1008" s="621"/>
      <c r="N1008" s="620"/>
    </row>
    <row r="1009" spans="1:14" ht="11.25" customHeight="1" x14ac:dyDescent="0.25">
      <c r="A1009" s="615"/>
      <c r="B1009" s="616"/>
      <c r="C1009" s="617"/>
      <c r="D1009" s="617"/>
      <c r="E1009" s="617"/>
      <c r="F1009" s="1083"/>
      <c r="G1009" s="1084"/>
      <c r="H1009" s="1069"/>
      <c r="I1009" s="618"/>
      <c r="J1009" s="619"/>
      <c r="K1009" s="618"/>
      <c r="L1009" s="620"/>
      <c r="M1009" s="621"/>
      <c r="N1009" s="620"/>
    </row>
    <row r="1010" spans="1:14" ht="11.25" customHeight="1" x14ac:dyDescent="0.25">
      <c r="A1010" s="615"/>
      <c r="B1010" s="616"/>
      <c r="C1010" s="617"/>
      <c r="D1010" s="617"/>
      <c r="E1010" s="617"/>
      <c r="F1010" s="1083"/>
      <c r="G1010" s="1084"/>
      <c r="H1010" s="1069"/>
      <c r="I1010" s="618"/>
      <c r="J1010" s="619"/>
      <c r="K1010" s="618"/>
      <c r="L1010" s="620"/>
      <c r="M1010" s="621"/>
      <c r="N1010" s="620"/>
    </row>
    <row r="1011" spans="1:14" ht="11.25" customHeight="1" x14ac:dyDescent="0.25">
      <c r="A1011" s="615"/>
      <c r="B1011" s="616"/>
      <c r="C1011" s="617"/>
      <c r="D1011" s="617"/>
      <c r="E1011" s="617"/>
      <c r="F1011" s="1083"/>
      <c r="G1011" s="1084"/>
      <c r="H1011" s="1069"/>
      <c r="I1011" s="618"/>
      <c r="J1011" s="619"/>
      <c r="K1011" s="618"/>
      <c r="L1011" s="620"/>
      <c r="M1011" s="621"/>
      <c r="N1011" s="620"/>
    </row>
    <row r="1012" spans="1:14" ht="11.25" customHeight="1" x14ac:dyDescent="0.25">
      <c r="A1012" s="615"/>
      <c r="B1012" s="616"/>
      <c r="C1012" s="617"/>
      <c r="D1012" s="617"/>
      <c r="E1012" s="617"/>
      <c r="F1012" s="1083"/>
      <c r="G1012" s="1084"/>
      <c r="H1012" s="1069"/>
      <c r="I1012" s="618"/>
      <c r="J1012" s="619"/>
      <c r="K1012" s="618"/>
      <c r="L1012" s="620"/>
      <c r="M1012" s="621"/>
      <c r="N1012" s="620"/>
    </row>
    <row r="1013" spans="1:14" ht="11.25" customHeight="1" x14ac:dyDescent="0.25">
      <c r="A1013" s="615"/>
      <c r="B1013" s="616"/>
      <c r="C1013" s="617"/>
      <c r="D1013" s="617"/>
      <c r="E1013" s="617"/>
      <c r="F1013" s="1083"/>
      <c r="G1013" s="1084"/>
      <c r="H1013" s="1069"/>
      <c r="I1013" s="618"/>
      <c r="J1013" s="619"/>
      <c r="K1013" s="618"/>
      <c r="L1013" s="620"/>
      <c r="M1013" s="621"/>
      <c r="N1013" s="620"/>
    </row>
    <row r="1014" spans="1:14" ht="11.25" customHeight="1" x14ac:dyDescent="0.25">
      <c r="A1014" s="615"/>
      <c r="B1014" s="616"/>
      <c r="C1014" s="617"/>
      <c r="D1014" s="617"/>
      <c r="E1014" s="617"/>
      <c r="F1014" s="1083"/>
      <c r="G1014" s="1084"/>
      <c r="H1014" s="1069"/>
      <c r="I1014" s="618"/>
      <c r="J1014" s="619"/>
      <c r="K1014" s="618"/>
      <c r="L1014" s="620"/>
      <c r="M1014" s="621"/>
      <c r="N1014" s="620"/>
    </row>
    <row r="1015" spans="1:14" ht="11.25" customHeight="1" x14ac:dyDescent="0.25">
      <c r="A1015" s="615"/>
      <c r="B1015" s="616"/>
      <c r="C1015" s="617"/>
      <c r="D1015" s="617"/>
      <c r="E1015" s="617"/>
      <c r="F1015" s="1083"/>
      <c r="G1015" s="1084"/>
      <c r="H1015" s="1069"/>
      <c r="I1015" s="618"/>
      <c r="J1015" s="619"/>
      <c r="K1015" s="618"/>
      <c r="L1015" s="620"/>
      <c r="M1015" s="621"/>
      <c r="N1015" s="620"/>
    </row>
    <row r="1016" spans="1:14" ht="11.25" customHeight="1" x14ac:dyDescent="0.25">
      <c r="A1016" s="615"/>
      <c r="B1016" s="616"/>
      <c r="C1016" s="617"/>
      <c r="D1016" s="617"/>
      <c r="E1016" s="617"/>
      <c r="F1016" s="1083"/>
      <c r="G1016" s="1084"/>
      <c r="H1016" s="1069"/>
      <c r="I1016" s="618"/>
      <c r="J1016" s="619"/>
      <c r="K1016" s="618"/>
      <c r="L1016" s="620"/>
      <c r="M1016" s="621"/>
      <c r="N1016" s="620"/>
    </row>
    <row r="1017" spans="1:14" ht="11.25" customHeight="1" x14ac:dyDescent="0.25">
      <c r="A1017" s="615"/>
      <c r="B1017" s="616"/>
      <c r="C1017" s="617"/>
      <c r="D1017" s="617"/>
      <c r="E1017" s="617"/>
      <c r="F1017" s="1083"/>
      <c r="G1017" s="1084"/>
      <c r="H1017" s="1069"/>
      <c r="I1017" s="618"/>
      <c r="J1017" s="619"/>
      <c r="K1017" s="618"/>
      <c r="L1017" s="620"/>
      <c r="M1017" s="621"/>
      <c r="N1017" s="620"/>
    </row>
    <row r="1018" spans="1:14" ht="11.25" customHeight="1" x14ac:dyDescent="0.25">
      <c r="A1018" s="615"/>
      <c r="B1018" s="616"/>
      <c r="C1018" s="617"/>
      <c r="D1018" s="617"/>
      <c r="E1018" s="617"/>
      <c r="F1018" s="1083"/>
      <c r="G1018" s="1084"/>
      <c r="H1018" s="1069"/>
      <c r="I1018" s="618"/>
      <c r="J1018" s="619"/>
      <c r="K1018" s="618"/>
      <c r="L1018" s="620"/>
      <c r="M1018" s="621"/>
      <c r="N1018" s="620"/>
    </row>
    <row r="1019" spans="1:14" ht="11.25" customHeight="1" x14ac:dyDescent="0.25">
      <c r="A1019" s="615"/>
      <c r="B1019" s="616"/>
      <c r="C1019" s="617"/>
      <c r="D1019" s="617"/>
      <c r="E1019" s="617"/>
      <c r="F1019" s="1083"/>
      <c r="G1019" s="1084"/>
      <c r="H1019" s="1069"/>
      <c r="I1019" s="618"/>
      <c r="J1019" s="619"/>
      <c r="K1019" s="618"/>
      <c r="L1019" s="620"/>
      <c r="M1019" s="621"/>
      <c r="N1019" s="620"/>
    </row>
    <row r="1020" spans="1:14" ht="11.25" customHeight="1" x14ac:dyDescent="0.25">
      <c r="A1020" s="615"/>
      <c r="B1020" s="616"/>
      <c r="C1020" s="617"/>
      <c r="D1020" s="617"/>
      <c r="E1020" s="617"/>
      <c r="F1020" s="1083"/>
      <c r="G1020" s="1084"/>
      <c r="H1020" s="1069"/>
      <c r="I1020" s="618"/>
      <c r="J1020" s="619"/>
      <c r="K1020" s="618"/>
      <c r="L1020" s="620"/>
      <c r="M1020" s="621"/>
      <c r="N1020" s="620"/>
    </row>
    <row r="1021" spans="1:14" ht="11.25" customHeight="1" x14ac:dyDescent="0.25">
      <c r="A1021" s="615"/>
      <c r="B1021" s="616"/>
      <c r="C1021" s="617"/>
      <c r="D1021" s="617"/>
      <c r="E1021" s="617"/>
      <c r="F1021" s="1083"/>
      <c r="G1021" s="1084"/>
      <c r="H1021" s="1069"/>
      <c r="I1021" s="618"/>
      <c r="J1021" s="619"/>
      <c r="K1021" s="618"/>
      <c r="L1021" s="620"/>
      <c r="M1021" s="621"/>
      <c r="N1021" s="620"/>
    </row>
    <row r="1022" spans="1:14" ht="11.25" customHeight="1" x14ac:dyDescent="0.25">
      <c r="A1022" s="615"/>
      <c r="B1022" s="616"/>
      <c r="C1022" s="617"/>
      <c r="D1022" s="617"/>
      <c r="E1022" s="617"/>
      <c r="F1022" s="1083"/>
      <c r="G1022" s="1084"/>
      <c r="H1022" s="1069"/>
      <c r="I1022" s="618"/>
      <c r="J1022" s="619"/>
      <c r="K1022" s="618"/>
      <c r="L1022" s="620"/>
      <c r="M1022" s="621"/>
      <c r="N1022" s="620"/>
    </row>
    <row r="1023" spans="1:14" ht="11.25" customHeight="1" x14ac:dyDescent="0.25">
      <c r="A1023" s="615"/>
      <c r="B1023" s="616"/>
      <c r="C1023" s="617"/>
      <c r="D1023" s="617"/>
      <c r="E1023" s="617"/>
      <c r="F1023" s="1083"/>
      <c r="G1023" s="1084"/>
      <c r="H1023" s="1069"/>
      <c r="I1023" s="618"/>
      <c r="J1023" s="619"/>
      <c r="K1023" s="618"/>
      <c r="L1023" s="620"/>
      <c r="M1023" s="621"/>
      <c r="N1023" s="620"/>
    </row>
    <row r="1024" spans="1:14" ht="11.25" customHeight="1" x14ac:dyDescent="0.25">
      <c r="A1024" s="615"/>
      <c r="B1024" s="616"/>
      <c r="C1024" s="617"/>
      <c r="D1024" s="617"/>
      <c r="E1024" s="617"/>
      <c r="F1024" s="1083"/>
      <c r="G1024" s="1084"/>
      <c r="H1024" s="1069"/>
      <c r="I1024" s="618"/>
      <c r="J1024" s="619"/>
      <c r="K1024" s="618"/>
      <c r="L1024" s="620"/>
      <c r="M1024" s="621"/>
      <c r="N1024" s="620"/>
    </row>
    <row r="1025" spans="1:14" ht="11.25" customHeight="1" x14ac:dyDescent="0.25">
      <c r="A1025" s="615"/>
      <c r="B1025" s="616"/>
      <c r="C1025" s="617"/>
      <c r="D1025" s="617"/>
      <c r="E1025" s="617"/>
      <c r="F1025" s="1083"/>
      <c r="G1025" s="1084"/>
      <c r="H1025" s="1069"/>
      <c r="I1025" s="618"/>
      <c r="J1025" s="619"/>
      <c r="K1025" s="618"/>
      <c r="L1025" s="620"/>
      <c r="M1025" s="621"/>
      <c r="N1025" s="620"/>
    </row>
    <row r="1026" spans="1:14" ht="11.25" customHeight="1" x14ac:dyDescent="0.25">
      <c r="A1026" s="615"/>
      <c r="B1026" s="616"/>
      <c r="C1026" s="617"/>
      <c r="D1026" s="617"/>
      <c r="E1026" s="617"/>
      <c r="F1026" s="1083"/>
      <c r="G1026" s="1084"/>
      <c r="H1026" s="1069"/>
      <c r="I1026" s="618"/>
      <c r="J1026" s="619"/>
      <c r="K1026" s="618"/>
      <c r="L1026" s="620"/>
      <c r="M1026" s="621"/>
      <c r="N1026" s="620"/>
    </row>
    <row r="1027" spans="1:14" ht="11.25" customHeight="1" x14ac:dyDescent="0.25">
      <c r="A1027" s="615"/>
      <c r="B1027" s="616"/>
      <c r="C1027" s="617"/>
      <c r="D1027" s="617"/>
      <c r="E1027" s="617"/>
      <c r="F1027" s="1083"/>
      <c r="G1027" s="1084"/>
      <c r="H1027" s="1069"/>
      <c r="I1027" s="618"/>
      <c r="J1027" s="619"/>
      <c r="K1027" s="618"/>
      <c r="L1027" s="620"/>
      <c r="M1027" s="621"/>
      <c r="N1027" s="620"/>
    </row>
    <row r="1028" spans="1:14" ht="11.25" customHeight="1" x14ac:dyDescent="0.25">
      <c r="A1028" s="615"/>
      <c r="B1028" s="616"/>
      <c r="C1028" s="617"/>
      <c r="D1028" s="617"/>
      <c r="E1028" s="617"/>
      <c r="F1028" s="1083"/>
      <c r="G1028" s="1084"/>
      <c r="H1028" s="1069"/>
      <c r="I1028" s="618"/>
      <c r="J1028" s="619"/>
      <c r="K1028" s="618"/>
      <c r="L1028" s="620"/>
      <c r="M1028" s="621"/>
      <c r="N1028" s="620"/>
    </row>
    <row r="1029" spans="1:14" ht="11.25" customHeight="1" x14ac:dyDescent="0.25">
      <c r="A1029" s="615"/>
      <c r="B1029" s="616"/>
      <c r="C1029" s="617"/>
      <c r="D1029" s="617"/>
      <c r="E1029" s="617"/>
      <c r="F1029" s="1083"/>
      <c r="G1029" s="1084"/>
      <c r="H1029" s="1069"/>
      <c r="I1029" s="618"/>
      <c r="J1029" s="619"/>
      <c r="K1029" s="618"/>
      <c r="L1029" s="620"/>
      <c r="M1029" s="621"/>
      <c r="N1029" s="620"/>
    </row>
    <row r="1030" spans="1:14" ht="11.25" customHeight="1" x14ac:dyDescent="0.25">
      <c r="A1030" s="615"/>
      <c r="B1030" s="616"/>
      <c r="C1030" s="617"/>
      <c r="D1030" s="617"/>
      <c r="E1030" s="617"/>
      <c r="F1030" s="1083"/>
      <c r="G1030" s="1084"/>
      <c r="H1030" s="1069"/>
      <c r="I1030" s="618"/>
      <c r="J1030" s="619"/>
      <c r="K1030" s="618"/>
      <c r="L1030" s="620"/>
      <c r="M1030" s="621"/>
      <c r="N1030" s="620"/>
    </row>
    <row r="1031" spans="1:14" ht="11.25" customHeight="1" x14ac:dyDescent="0.25">
      <c r="A1031" s="615"/>
      <c r="B1031" s="616"/>
      <c r="C1031" s="617"/>
      <c r="D1031" s="617"/>
      <c r="E1031" s="617"/>
      <c r="F1031" s="1083"/>
      <c r="G1031" s="1084"/>
      <c r="H1031" s="1069"/>
      <c r="I1031" s="618"/>
      <c r="J1031" s="619"/>
      <c r="K1031" s="618"/>
      <c r="L1031" s="620"/>
      <c r="M1031" s="621"/>
      <c r="N1031" s="620"/>
    </row>
    <row r="1032" spans="1:14" ht="11.25" customHeight="1" x14ac:dyDescent="0.25">
      <c r="A1032" s="615"/>
      <c r="B1032" s="616"/>
      <c r="C1032" s="617"/>
      <c r="D1032" s="617"/>
      <c r="E1032" s="617"/>
      <c r="F1032" s="1083"/>
      <c r="G1032" s="1084"/>
      <c r="H1032" s="1069"/>
      <c r="I1032" s="618"/>
      <c r="J1032" s="619"/>
      <c r="K1032" s="618"/>
      <c r="L1032" s="620"/>
      <c r="M1032" s="621"/>
      <c r="N1032" s="620"/>
    </row>
    <row r="1033" spans="1:14" ht="11.25" customHeight="1" x14ac:dyDescent="0.25">
      <c r="A1033" s="615"/>
      <c r="B1033" s="616"/>
      <c r="C1033" s="617"/>
      <c r="D1033" s="617"/>
      <c r="E1033" s="617"/>
      <c r="F1033" s="1083"/>
      <c r="G1033" s="1084"/>
      <c r="H1033" s="1069"/>
      <c r="I1033" s="618"/>
      <c r="J1033" s="619"/>
      <c r="K1033" s="618"/>
      <c r="L1033" s="620"/>
      <c r="M1033" s="621"/>
      <c r="N1033" s="620"/>
    </row>
    <row r="1034" spans="1:14" ht="11.25" customHeight="1" x14ac:dyDescent="0.25">
      <c r="A1034" s="615"/>
      <c r="B1034" s="616"/>
      <c r="C1034" s="617"/>
      <c r="D1034" s="617"/>
      <c r="E1034" s="617"/>
      <c r="F1034" s="1083"/>
      <c r="G1034" s="1084"/>
      <c r="H1034" s="1069"/>
      <c r="I1034" s="618"/>
      <c r="J1034" s="619"/>
      <c r="K1034" s="618"/>
      <c r="L1034" s="620"/>
      <c r="M1034" s="621"/>
      <c r="N1034" s="620"/>
    </row>
    <row r="1035" spans="1:14" ht="11.25" customHeight="1" x14ac:dyDescent="0.25">
      <c r="A1035" s="615"/>
      <c r="B1035" s="616"/>
      <c r="C1035" s="617"/>
      <c r="D1035" s="617"/>
      <c r="E1035" s="617"/>
      <c r="F1035" s="1083"/>
      <c r="G1035" s="1084"/>
      <c r="H1035" s="1069"/>
      <c r="I1035" s="618"/>
      <c r="J1035" s="619"/>
      <c r="K1035" s="618"/>
      <c r="L1035" s="620"/>
      <c r="M1035" s="621"/>
      <c r="N1035" s="620"/>
    </row>
    <row r="1036" spans="1:14" ht="11.25" customHeight="1" x14ac:dyDescent="0.25">
      <c r="A1036" s="615"/>
      <c r="B1036" s="616"/>
      <c r="C1036" s="617"/>
      <c r="D1036" s="617"/>
      <c r="E1036" s="617"/>
      <c r="F1036" s="1083"/>
      <c r="G1036" s="1084"/>
      <c r="H1036" s="1069"/>
      <c r="I1036" s="618"/>
      <c r="J1036" s="619"/>
      <c r="K1036" s="618"/>
      <c r="L1036" s="620"/>
      <c r="M1036" s="621"/>
      <c r="N1036" s="620"/>
    </row>
    <row r="1037" spans="1:14" ht="11.25" customHeight="1" x14ac:dyDescent="0.25">
      <c r="A1037" s="615"/>
      <c r="B1037" s="616"/>
      <c r="C1037" s="617"/>
      <c r="D1037" s="617"/>
      <c r="E1037" s="617"/>
      <c r="F1037" s="1083"/>
      <c r="G1037" s="1084"/>
      <c r="H1037" s="1069"/>
      <c r="I1037" s="618"/>
      <c r="J1037" s="619"/>
      <c r="K1037" s="618"/>
      <c r="L1037" s="620"/>
      <c r="M1037" s="621"/>
      <c r="N1037" s="620"/>
    </row>
    <row r="1038" spans="1:14" ht="11.25" customHeight="1" x14ac:dyDescent="0.25">
      <c r="A1038" s="615"/>
      <c r="B1038" s="616"/>
      <c r="C1038" s="617"/>
      <c r="D1038" s="617"/>
      <c r="E1038" s="617"/>
      <c r="F1038" s="1083"/>
      <c r="G1038" s="1084"/>
      <c r="H1038" s="1069"/>
      <c r="I1038" s="618"/>
      <c r="J1038" s="619"/>
      <c r="K1038" s="618"/>
      <c r="L1038" s="620"/>
      <c r="M1038" s="621"/>
      <c r="N1038" s="620"/>
    </row>
    <row r="1039" spans="1:14" ht="11.25" customHeight="1" x14ac:dyDescent="0.25">
      <c r="A1039" s="615"/>
      <c r="B1039" s="616"/>
      <c r="C1039" s="617"/>
      <c r="D1039" s="617"/>
      <c r="E1039" s="617"/>
      <c r="F1039" s="1083"/>
      <c r="G1039" s="1084"/>
      <c r="H1039" s="1069"/>
      <c r="I1039" s="618"/>
      <c r="J1039" s="619"/>
      <c r="K1039" s="618"/>
      <c r="L1039" s="620"/>
      <c r="M1039" s="621"/>
      <c r="N1039" s="620"/>
    </row>
    <row r="1040" spans="1:14" ht="11.25" customHeight="1" x14ac:dyDescent="0.25">
      <c r="A1040" s="615"/>
      <c r="B1040" s="616"/>
      <c r="C1040" s="617"/>
      <c r="D1040" s="617"/>
      <c r="E1040" s="617"/>
      <c r="F1040" s="1083"/>
      <c r="G1040" s="1084"/>
      <c r="H1040" s="1069"/>
      <c r="I1040" s="618"/>
      <c r="J1040" s="619"/>
      <c r="K1040" s="618"/>
      <c r="L1040" s="620"/>
      <c r="M1040" s="621"/>
      <c r="N1040" s="620"/>
    </row>
    <row r="1041" spans="1:14" ht="11.25" customHeight="1" x14ac:dyDescent="0.25">
      <c r="A1041" s="615"/>
      <c r="B1041" s="616"/>
      <c r="C1041" s="617"/>
      <c r="D1041" s="617"/>
      <c r="E1041" s="617"/>
      <c r="F1041" s="1083"/>
      <c r="G1041" s="1084"/>
      <c r="H1041" s="1069"/>
      <c r="I1041" s="618"/>
      <c r="J1041" s="619"/>
      <c r="K1041" s="618"/>
      <c r="L1041" s="620"/>
      <c r="M1041" s="621"/>
      <c r="N1041" s="620"/>
    </row>
    <row r="1042" spans="1:14" ht="11.25" customHeight="1" x14ac:dyDescent="0.25">
      <c r="A1042" s="615"/>
      <c r="B1042" s="616"/>
      <c r="C1042" s="617"/>
      <c r="D1042" s="617"/>
      <c r="E1042" s="617"/>
      <c r="F1042" s="1083"/>
      <c r="G1042" s="1084"/>
      <c r="H1042" s="1069"/>
      <c r="I1042" s="618"/>
      <c r="J1042" s="619"/>
      <c r="K1042" s="618"/>
      <c r="L1042" s="620"/>
      <c r="M1042" s="621"/>
      <c r="N1042" s="620"/>
    </row>
    <row r="1043" spans="1:14" ht="11.25" customHeight="1" x14ac:dyDescent="0.25">
      <c r="A1043" s="615"/>
      <c r="B1043" s="616"/>
      <c r="C1043" s="617"/>
      <c r="D1043" s="617"/>
      <c r="E1043" s="617"/>
      <c r="F1043" s="1083"/>
      <c r="G1043" s="1084"/>
      <c r="H1043" s="1069"/>
      <c r="I1043" s="618"/>
      <c r="J1043" s="619"/>
      <c r="K1043" s="618"/>
      <c r="L1043" s="620"/>
      <c r="M1043" s="621"/>
      <c r="N1043" s="620"/>
    </row>
    <row r="1044" spans="1:14" ht="11.25" customHeight="1" x14ac:dyDescent="0.25">
      <c r="A1044" s="615"/>
      <c r="B1044" s="616"/>
      <c r="C1044" s="617"/>
      <c r="D1044" s="617"/>
      <c r="E1044" s="617"/>
      <c r="F1044" s="1083"/>
      <c r="G1044" s="1084"/>
      <c r="H1044" s="1069"/>
      <c r="I1044" s="618"/>
      <c r="J1044" s="619"/>
      <c r="K1044" s="618"/>
      <c r="L1044" s="620"/>
      <c r="M1044" s="621"/>
      <c r="N1044" s="620"/>
    </row>
    <row r="1045" spans="1:14" ht="11.25" customHeight="1" x14ac:dyDescent="0.25">
      <c r="A1045" s="615"/>
      <c r="B1045" s="616"/>
      <c r="C1045" s="617"/>
      <c r="D1045" s="617"/>
      <c r="E1045" s="617"/>
      <c r="F1045" s="1083"/>
      <c r="G1045" s="1084"/>
      <c r="H1045" s="1069"/>
      <c r="I1045" s="618"/>
      <c r="J1045" s="619"/>
      <c r="K1045" s="618"/>
      <c r="L1045" s="620"/>
      <c r="M1045" s="621"/>
      <c r="N1045" s="620"/>
    </row>
    <row r="1046" spans="1:14" ht="11.25" customHeight="1" x14ac:dyDescent="0.25">
      <c r="A1046" s="615"/>
      <c r="B1046" s="616"/>
      <c r="C1046" s="617"/>
      <c r="D1046" s="617"/>
      <c r="E1046" s="617"/>
      <c r="F1046" s="1083"/>
      <c r="G1046" s="1084"/>
      <c r="H1046" s="1069"/>
      <c r="I1046" s="618"/>
      <c r="J1046" s="619"/>
      <c r="K1046" s="618"/>
      <c r="L1046" s="620"/>
      <c r="M1046" s="621"/>
      <c r="N1046" s="620"/>
    </row>
    <row r="1047" spans="1:14" ht="11.25" customHeight="1" x14ac:dyDescent="0.25">
      <c r="A1047" s="615"/>
      <c r="B1047" s="616"/>
      <c r="C1047" s="617"/>
      <c r="D1047" s="617"/>
      <c r="E1047" s="617"/>
      <c r="F1047" s="1083"/>
      <c r="G1047" s="1084"/>
      <c r="H1047" s="1069"/>
      <c r="I1047" s="618"/>
      <c r="J1047" s="619"/>
      <c r="K1047" s="618"/>
      <c r="L1047" s="620"/>
      <c r="M1047" s="621"/>
      <c r="N1047" s="620"/>
    </row>
    <row r="1048" spans="1:14" ht="11.25" customHeight="1" x14ac:dyDescent="0.25">
      <c r="A1048" s="615"/>
      <c r="B1048" s="616"/>
      <c r="C1048" s="617"/>
      <c r="D1048" s="617"/>
      <c r="E1048" s="617"/>
      <c r="F1048" s="1083"/>
      <c r="G1048" s="1084"/>
      <c r="H1048" s="1069"/>
      <c r="I1048" s="618"/>
      <c r="J1048" s="619"/>
      <c r="K1048" s="618"/>
      <c r="L1048" s="620"/>
      <c r="M1048" s="621"/>
      <c r="N1048" s="620"/>
    </row>
    <row r="1049" spans="1:14" ht="11.25" customHeight="1" x14ac:dyDescent="0.25">
      <c r="A1049" s="615"/>
      <c r="B1049" s="616"/>
      <c r="C1049" s="617"/>
      <c r="D1049" s="617"/>
      <c r="E1049" s="617"/>
      <c r="F1049" s="1083"/>
      <c r="G1049" s="1084"/>
      <c r="H1049" s="1069"/>
      <c r="I1049" s="618"/>
      <c r="J1049" s="619"/>
      <c r="K1049" s="618"/>
      <c r="L1049" s="620"/>
      <c r="M1049" s="621"/>
      <c r="N1049" s="620"/>
    </row>
    <row r="1050" spans="1:14" ht="11.25" customHeight="1" x14ac:dyDescent="0.25">
      <c r="A1050" s="615"/>
      <c r="B1050" s="616"/>
      <c r="C1050" s="617"/>
      <c r="D1050" s="617"/>
      <c r="E1050" s="617"/>
      <c r="F1050" s="1083"/>
      <c r="G1050" s="1084"/>
      <c r="H1050" s="1069"/>
      <c r="I1050" s="618"/>
      <c r="J1050" s="619"/>
      <c r="K1050" s="618"/>
      <c r="L1050" s="620"/>
      <c r="M1050" s="621"/>
      <c r="N1050" s="620"/>
    </row>
    <row r="1051" spans="1:14" ht="11.25" customHeight="1" x14ac:dyDescent="0.25">
      <c r="A1051" s="615"/>
      <c r="B1051" s="616"/>
      <c r="C1051" s="617"/>
      <c r="D1051" s="617"/>
      <c r="E1051" s="617"/>
      <c r="F1051" s="1083"/>
      <c r="G1051" s="1084"/>
      <c r="H1051" s="1069"/>
      <c r="I1051" s="618"/>
      <c r="J1051" s="619"/>
      <c r="K1051" s="618"/>
      <c r="L1051" s="620"/>
      <c r="M1051" s="621"/>
      <c r="N1051" s="620"/>
    </row>
    <row r="1052" spans="1:14" ht="11.25" customHeight="1" x14ac:dyDescent="0.25">
      <c r="A1052" s="615"/>
      <c r="B1052" s="616"/>
      <c r="C1052" s="617"/>
      <c r="D1052" s="617"/>
      <c r="E1052" s="617"/>
      <c r="F1052" s="1083"/>
      <c r="G1052" s="1084"/>
      <c r="H1052" s="1069"/>
      <c r="I1052" s="618"/>
      <c r="J1052" s="619"/>
      <c r="K1052" s="618"/>
      <c r="L1052" s="620"/>
      <c r="M1052" s="621"/>
      <c r="N1052" s="620"/>
    </row>
    <row r="1053" spans="1:14" ht="11.25" customHeight="1" x14ac:dyDescent="0.25">
      <c r="A1053" s="615"/>
      <c r="B1053" s="616"/>
      <c r="C1053" s="617"/>
      <c r="D1053" s="617"/>
      <c r="E1053" s="617"/>
      <c r="F1053" s="1083"/>
      <c r="G1053" s="1084"/>
      <c r="H1053" s="1069"/>
      <c r="I1053" s="618"/>
      <c r="J1053" s="619"/>
      <c r="K1053" s="618"/>
      <c r="L1053" s="620"/>
      <c r="M1053" s="621"/>
      <c r="N1053" s="620"/>
    </row>
    <row r="1054" spans="1:14" ht="11.25" customHeight="1" x14ac:dyDescent="0.25">
      <c r="A1054" s="615"/>
      <c r="B1054" s="616"/>
      <c r="C1054" s="617"/>
      <c r="D1054" s="617"/>
      <c r="E1054" s="617"/>
      <c r="F1054" s="1083"/>
      <c r="G1054" s="1084"/>
      <c r="H1054" s="1069"/>
      <c r="I1054" s="618"/>
      <c r="J1054" s="619"/>
      <c r="K1054" s="618"/>
      <c r="L1054" s="620"/>
      <c r="M1054" s="621"/>
      <c r="N1054" s="620"/>
    </row>
    <row r="1055" spans="1:14" ht="11.25" customHeight="1" x14ac:dyDescent="0.25">
      <c r="A1055" s="615"/>
      <c r="B1055" s="616"/>
      <c r="C1055" s="617"/>
      <c r="D1055" s="617"/>
      <c r="E1055" s="617"/>
      <c r="F1055" s="1083"/>
      <c r="G1055" s="1084"/>
      <c r="H1055" s="1069"/>
      <c r="I1055" s="618"/>
      <c r="J1055" s="619"/>
      <c r="K1055" s="618"/>
      <c r="L1055" s="620"/>
      <c r="M1055" s="621"/>
      <c r="N1055" s="620"/>
    </row>
    <row r="1056" spans="1:14" ht="11.25" customHeight="1" x14ac:dyDescent="0.25">
      <c r="A1056" s="615"/>
      <c r="B1056" s="616"/>
      <c r="C1056" s="617"/>
      <c r="D1056" s="617"/>
      <c r="E1056" s="617"/>
      <c r="F1056" s="1083"/>
      <c r="G1056" s="1084"/>
      <c r="H1056" s="1069"/>
      <c r="I1056" s="618"/>
      <c r="J1056" s="619"/>
      <c r="K1056" s="618"/>
      <c r="L1056" s="620"/>
      <c r="M1056" s="621"/>
      <c r="N1056" s="620"/>
    </row>
    <row r="1057" spans="1:14" ht="11.25" customHeight="1" x14ac:dyDescent="0.25">
      <c r="A1057" s="615"/>
      <c r="B1057" s="616"/>
      <c r="C1057" s="617"/>
      <c r="D1057" s="617"/>
      <c r="E1057" s="617"/>
      <c r="F1057" s="1083"/>
      <c r="G1057" s="1084"/>
      <c r="H1057" s="1069"/>
      <c r="I1057" s="618"/>
      <c r="J1057" s="619"/>
      <c r="K1057" s="618"/>
      <c r="L1057" s="620"/>
      <c r="M1057" s="621"/>
      <c r="N1057" s="620"/>
    </row>
    <row r="1058" spans="1:14" ht="11.25" customHeight="1" x14ac:dyDescent="0.25">
      <c r="A1058" s="615"/>
      <c r="B1058" s="616"/>
      <c r="C1058" s="617"/>
      <c r="D1058" s="617"/>
      <c r="E1058" s="617"/>
      <c r="F1058" s="1083"/>
      <c r="G1058" s="1084"/>
      <c r="H1058" s="1069"/>
      <c r="I1058" s="618"/>
      <c r="J1058" s="619"/>
      <c r="K1058" s="618"/>
      <c r="L1058" s="620"/>
      <c r="M1058" s="621"/>
      <c r="N1058" s="620"/>
    </row>
    <row r="1059" spans="1:14" ht="11.25" customHeight="1" x14ac:dyDescent="0.25">
      <c r="A1059" s="615"/>
      <c r="B1059" s="616"/>
      <c r="C1059" s="617"/>
      <c r="D1059" s="617"/>
      <c r="E1059" s="617"/>
      <c r="F1059" s="1083"/>
      <c r="G1059" s="1084"/>
      <c r="H1059" s="1069"/>
      <c r="I1059" s="618"/>
      <c r="J1059" s="619"/>
      <c r="K1059" s="618"/>
      <c r="L1059" s="620"/>
      <c r="M1059" s="621"/>
      <c r="N1059" s="620"/>
    </row>
    <row r="1060" spans="1:14" ht="11.25" customHeight="1" x14ac:dyDescent="0.25">
      <c r="A1060" s="615"/>
      <c r="B1060" s="616"/>
      <c r="C1060" s="617"/>
      <c r="D1060" s="617"/>
      <c r="E1060" s="617"/>
      <c r="F1060" s="1083"/>
      <c r="G1060" s="1084"/>
      <c r="H1060" s="1069"/>
      <c r="I1060" s="618"/>
      <c r="J1060" s="619"/>
      <c r="K1060" s="618"/>
      <c r="L1060" s="620"/>
      <c r="M1060" s="621"/>
      <c r="N1060" s="620"/>
    </row>
    <row r="1061" spans="1:14" ht="11.25" customHeight="1" x14ac:dyDescent="0.25">
      <c r="A1061" s="615"/>
      <c r="B1061" s="616"/>
      <c r="C1061" s="617"/>
      <c r="D1061" s="617"/>
      <c r="E1061" s="617"/>
      <c r="F1061" s="1083"/>
      <c r="G1061" s="1084"/>
      <c r="H1061" s="1069"/>
      <c r="I1061" s="618"/>
      <c r="J1061" s="619"/>
      <c r="K1061" s="618"/>
      <c r="L1061" s="620"/>
      <c r="M1061" s="621"/>
      <c r="N1061" s="620"/>
    </row>
    <row r="1062" spans="1:14" ht="11.25" customHeight="1" x14ac:dyDescent="0.25">
      <c r="A1062" s="615"/>
      <c r="B1062" s="616"/>
      <c r="C1062" s="617"/>
      <c r="D1062" s="617"/>
      <c r="E1062" s="617"/>
      <c r="F1062" s="1083"/>
      <c r="G1062" s="1084"/>
      <c r="H1062" s="1069"/>
      <c r="I1062" s="618"/>
      <c r="J1062" s="619"/>
      <c r="K1062" s="618"/>
      <c r="L1062" s="620"/>
      <c r="M1062" s="621"/>
      <c r="N1062" s="620"/>
    </row>
    <row r="1063" spans="1:14" ht="11.25" customHeight="1" x14ac:dyDescent="0.25">
      <c r="A1063" s="615"/>
      <c r="B1063" s="616"/>
      <c r="C1063" s="617"/>
      <c r="D1063" s="617"/>
      <c r="E1063" s="617"/>
      <c r="F1063" s="1083"/>
      <c r="G1063" s="1084"/>
      <c r="H1063" s="1069"/>
      <c r="I1063" s="618"/>
      <c r="J1063" s="619"/>
      <c r="K1063" s="618"/>
      <c r="L1063" s="620"/>
      <c r="M1063" s="621"/>
      <c r="N1063" s="620"/>
    </row>
    <row r="1064" spans="1:14" ht="11.25" customHeight="1" x14ac:dyDescent="0.25">
      <c r="A1064" s="615"/>
      <c r="B1064" s="616"/>
      <c r="C1064" s="617"/>
      <c r="D1064" s="617"/>
      <c r="E1064" s="617"/>
      <c r="F1064" s="1083"/>
      <c r="G1064" s="1084"/>
      <c r="H1064" s="1069"/>
      <c r="I1064" s="618"/>
      <c r="J1064" s="619"/>
      <c r="K1064" s="618"/>
      <c r="L1064" s="620"/>
      <c r="M1064" s="621"/>
      <c r="N1064" s="620"/>
    </row>
    <row r="1065" spans="1:14" ht="11.25" customHeight="1" x14ac:dyDescent="0.25">
      <c r="A1065" s="615"/>
      <c r="B1065" s="616"/>
      <c r="C1065" s="617"/>
      <c r="D1065" s="617"/>
      <c r="E1065" s="617"/>
      <c r="F1065" s="1083"/>
      <c r="G1065" s="1084"/>
      <c r="H1065" s="1069"/>
      <c r="I1065" s="618"/>
      <c r="J1065" s="619"/>
      <c r="K1065" s="618"/>
      <c r="L1065" s="620"/>
      <c r="M1065" s="621"/>
      <c r="N1065" s="620"/>
    </row>
    <row r="1066" spans="1:14" ht="11.25" customHeight="1" x14ac:dyDescent="0.25">
      <c r="A1066" s="615"/>
      <c r="B1066" s="616"/>
      <c r="C1066" s="617"/>
      <c r="D1066" s="617"/>
      <c r="E1066" s="617"/>
      <c r="F1066" s="1083"/>
      <c r="G1066" s="1084"/>
      <c r="H1066" s="1069"/>
      <c r="I1066" s="618"/>
      <c r="J1066" s="619"/>
      <c r="K1066" s="618"/>
      <c r="L1066" s="620"/>
      <c r="M1066" s="621"/>
      <c r="N1066" s="620"/>
    </row>
    <row r="1067" spans="1:14" ht="11.25" customHeight="1" x14ac:dyDescent="0.25">
      <c r="A1067" s="615"/>
      <c r="B1067" s="616"/>
      <c r="C1067" s="617"/>
      <c r="D1067" s="617"/>
      <c r="E1067" s="617"/>
      <c r="F1067" s="1083"/>
      <c r="G1067" s="1084"/>
      <c r="H1067" s="1069"/>
      <c r="I1067" s="618"/>
      <c r="J1067" s="619"/>
      <c r="K1067" s="618"/>
      <c r="L1067" s="620"/>
      <c r="M1067" s="621"/>
      <c r="N1067" s="620"/>
    </row>
    <row r="1068" spans="1:14" ht="11.25" customHeight="1" x14ac:dyDescent="0.25">
      <c r="A1068" s="615"/>
      <c r="B1068" s="616"/>
      <c r="C1068" s="617"/>
      <c r="D1068" s="617"/>
      <c r="E1068" s="617"/>
      <c r="F1068" s="1083"/>
      <c r="G1068" s="1084"/>
      <c r="H1068" s="1069"/>
      <c r="I1068" s="618"/>
      <c r="J1068" s="619"/>
      <c r="K1068" s="618"/>
      <c r="L1068" s="620"/>
      <c r="M1068" s="621"/>
      <c r="N1068" s="620"/>
    </row>
    <row r="1069" spans="1:14" ht="11.25" customHeight="1" x14ac:dyDescent="0.25">
      <c r="A1069" s="615"/>
      <c r="B1069" s="616"/>
      <c r="C1069" s="617"/>
      <c r="D1069" s="617"/>
      <c r="E1069" s="617"/>
      <c r="F1069" s="1083"/>
      <c r="G1069" s="1084"/>
      <c r="H1069" s="1069"/>
      <c r="I1069" s="618"/>
      <c r="J1069" s="619"/>
      <c r="K1069" s="618"/>
      <c r="L1069" s="620"/>
      <c r="M1069" s="621"/>
      <c r="N1069" s="620"/>
    </row>
    <row r="1070" spans="1:14" ht="11.25" customHeight="1" x14ac:dyDescent="0.25">
      <c r="A1070" s="615"/>
      <c r="B1070" s="616"/>
      <c r="C1070" s="617"/>
      <c r="D1070" s="617"/>
      <c r="E1070" s="617"/>
      <c r="F1070" s="1083"/>
      <c r="G1070" s="1084"/>
      <c r="H1070" s="1069"/>
      <c r="I1070" s="618"/>
      <c r="J1070" s="619"/>
      <c r="K1070" s="618"/>
      <c r="L1070" s="620"/>
      <c r="M1070" s="621"/>
      <c r="N1070" s="620"/>
    </row>
    <row r="1071" spans="1:14" ht="11.25" customHeight="1" x14ac:dyDescent="0.25">
      <c r="A1071" s="615"/>
      <c r="B1071" s="616"/>
      <c r="C1071" s="617"/>
      <c r="D1071" s="617"/>
      <c r="E1071" s="617"/>
      <c r="F1071" s="1083"/>
      <c r="G1071" s="1084"/>
      <c r="H1071" s="1069"/>
      <c r="I1071" s="618"/>
      <c r="J1071" s="619"/>
      <c r="K1071" s="618"/>
      <c r="L1071" s="620"/>
      <c r="M1071" s="621"/>
      <c r="N1071" s="620"/>
    </row>
    <row r="1072" spans="1:14" ht="11.25" customHeight="1" x14ac:dyDescent="0.25">
      <c r="A1072" s="615"/>
      <c r="B1072" s="616"/>
      <c r="C1072" s="617"/>
      <c r="D1072" s="617"/>
      <c r="E1072" s="617"/>
      <c r="F1072" s="1083"/>
      <c r="G1072" s="1084"/>
      <c r="H1072" s="1069"/>
      <c r="I1072" s="618"/>
      <c r="J1072" s="619"/>
      <c r="K1072" s="618"/>
      <c r="L1072" s="620"/>
      <c r="M1072" s="621"/>
      <c r="N1072" s="620"/>
    </row>
    <row r="1073" spans="1:14" ht="11.25" customHeight="1" x14ac:dyDescent="0.25">
      <c r="A1073" s="615"/>
      <c r="B1073" s="616"/>
      <c r="C1073" s="617"/>
      <c r="D1073" s="617"/>
      <c r="E1073" s="617"/>
      <c r="F1073" s="1083"/>
      <c r="G1073" s="1084"/>
      <c r="H1073" s="1069"/>
      <c r="I1073" s="618"/>
      <c r="J1073" s="619"/>
      <c r="K1073" s="618"/>
      <c r="L1073" s="620"/>
      <c r="M1073" s="621"/>
      <c r="N1073" s="620"/>
    </row>
    <row r="1074" spans="1:14" ht="11.25" customHeight="1" x14ac:dyDescent="0.25">
      <c r="A1074" s="615"/>
      <c r="B1074" s="616"/>
      <c r="C1074" s="617"/>
      <c r="D1074" s="617"/>
      <c r="E1074" s="617"/>
      <c r="F1074" s="1083"/>
      <c r="G1074" s="1084"/>
      <c r="H1074" s="1069"/>
      <c r="I1074" s="618"/>
      <c r="J1074" s="619"/>
      <c r="K1074" s="618"/>
      <c r="L1074" s="620"/>
      <c r="M1074" s="621"/>
      <c r="N1074" s="620"/>
    </row>
    <row r="1075" spans="1:14" ht="11.25" customHeight="1" x14ac:dyDescent="0.25">
      <c r="A1075" s="615"/>
      <c r="B1075" s="616"/>
      <c r="C1075" s="617"/>
      <c r="D1075" s="617"/>
      <c r="E1075" s="617"/>
      <c r="F1075" s="1083"/>
      <c r="G1075" s="1084"/>
      <c r="H1075" s="1069"/>
      <c r="I1075" s="618"/>
      <c r="J1075" s="619"/>
      <c r="K1075" s="618"/>
      <c r="L1075" s="620"/>
      <c r="M1075" s="621"/>
      <c r="N1075" s="620"/>
    </row>
    <row r="1076" spans="1:14" ht="11.25" customHeight="1" x14ac:dyDescent="0.25">
      <c r="A1076" s="615"/>
      <c r="B1076" s="616"/>
      <c r="C1076" s="617"/>
      <c r="D1076" s="617"/>
      <c r="E1076" s="617"/>
      <c r="F1076" s="1083"/>
      <c r="G1076" s="1084"/>
      <c r="H1076" s="1069"/>
      <c r="I1076" s="618"/>
      <c r="J1076" s="619"/>
      <c r="K1076" s="618"/>
      <c r="L1076" s="620"/>
      <c r="M1076" s="621"/>
      <c r="N1076" s="620"/>
    </row>
    <row r="1077" spans="1:14" ht="11.25" customHeight="1" x14ac:dyDescent="0.25">
      <c r="A1077" s="615"/>
      <c r="B1077" s="616"/>
      <c r="C1077" s="617"/>
      <c r="D1077" s="617"/>
      <c r="E1077" s="617"/>
      <c r="F1077" s="1083"/>
      <c r="G1077" s="1084"/>
      <c r="H1077" s="1069"/>
      <c r="I1077" s="618"/>
      <c r="J1077" s="619"/>
      <c r="K1077" s="618"/>
      <c r="L1077" s="620"/>
      <c r="M1077" s="621"/>
      <c r="N1077" s="620"/>
    </row>
    <row r="1078" spans="1:14" ht="11.25" customHeight="1" x14ac:dyDescent="0.25">
      <c r="A1078" s="615"/>
      <c r="B1078" s="616"/>
      <c r="C1078" s="617"/>
      <c r="D1078" s="617"/>
      <c r="E1078" s="617"/>
      <c r="F1078" s="1083"/>
      <c r="G1078" s="1084"/>
      <c r="H1078" s="1069"/>
      <c r="I1078" s="618"/>
      <c r="J1078" s="619"/>
      <c r="K1078" s="618"/>
      <c r="L1078" s="620"/>
      <c r="M1078" s="621"/>
      <c r="N1078" s="620"/>
    </row>
    <row r="1079" spans="1:14" ht="11.25" customHeight="1" x14ac:dyDescent="0.25">
      <c r="A1079" s="615"/>
      <c r="B1079" s="616"/>
      <c r="C1079" s="617"/>
      <c r="D1079" s="617"/>
      <c r="E1079" s="617"/>
      <c r="F1079" s="1083"/>
      <c r="G1079" s="1084"/>
      <c r="H1079" s="1069"/>
      <c r="I1079" s="618"/>
      <c r="J1079" s="619"/>
      <c r="K1079" s="618"/>
      <c r="L1079" s="620"/>
      <c r="M1079" s="621"/>
      <c r="N1079" s="620"/>
    </row>
    <row r="1080" spans="1:14" ht="11.25" customHeight="1" x14ac:dyDescent="0.25">
      <c r="A1080" s="615"/>
      <c r="B1080" s="616"/>
      <c r="C1080" s="617"/>
      <c r="D1080" s="617"/>
      <c r="E1080" s="617"/>
      <c r="F1080" s="1083"/>
      <c r="G1080" s="1084"/>
      <c r="H1080" s="1069"/>
      <c r="I1080" s="618"/>
      <c r="J1080" s="619"/>
      <c r="K1080" s="618"/>
      <c r="L1080" s="620"/>
      <c r="M1080" s="621"/>
      <c r="N1080" s="620"/>
    </row>
    <row r="1081" spans="1:14" ht="11.25" customHeight="1" x14ac:dyDescent="0.25">
      <c r="A1081" s="615"/>
      <c r="B1081" s="616"/>
      <c r="C1081" s="617"/>
      <c r="D1081" s="617"/>
      <c r="E1081" s="617"/>
      <c r="F1081" s="1083"/>
      <c r="G1081" s="1084"/>
      <c r="H1081" s="1069"/>
      <c r="I1081" s="618"/>
      <c r="J1081" s="619"/>
      <c r="K1081" s="618"/>
      <c r="L1081" s="620"/>
      <c r="M1081" s="621"/>
      <c r="N1081" s="620"/>
    </row>
    <row r="1082" spans="1:14" ht="11.25" customHeight="1" x14ac:dyDescent="0.25">
      <c r="A1082" s="615"/>
      <c r="B1082" s="616"/>
      <c r="C1082" s="617"/>
      <c r="D1082" s="617"/>
      <c r="E1082" s="617"/>
      <c r="F1082" s="1083"/>
      <c r="G1082" s="1084"/>
      <c r="H1082" s="1069"/>
      <c r="I1082" s="618"/>
      <c r="J1082" s="619"/>
      <c r="K1082" s="618"/>
      <c r="L1082" s="620"/>
      <c r="M1082" s="621"/>
      <c r="N1082" s="620"/>
    </row>
    <row r="1083" spans="1:14" ht="11.25" customHeight="1" x14ac:dyDescent="0.25">
      <c r="A1083" s="615"/>
      <c r="B1083" s="616"/>
      <c r="C1083" s="617"/>
      <c r="D1083" s="617"/>
      <c r="E1083" s="617"/>
      <c r="F1083" s="1083"/>
      <c r="G1083" s="1084"/>
      <c r="H1083" s="1069"/>
      <c r="I1083" s="618"/>
      <c r="J1083" s="619"/>
      <c r="K1083" s="618"/>
      <c r="L1083" s="620"/>
      <c r="M1083" s="621"/>
      <c r="N1083" s="620"/>
    </row>
    <row r="1084" spans="1:14" ht="11.25" customHeight="1" x14ac:dyDescent="0.25">
      <c r="A1084" s="615"/>
      <c r="B1084" s="616"/>
      <c r="C1084" s="617"/>
      <c r="D1084" s="617"/>
      <c r="E1084" s="617"/>
      <c r="F1084" s="1083"/>
      <c r="G1084" s="1084"/>
      <c r="H1084" s="1069"/>
      <c r="I1084" s="618"/>
      <c r="J1084" s="619"/>
      <c r="K1084" s="618"/>
      <c r="L1084" s="620"/>
      <c r="M1084" s="621"/>
      <c r="N1084" s="620"/>
    </row>
    <row r="1085" spans="1:14" ht="11.25" customHeight="1" x14ac:dyDescent="0.25">
      <c r="A1085" s="615"/>
      <c r="B1085" s="616"/>
      <c r="C1085" s="617"/>
      <c r="D1085" s="617"/>
      <c r="E1085" s="617"/>
      <c r="F1085" s="1083"/>
      <c r="G1085" s="1084"/>
      <c r="H1085" s="1069"/>
      <c r="I1085" s="618"/>
      <c r="J1085" s="619"/>
      <c r="K1085" s="618"/>
      <c r="L1085" s="620"/>
      <c r="M1085" s="621"/>
      <c r="N1085" s="620"/>
    </row>
    <row r="1086" spans="1:14" ht="11.25" customHeight="1" x14ac:dyDescent="0.25">
      <c r="A1086" s="615"/>
      <c r="B1086" s="616"/>
      <c r="C1086" s="617"/>
      <c r="D1086" s="617"/>
      <c r="E1086" s="617"/>
      <c r="F1086" s="1083"/>
      <c r="G1086" s="1084"/>
      <c r="H1086" s="1069"/>
      <c r="I1086" s="618"/>
      <c r="J1086" s="619"/>
      <c r="K1086" s="618"/>
      <c r="L1086" s="620"/>
      <c r="M1086" s="621"/>
      <c r="N1086" s="620"/>
    </row>
    <row r="1087" spans="1:14" ht="11.25" customHeight="1" x14ac:dyDescent="0.25">
      <c r="A1087" s="615"/>
      <c r="B1087" s="616"/>
      <c r="C1087" s="617"/>
      <c r="D1087" s="617"/>
      <c r="E1087" s="617"/>
      <c r="F1087" s="1083"/>
      <c r="G1087" s="1084"/>
      <c r="H1087" s="1069"/>
      <c r="I1087" s="618"/>
      <c r="J1087" s="619"/>
      <c r="K1087" s="618"/>
      <c r="L1087" s="620"/>
      <c r="M1087" s="621"/>
      <c r="N1087" s="620"/>
    </row>
    <row r="1088" spans="1:14" ht="11.25" customHeight="1" x14ac:dyDescent="0.25">
      <c r="A1088" s="615"/>
      <c r="B1088" s="616"/>
      <c r="C1088" s="617"/>
      <c r="D1088" s="617"/>
      <c r="E1088" s="617"/>
      <c r="F1088" s="1083"/>
      <c r="G1088" s="1084"/>
      <c r="H1088" s="1069"/>
      <c r="I1088" s="618"/>
      <c r="J1088" s="619"/>
      <c r="K1088" s="618"/>
      <c r="L1088" s="620"/>
      <c r="M1088" s="621"/>
      <c r="N1088" s="620"/>
    </row>
    <row r="1089" spans="1:14" ht="11.25" customHeight="1" x14ac:dyDescent="0.25">
      <c r="A1089" s="615"/>
      <c r="B1089" s="616"/>
      <c r="C1089" s="617"/>
      <c r="D1089" s="617"/>
      <c r="E1089" s="617"/>
      <c r="F1089" s="1083"/>
      <c r="G1089" s="1084"/>
      <c r="H1089" s="1069"/>
      <c r="I1089" s="618"/>
      <c r="J1089" s="619"/>
      <c r="K1089" s="618"/>
      <c r="L1089" s="620"/>
      <c r="M1089" s="621"/>
      <c r="N1089" s="620"/>
    </row>
    <row r="1090" spans="1:14" ht="11.25" customHeight="1" x14ac:dyDescent="0.25">
      <c r="A1090" s="615"/>
      <c r="B1090" s="616"/>
      <c r="C1090" s="617"/>
      <c r="D1090" s="617"/>
      <c r="E1090" s="617"/>
      <c r="F1090" s="1083"/>
      <c r="G1090" s="1084"/>
      <c r="H1090" s="1069"/>
      <c r="I1090" s="618"/>
      <c r="J1090" s="619"/>
      <c r="K1090" s="618"/>
      <c r="L1090" s="620"/>
      <c r="M1090" s="621"/>
      <c r="N1090" s="620"/>
    </row>
    <row r="1091" spans="1:14" ht="11.25" customHeight="1" x14ac:dyDescent="0.25">
      <c r="A1091" s="615"/>
      <c r="B1091" s="616"/>
      <c r="C1091" s="617"/>
      <c r="D1091" s="617"/>
      <c r="E1091" s="617"/>
      <c r="F1091" s="1083"/>
      <c r="G1091" s="1084"/>
      <c r="H1091" s="1069"/>
      <c r="I1091" s="618"/>
      <c r="J1091" s="619"/>
      <c r="K1091" s="618"/>
      <c r="L1091" s="620"/>
      <c r="M1091" s="621"/>
      <c r="N1091" s="620"/>
    </row>
    <row r="1092" spans="1:14" ht="11.25" customHeight="1" x14ac:dyDescent="0.25">
      <c r="A1092" s="615"/>
      <c r="B1092" s="616"/>
      <c r="C1092" s="617"/>
      <c r="D1092" s="617"/>
      <c r="E1092" s="617"/>
      <c r="F1092" s="1083"/>
      <c r="G1092" s="1084"/>
      <c r="H1092" s="1069"/>
      <c r="I1092" s="618"/>
      <c r="J1092" s="619"/>
      <c r="K1092" s="618"/>
      <c r="L1092" s="620"/>
      <c r="M1092" s="621"/>
      <c r="N1092" s="620"/>
    </row>
    <row r="1093" spans="1:14" ht="11.25" customHeight="1" x14ac:dyDescent="0.25">
      <c r="A1093" s="615"/>
      <c r="B1093" s="616"/>
      <c r="C1093" s="617"/>
      <c r="D1093" s="617"/>
      <c r="E1093" s="617"/>
      <c r="F1093" s="1083"/>
      <c r="G1093" s="1084"/>
      <c r="H1093" s="1069"/>
      <c r="I1093" s="618"/>
      <c r="J1093" s="619"/>
      <c r="K1093" s="618"/>
      <c r="L1093" s="620"/>
      <c r="M1093" s="621"/>
      <c r="N1093" s="620"/>
    </row>
    <row r="1094" spans="1:14" ht="11.25" customHeight="1" x14ac:dyDescent="0.25">
      <c r="A1094" s="615"/>
      <c r="B1094" s="616"/>
      <c r="C1094" s="617"/>
      <c r="D1094" s="617"/>
      <c r="E1094" s="617"/>
      <c r="F1094" s="1083"/>
      <c r="G1094" s="1084"/>
      <c r="H1094" s="1069"/>
      <c r="I1094" s="618"/>
      <c r="J1094" s="619"/>
      <c r="K1094" s="618"/>
      <c r="L1094" s="620"/>
      <c r="M1094" s="621"/>
      <c r="N1094" s="620"/>
    </row>
    <row r="1095" spans="1:14" ht="11.25" customHeight="1" x14ac:dyDescent="0.25">
      <c r="A1095" s="615"/>
      <c r="B1095" s="616"/>
      <c r="C1095" s="617"/>
      <c r="D1095" s="617"/>
      <c r="E1095" s="617"/>
      <c r="F1095" s="1083"/>
      <c r="G1095" s="1084"/>
      <c r="H1095" s="1069"/>
      <c r="I1095" s="618"/>
      <c r="J1095" s="619"/>
      <c r="K1095" s="618"/>
      <c r="L1095" s="620"/>
      <c r="M1095" s="621"/>
      <c r="N1095" s="620"/>
    </row>
    <row r="1096" spans="1:14" ht="11.25" customHeight="1" x14ac:dyDescent="0.25">
      <c r="A1096" s="615"/>
      <c r="B1096" s="616"/>
      <c r="C1096" s="617"/>
      <c r="D1096" s="617"/>
      <c r="E1096" s="617"/>
      <c r="F1096" s="1083"/>
      <c r="G1096" s="1084"/>
      <c r="H1096" s="1069"/>
      <c r="I1096" s="618"/>
      <c r="J1096" s="619"/>
      <c r="K1096" s="618"/>
      <c r="L1096" s="620"/>
      <c r="M1096" s="621"/>
      <c r="N1096" s="620"/>
    </row>
    <row r="1097" spans="1:14" ht="11.25" customHeight="1" x14ac:dyDescent="0.25">
      <c r="A1097" s="615"/>
      <c r="B1097" s="616"/>
      <c r="C1097" s="617"/>
      <c r="D1097" s="617"/>
      <c r="E1097" s="617"/>
      <c r="F1097" s="1083"/>
      <c r="G1097" s="1084"/>
      <c r="H1097" s="1069"/>
      <c r="I1097" s="618"/>
      <c r="J1097" s="619"/>
      <c r="K1097" s="618"/>
      <c r="L1097" s="620"/>
      <c r="M1097" s="621"/>
      <c r="N1097" s="620"/>
    </row>
    <row r="1098" spans="1:14" ht="11.25" customHeight="1" x14ac:dyDescent="0.25">
      <c r="A1098" s="615"/>
      <c r="B1098" s="616"/>
      <c r="C1098" s="617"/>
      <c r="D1098" s="617"/>
      <c r="E1098" s="617"/>
      <c r="F1098" s="1083"/>
      <c r="G1098" s="1084"/>
      <c r="H1098" s="1069"/>
      <c r="I1098" s="618"/>
      <c r="J1098" s="619"/>
      <c r="K1098" s="618"/>
      <c r="L1098" s="620"/>
      <c r="M1098" s="621"/>
      <c r="N1098" s="620"/>
    </row>
    <row r="1099" spans="1:14" ht="11.25" customHeight="1" x14ac:dyDescent="0.25">
      <c r="A1099" s="615"/>
      <c r="B1099" s="616"/>
      <c r="C1099" s="617"/>
      <c r="D1099" s="617"/>
      <c r="E1099" s="617"/>
      <c r="F1099" s="1083"/>
      <c r="G1099" s="1084"/>
      <c r="H1099" s="1069"/>
      <c r="I1099" s="618"/>
      <c r="J1099" s="619"/>
      <c r="K1099" s="618"/>
      <c r="L1099" s="620"/>
      <c r="M1099" s="621"/>
      <c r="N1099" s="620"/>
    </row>
    <row r="1100" spans="1:14" ht="11.25" customHeight="1" x14ac:dyDescent="0.25">
      <c r="A1100" s="615"/>
      <c r="B1100" s="616"/>
      <c r="C1100" s="617"/>
      <c r="D1100" s="617"/>
      <c r="E1100" s="617"/>
      <c r="F1100" s="1083"/>
      <c r="G1100" s="1084"/>
      <c r="H1100" s="1069"/>
      <c r="I1100" s="618"/>
      <c r="J1100" s="619"/>
      <c r="K1100" s="618"/>
      <c r="L1100" s="620"/>
      <c r="M1100" s="621"/>
      <c r="N1100" s="620"/>
    </row>
    <row r="1101" spans="1:14" ht="11.25" customHeight="1" x14ac:dyDescent="0.25">
      <c r="A1101" s="615"/>
      <c r="B1101" s="616"/>
      <c r="C1101" s="617"/>
      <c r="D1101" s="617"/>
      <c r="E1101" s="617"/>
      <c r="F1101" s="1083"/>
      <c r="G1101" s="1084"/>
      <c r="H1101" s="1069"/>
      <c r="I1101" s="618"/>
      <c r="J1101" s="619"/>
      <c r="K1101" s="618"/>
      <c r="L1101" s="620"/>
      <c r="M1101" s="621"/>
      <c r="N1101" s="620"/>
    </row>
    <row r="1102" spans="1:14" ht="11.25" customHeight="1" x14ac:dyDescent="0.25">
      <c r="A1102" s="615"/>
      <c r="B1102" s="616"/>
      <c r="C1102" s="617"/>
      <c r="D1102" s="617"/>
      <c r="E1102" s="617"/>
      <c r="F1102" s="1083"/>
      <c r="G1102" s="1084"/>
      <c r="H1102" s="1069"/>
      <c r="I1102" s="618"/>
      <c r="J1102" s="619"/>
      <c r="K1102" s="618"/>
      <c r="L1102" s="620"/>
      <c r="M1102" s="621"/>
      <c r="N1102" s="620"/>
    </row>
    <row r="1103" spans="1:14" ht="11.25" customHeight="1" x14ac:dyDescent="0.25">
      <c r="A1103" s="615"/>
      <c r="B1103" s="616"/>
      <c r="C1103" s="617"/>
      <c r="D1103" s="617"/>
      <c r="E1103" s="617"/>
      <c r="F1103" s="1083"/>
      <c r="G1103" s="1084"/>
      <c r="H1103" s="1069"/>
      <c r="I1103" s="618"/>
      <c r="J1103" s="619"/>
      <c r="K1103" s="618"/>
      <c r="L1103" s="620"/>
      <c r="M1103" s="621"/>
      <c r="N1103" s="620"/>
    </row>
    <row r="1104" spans="1:14" ht="11.25" customHeight="1" x14ac:dyDescent="0.25">
      <c r="A1104" s="615"/>
      <c r="B1104" s="616"/>
      <c r="C1104" s="617"/>
      <c r="D1104" s="617"/>
      <c r="E1104" s="617"/>
      <c r="F1104" s="1083"/>
      <c r="G1104" s="1084"/>
      <c r="H1104" s="1069"/>
      <c r="I1104" s="618"/>
      <c r="J1104" s="619"/>
      <c r="K1104" s="618"/>
      <c r="L1104" s="620"/>
      <c r="M1104" s="621"/>
      <c r="N1104" s="620"/>
    </row>
    <row r="1105" spans="1:14" ht="11.25" customHeight="1" x14ac:dyDescent="0.25">
      <c r="A1105" s="615"/>
      <c r="B1105" s="616"/>
      <c r="C1105" s="617"/>
      <c r="D1105" s="617"/>
      <c r="E1105" s="617"/>
      <c r="F1105" s="1083"/>
      <c r="G1105" s="1084"/>
      <c r="H1105" s="1069"/>
      <c r="I1105" s="618"/>
      <c r="J1105" s="619"/>
      <c r="K1105" s="618"/>
      <c r="L1105" s="620"/>
      <c r="M1105" s="621"/>
      <c r="N1105" s="620"/>
    </row>
    <row r="1106" spans="1:14" ht="11.25" customHeight="1" x14ac:dyDescent="0.25">
      <c r="A1106" s="615"/>
      <c r="B1106" s="616"/>
      <c r="C1106" s="617"/>
      <c r="D1106" s="617"/>
      <c r="E1106" s="617"/>
      <c r="F1106" s="1083"/>
      <c r="G1106" s="1084"/>
      <c r="H1106" s="1069"/>
      <c r="I1106" s="618"/>
      <c r="J1106" s="619"/>
      <c r="K1106" s="618"/>
      <c r="L1106" s="620"/>
      <c r="M1106" s="621"/>
      <c r="N1106" s="620"/>
    </row>
    <row r="1107" spans="1:14" ht="11.25" customHeight="1" x14ac:dyDescent="0.25">
      <c r="A1107" s="615"/>
      <c r="B1107" s="616"/>
      <c r="C1107" s="617"/>
      <c r="D1107" s="617"/>
      <c r="E1107" s="617"/>
      <c r="F1107" s="1083"/>
      <c r="G1107" s="1084"/>
      <c r="H1107" s="1069"/>
      <c r="I1107" s="618"/>
      <c r="J1107" s="619"/>
      <c r="K1107" s="618"/>
      <c r="L1107" s="620"/>
      <c r="M1107" s="621"/>
      <c r="N1107" s="620"/>
    </row>
    <row r="1108" spans="1:14" ht="11.25" customHeight="1" x14ac:dyDescent="0.25">
      <c r="A1108" s="615"/>
      <c r="B1108" s="616"/>
      <c r="C1108" s="617"/>
      <c r="D1108" s="617"/>
      <c r="E1108" s="617"/>
      <c r="F1108" s="1083"/>
      <c r="G1108" s="1084"/>
      <c r="H1108" s="1069"/>
      <c r="I1108" s="618"/>
      <c r="J1108" s="619"/>
      <c r="K1108" s="618"/>
      <c r="L1108" s="620"/>
      <c r="M1108" s="621"/>
      <c r="N1108" s="620"/>
    </row>
    <row r="1109" spans="1:14" ht="11.25" customHeight="1" x14ac:dyDescent="0.25">
      <c r="A1109" s="615"/>
      <c r="B1109" s="616"/>
      <c r="C1109" s="617"/>
      <c r="D1109" s="617"/>
      <c r="E1109" s="617"/>
      <c r="F1109" s="1083"/>
      <c r="G1109" s="1084"/>
      <c r="H1109" s="1069"/>
      <c r="I1109" s="618"/>
      <c r="J1109" s="619"/>
      <c r="K1109" s="618"/>
      <c r="L1109" s="620"/>
      <c r="M1109" s="621"/>
      <c r="N1109" s="620"/>
    </row>
    <row r="1110" spans="1:14" ht="11.25" customHeight="1" x14ac:dyDescent="0.25">
      <c r="A1110" s="615"/>
      <c r="B1110" s="616"/>
      <c r="C1110" s="617"/>
      <c r="D1110" s="617"/>
      <c r="E1110" s="617"/>
      <c r="F1110" s="1083"/>
      <c r="G1110" s="1084"/>
      <c r="H1110" s="1069"/>
      <c r="I1110" s="618"/>
      <c r="J1110" s="619"/>
      <c r="K1110" s="618"/>
      <c r="L1110" s="620"/>
      <c r="M1110" s="621"/>
      <c r="N1110" s="620"/>
    </row>
    <row r="1111" spans="1:14" ht="11.25" customHeight="1" x14ac:dyDescent="0.25">
      <c r="A1111" s="615"/>
      <c r="B1111" s="616"/>
      <c r="C1111" s="617"/>
      <c r="D1111" s="617"/>
      <c r="E1111" s="617"/>
      <c r="F1111" s="1083"/>
      <c r="G1111" s="1084"/>
      <c r="H1111" s="1069"/>
      <c r="I1111" s="618"/>
      <c r="J1111" s="619"/>
      <c r="K1111" s="618"/>
      <c r="L1111" s="620"/>
      <c r="M1111" s="621"/>
      <c r="N1111" s="620"/>
    </row>
    <row r="1112" spans="1:14" ht="11.25" customHeight="1" x14ac:dyDescent="0.25">
      <c r="A1112" s="615"/>
      <c r="B1112" s="616"/>
      <c r="C1112" s="617"/>
      <c r="D1112" s="617"/>
      <c r="E1112" s="617"/>
      <c r="F1112" s="1083"/>
      <c r="G1112" s="1084"/>
      <c r="H1112" s="1069"/>
      <c r="I1112" s="618"/>
      <c r="J1112" s="619"/>
      <c r="K1112" s="618"/>
      <c r="L1112" s="620"/>
      <c r="M1112" s="621"/>
      <c r="N1112" s="620"/>
    </row>
    <row r="1113" spans="1:14" ht="11.25" customHeight="1" x14ac:dyDescent="0.25">
      <c r="A1113" s="615"/>
      <c r="B1113" s="616"/>
      <c r="C1113" s="617"/>
      <c r="D1113" s="617"/>
      <c r="E1113" s="617"/>
      <c r="F1113" s="1083"/>
      <c r="G1113" s="1084"/>
      <c r="H1113" s="1069"/>
      <c r="I1113" s="618"/>
      <c r="J1113" s="619"/>
      <c r="K1113" s="618"/>
      <c r="L1113" s="620"/>
      <c r="M1113" s="621"/>
      <c r="N1113" s="620"/>
    </row>
    <row r="1114" spans="1:14" ht="11.25" customHeight="1" x14ac:dyDescent="0.25">
      <c r="A1114" s="615"/>
      <c r="B1114" s="616"/>
      <c r="C1114" s="617"/>
      <c r="D1114" s="617"/>
      <c r="E1114" s="617"/>
      <c r="F1114" s="1083"/>
      <c r="G1114" s="1084"/>
      <c r="H1114" s="1069"/>
      <c r="I1114" s="618"/>
      <c r="J1114" s="619"/>
      <c r="K1114" s="618"/>
      <c r="L1114" s="620"/>
      <c r="M1114" s="621"/>
      <c r="N1114" s="620"/>
    </row>
    <row r="1115" spans="1:14" ht="11.25" customHeight="1" x14ac:dyDescent="0.25">
      <c r="A1115" s="615"/>
      <c r="B1115" s="616"/>
      <c r="C1115" s="617"/>
      <c r="D1115" s="617"/>
      <c r="E1115" s="617"/>
      <c r="F1115" s="1083"/>
      <c r="G1115" s="1084"/>
      <c r="H1115" s="1069"/>
      <c r="I1115" s="618"/>
      <c r="J1115" s="619"/>
      <c r="K1115" s="618"/>
      <c r="L1115" s="620"/>
      <c r="M1115" s="621"/>
      <c r="N1115" s="620"/>
    </row>
    <row r="1116" spans="1:14" ht="11.25" customHeight="1" x14ac:dyDescent="0.25">
      <c r="A1116" s="615"/>
      <c r="B1116" s="616"/>
      <c r="C1116" s="617"/>
      <c r="D1116" s="617"/>
      <c r="E1116" s="617"/>
      <c r="F1116" s="1083"/>
      <c r="G1116" s="1084"/>
      <c r="H1116" s="1069"/>
      <c r="I1116" s="618"/>
      <c r="J1116" s="619"/>
      <c r="K1116" s="618"/>
      <c r="L1116" s="620"/>
      <c r="M1116" s="621"/>
      <c r="N1116" s="620"/>
    </row>
    <row r="1117" spans="1:14" ht="11.25" customHeight="1" x14ac:dyDescent="0.25">
      <c r="A1117" s="615"/>
      <c r="B1117" s="616"/>
      <c r="C1117" s="617"/>
      <c r="D1117" s="617"/>
      <c r="E1117" s="617"/>
      <c r="F1117" s="1083"/>
      <c r="G1117" s="1084"/>
      <c r="H1117" s="1069"/>
      <c r="I1117" s="618"/>
      <c r="J1117" s="619"/>
      <c r="K1117" s="618"/>
      <c r="L1117" s="620"/>
      <c r="M1117" s="621"/>
      <c r="N1117" s="620"/>
    </row>
    <row r="1118" spans="1:14" ht="11.25" customHeight="1" x14ac:dyDescent="0.25">
      <c r="A1118" s="615"/>
      <c r="B1118" s="616"/>
      <c r="C1118" s="617"/>
      <c r="D1118" s="617"/>
      <c r="E1118" s="617"/>
      <c r="F1118" s="1083"/>
      <c r="G1118" s="1084"/>
      <c r="H1118" s="1069"/>
      <c r="I1118" s="618"/>
      <c r="J1118" s="619"/>
      <c r="K1118" s="618"/>
      <c r="L1118" s="620"/>
      <c r="M1118" s="621"/>
      <c r="N1118" s="620"/>
    </row>
    <row r="1119" spans="1:14" ht="11.25" customHeight="1" x14ac:dyDescent="0.25">
      <c r="A1119" s="615"/>
      <c r="B1119" s="616"/>
      <c r="C1119" s="617"/>
      <c r="D1119" s="617"/>
      <c r="E1119" s="617"/>
      <c r="F1119" s="1083"/>
      <c r="G1119" s="1084"/>
      <c r="H1119" s="1069"/>
      <c r="I1119" s="618"/>
      <c r="J1119" s="619"/>
      <c r="K1119" s="618"/>
      <c r="L1119" s="620"/>
      <c r="M1119" s="621"/>
      <c r="N1119" s="620"/>
    </row>
    <row r="1120" spans="1:14" ht="11.25" customHeight="1" x14ac:dyDescent="0.25">
      <c r="A1120" s="615"/>
      <c r="B1120" s="616"/>
      <c r="C1120" s="617"/>
      <c r="D1120" s="617"/>
      <c r="E1120" s="617"/>
      <c r="F1120" s="1083"/>
      <c r="G1120" s="1084"/>
      <c r="H1120" s="1069"/>
      <c r="I1120" s="618"/>
      <c r="J1120" s="619"/>
      <c r="K1120" s="618"/>
      <c r="L1120" s="620"/>
      <c r="M1120" s="621"/>
      <c r="N1120" s="620"/>
    </row>
    <row r="1121" spans="1:14" ht="11.25" customHeight="1" x14ac:dyDescent="0.25">
      <c r="A1121" s="615"/>
      <c r="B1121" s="616"/>
      <c r="C1121" s="617"/>
      <c r="D1121" s="617"/>
      <c r="E1121" s="617"/>
      <c r="F1121" s="1083"/>
      <c r="G1121" s="1084"/>
      <c r="H1121" s="1069"/>
      <c r="I1121" s="618"/>
      <c r="J1121" s="619"/>
      <c r="K1121" s="618"/>
      <c r="L1121" s="620"/>
      <c r="M1121" s="621"/>
      <c r="N1121" s="620"/>
    </row>
    <row r="1122" spans="1:14" ht="11.25" customHeight="1" x14ac:dyDescent="0.25">
      <c r="A1122" s="615"/>
      <c r="B1122" s="616"/>
      <c r="C1122" s="617"/>
      <c r="D1122" s="617"/>
      <c r="E1122" s="617"/>
      <c r="F1122" s="1083"/>
      <c r="G1122" s="1084"/>
      <c r="H1122" s="1069"/>
      <c r="I1122" s="618"/>
      <c r="J1122" s="619"/>
      <c r="K1122" s="618"/>
      <c r="L1122" s="620"/>
      <c r="M1122" s="621"/>
      <c r="N1122" s="620"/>
    </row>
    <row r="1123" spans="1:14" ht="11.25" customHeight="1" x14ac:dyDescent="0.25">
      <c r="A1123" s="615"/>
      <c r="B1123" s="616"/>
      <c r="C1123" s="617"/>
      <c r="D1123" s="617"/>
      <c r="E1123" s="617"/>
      <c r="F1123" s="1083"/>
      <c r="G1123" s="1084"/>
      <c r="H1123" s="1069"/>
      <c r="I1123" s="618"/>
      <c r="J1123" s="619"/>
      <c r="K1123" s="618"/>
      <c r="L1123" s="620"/>
      <c r="M1123" s="621"/>
      <c r="N1123" s="620"/>
    </row>
    <row r="1124" spans="1:14" ht="11.25" customHeight="1" x14ac:dyDescent="0.25">
      <c r="A1124" s="615"/>
      <c r="B1124" s="616"/>
      <c r="C1124" s="617"/>
      <c r="D1124" s="617"/>
      <c r="E1124" s="617"/>
      <c r="F1124" s="1083"/>
      <c r="G1124" s="1084"/>
      <c r="H1124" s="1069"/>
      <c r="I1124" s="618"/>
      <c r="J1124" s="619"/>
      <c r="K1124" s="618"/>
      <c r="L1124" s="620"/>
      <c r="M1124" s="621"/>
      <c r="N1124" s="620"/>
    </row>
    <row r="1125" spans="1:14" ht="11.25" customHeight="1" x14ac:dyDescent="0.25">
      <c r="A1125" s="615"/>
      <c r="B1125" s="616"/>
      <c r="C1125" s="617"/>
      <c r="D1125" s="617"/>
      <c r="E1125" s="617"/>
      <c r="F1125" s="1083"/>
      <c r="G1125" s="1084"/>
      <c r="H1125" s="1069"/>
      <c r="I1125" s="618"/>
      <c r="J1125" s="619"/>
      <c r="K1125" s="618"/>
      <c r="L1125" s="620"/>
      <c r="M1125" s="621"/>
      <c r="N1125" s="620"/>
    </row>
    <row r="1126" spans="1:14" ht="11.25" customHeight="1" x14ac:dyDescent="0.25">
      <c r="A1126" s="615"/>
      <c r="B1126" s="616"/>
      <c r="C1126" s="617"/>
      <c r="D1126" s="617"/>
      <c r="E1126" s="617"/>
      <c r="F1126" s="1083"/>
      <c r="G1126" s="1084"/>
      <c r="H1126" s="1069"/>
      <c r="I1126" s="618"/>
      <c r="J1126" s="619"/>
      <c r="K1126" s="618"/>
      <c r="L1126" s="620"/>
      <c r="M1126" s="621"/>
      <c r="N1126" s="620"/>
    </row>
    <row r="1127" spans="1:14" ht="11.25" customHeight="1" x14ac:dyDescent="0.25">
      <c r="A1127" s="615"/>
      <c r="B1127" s="616"/>
      <c r="C1127" s="617"/>
      <c r="D1127" s="617"/>
      <c r="E1127" s="617"/>
      <c r="F1127" s="1083"/>
      <c r="G1127" s="1084"/>
      <c r="H1127" s="1069"/>
      <c r="I1127" s="618"/>
      <c r="J1127" s="619"/>
      <c r="K1127" s="618"/>
      <c r="L1127" s="620"/>
      <c r="M1127" s="621"/>
      <c r="N1127" s="620"/>
    </row>
    <row r="1128" spans="1:14" ht="11.25" customHeight="1" x14ac:dyDescent="0.25">
      <c r="A1128" s="615"/>
      <c r="B1128" s="616"/>
      <c r="C1128" s="617"/>
      <c r="D1128" s="617"/>
      <c r="E1128" s="617"/>
      <c r="F1128" s="1083"/>
      <c r="G1128" s="1084"/>
      <c r="H1128" s="1069"/>
      <c r="I1128" s="618"/>
      <c r="J1128" s="619"/>
      <c r="K1128" s="618"/>
      <c r="L1128" s="620"/>
      <c r="M1128" s="621"/>
      <c r="N1128" s="620"/>
    </row>
    <row r="1129" spans="1:14" ht="11.25" customHeight="1" x14ac:dyDescent="0.25">
      <c r="A1129" s="615"/>
      <c r="B1129" s="616"/>
      <c r="C1129" s="617"/>
      <c r="D1129" s="617"/>
      <c r="E1129" s="617"/>
      <c r="F1129" s="1083"/>
      <c r="G1129" s="1084"/>
      <c r="H1129" s="1069"/>
      <c r="I1129" s="618"/>
      <c r="J1129" s="619"/>
      <c r="K1129" s="618"/>
      <c r="L1129" s="620"/>
      <c r="M1129" s="621"/>
      <c r="N1129" s="620"/>
    </row>
    <row r="1130" spans="1:14" ht="11.25" customHeight="1" x14ac:dyDescent="0.25">
      <c r="A1130" s="615"/>
      <c r="B1130" s="616"/>
      <c r="C1130" s="617"/>
      <c r="D1130" s="617"/>
      <c r="E1130" s="617"/>
      <c r="F1130" s="1083"/>
      <c r="G1130" s="1084"/>
      <c r="H1130" s="1069"/>
      <c r="I1130" s="618"/>
      <c r="J1130" s="619"/>
      <c r="K1130" s="618"/>
      <c r="L1130" s="620"/>
      <c r="M1130" s="621"/>
      <c r="N1130" s="620"/>
    </row>
    <row r="1131" spans="1:14" ht="11.25" customHeight="1" x14ac:dyDescent="0.25">
      <c r="A1131" s="615"/>
      <c r="B1131" s="616"/>
      <c r="C1131" s="617"/>
      <c r="D1131" s="617"/>
      <c r="E1131" s="617"/>
      <c r="F1131" s="1083"/>
      <c r="G1131" s="1084"/>
      <c r="H1131" s="1069"/>
      <c r="I1131" s="618"/>
      <c r="J1131" s="619"/>
      <c r="K1131" s="618"/>
      <c r="L1131" s="620"/>
      <c r="M1131" s="621"/>
      <c r="N1131" s="620"/>
    </row>
    <row r="1132" spans="1:14" ht="11.25" customHeight="1" x14ac:dyDescent="0.25">
      <c r="A1132" s="615"/>
      <c r="B1132" s="616"/>
      <c r="C1132" s="617"/>
      <c r="D1132" s="617"/>
      <c r="E1132" s="617"/>
      <c r="F1132" s="1083"/>
      <c r="G1132" s="1084"/>
      <c r="H1132" s="1069"/>
      <c r="I1132" s="618"/>
      <c r="J1132" s="619"/>
      <c r="K1132" s="618"/>
      <c r="L1132" s="620"/>
      <c r="M1132" s="621"/>
      <c r="N1132" s="620"/>
    </row>
    <row r="1133" spans="1:14" ht="11.25" customHeight="1" x14ac:dyDescent="0.25">
      <c r="A1133" s="615"/>
      <c r="B1133" s="616"/>
      <c r="C1133" s="617"/>
      <c r="D1133" s="617"/>
      <c r="E1133" s="617"/>
      <c r="F1133" s="1083"/>
      <c r="G1133" s="1084"/>
      <c r="H1133" s="1069"/>
      <c r="I1133" s="618"/>
      <c r="J1133" s="619"/>
      <c r="K1133" s="618"/>
      <c r="L1133" s="620"/>
      <c r="M1133" s="621"/>
      <c r="N1133" s="620"/>
    </row>
    <row r="1134" spans="1:14" ht="11.25" customHeight="1" x14ac:dyDescent="0.25">
      <c r="A1134" s="615"/>
      <c r="B1134" s="616"/>
      <c r="C1134" s="617"/>
      <c r="D1134" s="617"/>
      <c r="E1134" s="617"/>
      <c r="F1134" s="1083"/>
      <c r="G1134" s="1084"/>
      <c r="H1134" s="1069"/>
      <c r="I1134" s="618"/>
      <c r="J1134" s="619"/>
      <c r="K1134" s="618"/>
      <c r="L1134" s="620"/>
      <c r="M1134" s="621"/>
      <c r="N1134" s="620"/>
    </row>
    <row r="1135" spans="1:14" ht="11.25" customHeight="1" x14ac:dyDescent="0.25">
      <c r="A1135" s="615"/>
      <c r="B1135" s="616"/>
      <c r="C1135" s="617"/>
      <c r="D1135" s="617"/>
      <c r="E1135" s="617"/>
      <c r="F1135" s="1083"/>
      <c r="G1135" s="1084"/>
      <c r="H1135" s="1069"/>
      <c r="I1135" s="618"/>
      <c r="J1135" s="619"/>
      <c r="K1135" s="618"/>
      <c r="L1135" s="620"/>
      <c r="M1135" s="621"/>
      <c r="N1135" s="620"/>
    </row>
    <row r="1136" spans="1:14" ht="11.25" customHeight="1" x14ac:dyDescent="0.25">
      <c r="A1136" s="615"/>
      <c r="B1136" s="616"/>
      <c r="C1136" s="617"/>
      <c r="D1136" s="617"/>
      <c r="E1136" s="617"/>
      <c r="F1136" s="1083"/>
      <c r="G1136" s="1084"/>
      <c r="H1136" s="1069"/>
      <c r="I1136" s="618"/>
      <c r="J1136" s="619"/>
      <c r="K1136" s="618"/>
      <c r="L1136" s="620"/>
      <c r="M1136" s="621"/>
      <c r="N1136" s="620"/>
    </row>
    <row r="1137" spans="1:14" ht="11.25" customHeight="1" x14ac:dyDescent="0.25">
      <c r="A1137" s="615"/>
      <c r="B1137" s="616"/>
      <c r="C1137" s="617"/>
      <c r="D1137" s="617"/>
      <c r="E1137" s="617"/>
      <c r="F1137" s="1083"/>
      <c r="G1137" s="1084"/>
      <c r="H1137" s="1069"/>
      <c r="I1137" s="618"/>
      <c r="J1137" s="619"/>
      <c r="K1137" s="618"/>
      <c r="L1137" s="620"/>
      <c r="M1137" s="621"/>
      <c r="N1137" s="620"/>
    </row>
    <row r="1138" spans="1:14" ht="11.25" customHeight="1" x14ac:dyDescent="0.25">
      <c r="A1138" s="615"/>
      <c r="B1138" s="616"/>
      <c r="C1138" s="617"/>
      <c r="D1138" s="617"/>
      <c r="E1138" s="617"/>
      <c r="F1138" s="1083"/>
      <c r="G1138" s="1084"/>
      <c r="H1138" s="1069"/>
      <c r="I1138" s="618"/>
      <c r="J1138" s="619"/>
      <c r="K1138" s="618"/>
      <c r="L1138" s="620"/>
      <c r="M1138" s="621"/>
      <c r="N1138" s="620"/>
    </row>
    <row r="1139" spans="1:14" ht="11.25" customHeight="1" x14ac:dyDescent="0.25">
      <c r="A1139" s="615"/>
      <c r="B1139" s="616"/>
      <c r="C1139" s="617"/>
      <c r="D1139" s="617"/>
      <c r="E1139" s="617"/>
      <c r="F1139" s="1083"/>
      <c r="G1139" s="1084"/>
      <c r="H1139" s="1069"/>
      <c r="I1139" s="618"/>
      <c r="J1139" s="619"/>
      <c r="K1139" s="618"/>
      <c r="L1139" s="620"/>
      <c r="M1139" s="621"/>
      <c r="N1139" s="620"/>
    </row>
    <row r="1140" spans="1:14" ht="11.25" customHeight="1" x14ac:dyDescent="0.25">
      <c r="A1140" s="615"/>
      <c r="B1140" s="616"/>
      <c r="C1140" s="617"/>
      <c r="D1140" s="617"/>
      <c r="E1140" s="617"/>
      <c r="F1140" s="1083"/>
      <c r="G1140" s="1084"/>
      <c r="H1140" s="1069"/>
      <c r="I1140" s="618"/>
      <c r="J1140" s="619"/>
      <c r="K1140" s="618"/>
      <c r="L1140" s="620"/>
      <c r="M1140" s="621"/>
      <c r="N1140" s="620"/>
    </row>
    <row r="1141" spans="1:14" ht="11.25" customHeight="1" x14ac:dyDescent="0.25">
      <c r="A1141" s="615"/>
      <c r="B1141" s="616"/>
      <c r="C1141" s="617"/>
      <c r="D1141" s="617"/>
      <c r="E1141" s="617"/>
      <c r="F1141" s="1083"/>
      <c r="G1141" s="1084"/>
      <c r="H1141" s="1069"/>
      <c r="I1141" s="618"/>
      <c r="J1141" s="619"/>
      <c r="K1141" s="618"/>
      <c r="L1141" s="620"/>
      <c r="M1141" s="621"/>
      <c r="N1141" s="620"/>
    </row>
    <row r="1142" spans="1:14" ht="11.25" customHeight="1" x14ac:dyDescent="0.25">
      <c r="A1142" s="615"/>
      <c r="B1142" s="616"/>
      <c r="C1142" s="617"/>
      <c r="D1142" s="617"/>
      <c r="E1142" s="617"/>
      <c r="F1142" s="1083"/>
      <c r="G1142" s="1084"/>
      <c r="H1142" s="1069"/>
      <c r="I1142" s="618"/>
      <c r="J1142" s="619"/>
      <c r="K1142" s="618"/>
      <c r="L1142" s="620"/>
      <c r="M1142" s="621"/>
      <c r="N1142" s="620"/>
    </row>
    <row r="1143" spans="1:14" ht="11.25" customHeight="1" x14ac:dyDescent="0.25">
      <c r="A1143" s="615"/>
      <c r="B1143" s="616"/>
      <c r="C1143" s="617"/>
      <c r="D1143" s="617"/>
      <c r="E1143" s="617"/>
      <c r="F1143" s="1083"/>
      <c r="G1143" s="1084"/>
      <c r="H1143" s="1069"/>
      <c r="I1143" s="618"/>
      <c r="J1143" s="619"/>
      <c r="K1143" s="618"/>
      <c r="L1143" s="620"/>
      <c r="M1143" s="621"/>
      <c r="N1143" s="620"/>
    </row>
    <row r="1144" spans="1:14" ht="11.25" customHeight="1" x14ac:dyDescent="0.25">
      <c r="A1144" s="615"/>
      <c r="B1144" s="616"/>
      <c r="C1144" s="617"/>
      <c r="D1144" s="617"/>
      <c r="E1144" s="617"/>
      <c r="F1144" s="1083"/>
      <c r="G1144" s="1084"/>
      <c r="H1144" s="1069"/>
      <c r="I1144" s="618"/>
      <c r="J1144" s="619"/>
      <c r="K1144" s="618"/>
      <c r="L1144" s="620"/>
      <c r="M1144" s="621"/>
      <c r="N1144" s="620"/>
    </row>
    <row r="1145" spans="1:14" ht="11.25" customHeight="1" x14ac:dyDescent="0.25">
      <c r="A1145" s="615"/>
      <c r="B1145" s="616"/>
      <c r="C1145" s="617"/>
      <c r="D1145" s="617"/>
      <c r="E1145" s="617"/>
      <c r="F1145" s="1083"/>
      <c r="G1145" s="1084"/>
      <c r="H1145" s="1069"/>
      <c r="I1145" s="618"/>
      <c r="J1145" s="619"/>
      <c r="K1145" s="618"/>
      <c r="L1145" s="620"/>
      <c r="M1145" s="621"/>
      <c r="N1145" s="620"/>
    </row>
    <row r="1146" spans="1:14" ht="11.25" customHeight="1" x14ac:dyDescent="0.25">
      <c r="A1146" s="615"/>
      <c r="B1146" s="616"/>
      <c r="C1146" s="617"/>
      <c r="D1146" s="617"/>
      <c r="E1146" s="617"/>
      <c r="F1146" s="1083"/>
      <c r="G1146" s="1084"/>
      <c r="H1146" s="1069"/>
      <c r="I1146" s="618"/>
      <c r="J1146" s="619"/>
      <c r="K1146" s="618"/>
      <c r="L1146" s="620"/>
      <c r="M1146" s="621"/>
      <c r="N1146" s="620"/>
    </row>
    <row r="1147" spans="1:14" ht="11.25" customHeight="1" x14ac:dyDescent="0.25">
      <c r="A1147" s="615"/>
      <c r="B1147" s="616"/>
      <c r="C1147" s="617"/>
      <c r="D1147" s="617"/>
      <c r="E1147" s="617"/>
      <c r="F1147" s="1083"/>
      <c r="G1147" s="1084"/>
      <c r="H1147" s="1069"/>
      <c r="I1147" s="618"/>
      <c r="J1147" s="619"/>
      <c r="K1147" s="618"/>
      <c r="L1147" s="620"/>
      <c r="M1147" s="621"/>
      <c r="N1147" s="620"/>
    </row>
    <row r="1148" spans="1:14" ht="11.25" customHeight="1" x14ac:dyDescent="0.25">
      <c r="A1148" s="615"/>
      <c r="B1148" s="616"/>
      <c r="C1148" s="617"/>
      <c r="D1148" s="617"/>
      <c r="E1148" s="617"/>
      <c r="F1148" s="1083"/>
      <c r="G1148" s="1084"/>
      <c r="H1148" s="1069"/>
      <c r="I1148" s="618"/>
      <c r="J1148" s="619"/>
      <c r="K1148" s="618"/>
      <c r="L1148" s="620"/>
      <c r="M1148" s="621"/>
      <c r="N1148" s="620"/>
    </row>
    <row r="1149" spans="1:14" ht="11.25" customHeight="1" x14ac:dyDescent="0.25">
      <c r="A1149" s="615"/>
      <c r="B1149" s="616"/>
      <c r="C1149" s="617"/>
      <c r="D1149" s="617"/>
      <c r="E1149" s="617"/>
      <c r="F1149" s="1083"/>
      <c r="G1149" s="1084"/>
      <c r="H1149" s="1069"/>
      <c r="I1149" s="618"/>
      <c r="J1149" s="619"/>
      <c r="K1149" s="618"/>
      <c r="L1149" s="620"/>
      <c r="M1149" s="621"/>
      <c r="N1149" s="620"/>
    </row>
    <row r="1150" spans="1:14" ht="11.25" customHeight="1" x14ac:dyDescent="0.25">
      <c r="A1150" s="615"/>
      <c r="B1150" s="616"/>
      <c r="C1150" s="617"/>
      <c r="D1150" s="617"/>
      <c r="E1150" s="617"/>
      <c r="F1150" s="1083"/>
      <c r="G1150" s="1084"/>
      <c r="H1150" s="1069"/>
      <c r="I1150" s="618"/>
      <c r="J1150" s="619"/>
      <c r="K1150" s="618"/>
      <c r="L1150" s="620"/>
      <c r="M1150" s="621"/>
      <c r="N1150" s="620"/>
    </row>
    <row r="1151" spans="1:14" ht="11.25" customHeight="1" x14ac:dyDescent="0.25">
      <c r="A1151" s="615"/>
      <c r="B1151" s="616"/>
      <c r="C1151" s="617"/>
      <c r="D1151" s="617"/>
      <c r="E1151" s="617"/>
      <c r="F1151" s="1083"/>
      <c r="G1151" s="1084"/>
      <c r="H1151" s="1069"/>
      <c r="I1151" s="618"/>
      <c r="J1151" s="619"/>
      <c r="K1151" s="618"/>
      <c r="L1151" s="620"/>
      <c r="M1151" s="621"/>
      <c r="N1151" s="620"/>
    </row>
    <row r="1152" spans="1:14" ht="11.25" customHeight="1" x14ac:dyDescent="0.25">
      <c r="A1152" s="615"/>
      <c r="B1152" s="616"/>
      <c r="C1152" s="617"/>
      <c r="D1152" s="617"/>
      <c r="E1152" s="617"/>
      <c r="F1152" s="1083"/>
      <c r="G1152" s="1084"/>
      <c r="H1152" s="1069"/>
      <c r="I1152" s="618"/>
      <c r="J1152" s="619"/>
      <c r="K1152" s="618"/>
      <c r="L1152" s="620"/>
      <c r="M1152" s="621"/>
      <c r="N1152" s="620"/>
    </row>
    <row r="1153" spans="1:14" ht="11.25" customHeight="1" x14ac:dyDescent="0.25">
      <c r="A1153" s="615"/>
      <c r="B1153" s="616"/>
      <c r="C1153" s="617"/>
      <c r="D1153" s="617"/>
      <c r="E1153" s="617"/>
      <c r="F1153" s="1083"/>
      <c r="G1153" s="1084"/>
      <c r="H1153" s="1069"/>
      <c r="I1153" s="618"/>
      <c r="J1153" s="619"/>
      <c r="K1153" s="618"/>
      <c r="L1153" s="620"/>
      <c r="M1153" s="621"/>
      <c r="N1153" s="620"/>
    </row>
    <row r="1154" spans="1:14" ht="11.25" customHeight="1" x14ac:dyDescent="0.25">
      <c r="A1154" s="615"/>
      <c r="B1154" s="616"/>
      <c r="C1154" s="617"/>
      <c r="D1154" s="617"/>
      <c r="E1154" s="617"/>
      <c r="F1154" s="1083"/>
      <c r="G1154" s="1084"/>
      <c r="H1154" s="1069"/>
      <c r="I1154" s="618"/>
      <c r="J1154" s="619"/>
      <c r="K1154" s="618"/>
      <c r="L1154" s="620"/>
      <c r="M1154" s="621"/>
      <c r="N1154" s="620"/>
    </row>
    <row r="1155" spans="1:14" ht="11.25" customHeight="1" x14ac:dyDescent="0.25">
      <c r="A1155" s="615"/>
      <c r="B1155" s="616"/>
      <c r="C1155" s="617"/>
      <c r="D1155" s="617"/>
      <c r="E1155" s="617"/>
      <c r="F1155" s="1083"/>
      <c r="G1155" s="1084"/>
      <c r="H1155" s="1069"/>
      <c r="I1155" s="618"/>
      <c r="J1155" s="619"/>
      <c r="K1155" s="618"/>
      <c r="L1155" s="620"/>
      <c r="M1155" s="621"/>
      <c r="N1155" s="620"/>
    </row>
    <row r="1156" spans="1:14" ht="11.25" customHeight="1" x14ac:dyDescent="0.25">
      <c r="A1156" s="615"/>
      <c r="B1156" s="616"/>
      <c r="C1156" s="617"/>
      <c r="D1156" s="617"/>
      <c r="E1156" s="617"/>
      <c r="F1156" s="1083"/>
      <c r="G1156" s="1084"/>
      <c r="H1156" s="1069"/>
      <c r="I1156" s="618"/>
      <c r="J1156" s="619"/>
      <c r="K1156" s="618"/>
      <c r="L1156" s="620"/>
      <c r="M1156" s="621"/>
      <c r="N1156" s="620"/>
    </row>
    <row r="1157" spans="1:14" ht="11.25" customHeight="1" x14ac:dyDescent="0.25">
      <c r="A1157" s="615"/>
      <c r="B1157" s="616"/>
      <c r="C1157" s="617"/>
      <c r="D1157" s="617"/>
      <c r="E1157" s="617"/>
      <c r="F1157" s="1083"/>
      <c r="G1157" s="1084"/>
      <c r="H1157" s="1069"/>
      <c r="I1157" s="618"/>
      <c r="J1157" s="619"/>
      <c r="K1157" s="618"/>
      <c r="L1157" s="620"/>
      <c r="M1157" s="621"/>
      <c r="N1157" s="620"/>
    </row>
    <row r="1158" spans="1:14" ht="11.25" customHeight="1" x14ac:dyDescent="0.25">
      <c r="A1158" s="615"/>
      <c r="B1158" s="616"/>
      <c r="C1158" s="617"/>
      <c r="D1158" s="617"/>
      <c r="E1158" s="617"/>
      <c r="F1158" s="1083"/>
      <c r="G1158" s="1084"/>
      <c r="H1158" s="1069"/>
      <c r="I1158" s="618"/>
      <c r="J1158" s="619"/>
      <c r="K1158" s="618"/>
      <c r="L1158" s="620"/>
      <c r="M1158" s="621"/>
      <c r="N1158" s="620"/>
    </row>
    <row r="1159" spans="1:14" ht="11.25" customHeight="1" x14ac:dyDescent="0.25">
      <c r="A1159" s="615"/>
      <c r="B1159" s="616"/>
      <c r="C1159" s="617"/>
      <c r="D1159" s="617"/>
      <c r="E1159" s="617"/>
      <c r="F1159" s="1083"/>
      <c r="G1159" s="1084"/>
      <c r="H1159" s="1069"/>
      <c r="I1159" s="618"/>
      <c r="J1159" s="619"/>
      <c r="K1159" s="618"/>
      <c r="L1159" s="620"/>
      <c r="M1159" s="621"/>
      <c r="N1159" s="620"/>
    </row>
    <row r="1160" spans="1:14" ht="11.25" customHeight="1" x14ac:dyDescent="0.25">
      <c r="A1160" s="615"/>
      <c r="B1160" s="616"/>
      <c r="C1160" s="617"/>
      <c r="D1160" s="617"/>
      <c r="E1160" s="617"/>
      <c r="F1160" s="1083"/>
      <c r="G1160" s="1084"/>
      <c r="H1160" s="1069"/>
      <c r="I1160" s="618"/>
      <c r="J1160" s="619"/>
      <c r="K1160" s="618"/>
      <c r="L1160" s="620"/>
      <c r="M1160" s="621"/>
      <c r="N1160" s="620"/>
    </row>
    <row r="1161" spans="1:14" ht="11.25" customHeight="1" x14ac:dyDescent="0.25">
      <c r="A1161" s="615"/>
      <c r="B1161" s="616"/>
      <c r="C1161" s="617"/>
      <c r="D1161" s="617"/>
      <c r="E1161" s="617"/>
      <c r="F1161" s="1083"/>
      <c r="G1161" s="1084"/>
      <c r="H1161" s="1069"/>
      <c r="I1161" s="618"/>
      <c r="J1161" s="619"/>
      <c r="K1161" s="618"/>
      <c r="L1161" s="620"/>
      <c r="M1161" s="621"/>
      <c r="N1161" s="620"/>
    </row>
    <row r="1162" spans="1:14" ht="11.25" customHeight="1" x14ac:dyDescent="0.25">
      <c r="A1162" s="615"/>
      <c r="B1162" s="616"/>
      <c r="C1162" s="617"/>
      <c r="D1162" s="617"/>
      <c r="E1162" s="617"/>
      <c r="F1162" s="1083"/>
      <c r="G1162" s="1084"/>
      <c r="H1162" s="1069"/>
      <c r="I1162" s="618"/>
      <c r="J1162" s="619"/>
      <c r="K1162" s="618"/>
      <c r="L1162" s="620"/>
      <c r="M1162" s="621"/>
      <c r="N1162" s="620"/>
    </row>
    <row r="1163" spans="1:14" ht="11.25" customHeight="1" x14ac:dyDescent="0.25">
      <c r="A1163" s="615"/>
      <c r="B1163" s="616"/>
      <c r="C1163" s="617"/>
      <c r="D1163" s="617"/>
      <c r="E1163" s="617"/>
      <c r="F1163" s="1083"/>
      <c r="G1163" s="1084"/>
      <c r="H1163" s="1069"/>
      <c r="I1163" s="618"/>
      <c r="J1163" s="619"/>
      <c r="K1163" s="618"/>
      <c r="L1163" s="620"/>
      <c r="M1163" s="621"/>
      <c r="N1163" s="620"/>
    </row>
    <row r="1164" spans="1:14" ht="11.25" customHeight="1" x14ac:dyDescent="0.25">
      <c r="A1164" s="615"/>
      <c r="B1164" s="616"/>
      <c r="C1164" s="617"/>
      <c r="D1164" s="617"/>
      <c r="E1164" s="617"/>
      <c r="F1164" s="1083"/>
      <c r="G1164" s="1084"/>
      <c r="H1164" s="1069"/>
      <c r="I1164" s="618"/>
      <c r="J1164" s="619"/>
      <c r="K1164" s="618"/>
      <c r="L1164" s="620"/>
      <c r="M1164" s="621"/>
      <c r="N1164" s="620"/>
    </row>
    <row r="1165" spans="1:14" ht="11.25" customHeight="1" x14ac:dyDescent="0.25">
      <c r="A1165" s="615"/>
      <c r="B1165" s="616"/>
      <c r="C1165" s="617"/>
      <c r="D1165" s="617"/>
      <c r="E1165" s="617"/>
      <c r="F1165" s="1083"/>
      <c r="G1165" s="1084"/>
      <c r="H1165" s="1069"/>
      <c r="I1165" s="618"/>
      <c r="J1165" s="619"/>
      <c r="K1165" s="618"/>
      <c r="L1165" s="620"/>
      <c r="M1165" s="621"/>
      <c r="N1165" s="620"/>
    </row>
    <row r="1166" spans="1:14" ht="11.25" customHeight="1" x14ac:dyDescent="0.25">
      <c r="A1166" s="615"/>
      <c r="B1166" s="616"/>
      <c r="C1166" s="617"/>
      <c r="D1166" s="617"/>
      <c r="E1166" s="617"/>
      <c r="F1166" s="1083"/>
      <c r="G1166" s="1084"/>
      <c r="H1166" s="1069"/>
      <c r="I1166" s="618"/>
      <c r="J1166" s="619"/>
      <c r="K1166" s="618"/>
      <c r="L1166" s="620"/>
      <c r="M1166" s="621"/>
      <c r="N1166" s="620"/>
    </row>
    <row r="1167" spans="1:14" ht="11.25" customHeight="1" x14ac:dyDescent="0.25">
      <c r="A1167" s="615"/>
      <c r="B1167" s="616"/>
      <c r="C1167" s="617"/>
      <c r="D1167" s="617"/>
      <c r="E1167" s="617"/>
      <c r="F1167" s="1083"/>
      <c r="G1167" s="1084"/>
      <c r="H1167" s="1069"/>
      <c r="I1167" s="618"/>
      <c r="J1167" s="619"/>
      <c r="K1167" s="618"/>
      <c r="L1167" s="620"/>
      <c r="M1167" s="621"/>
      <c r="N1167" s="620"/>
    </row>
    <row r="1168" spans="1:14" ht="11.25" customHeight="1" x14ac:dyDescent="0.25">
      <c r="A1168" s="615"/>
      <c r="B1168" s="616"/>
      <c r="C1168" s="617"/>
      <c r="D1168" s="617"/>
      <c r="E1168" s="617"/>
      <c r="F1168" s="1083"/>
      <c r="G1168" s="1084"/>
      <c r="H1168" s="1069"/>
      <c r="I1168" s="618"/>
      <c r="J1168" s="619"/>
      <c r="K1168" s="618"/>
      <c r="L1168" s="620"/>
      <c r="M1168" s="621"/>
      <c r="N1168" s="620"/>
    </row>
    <row r="1169" spans="1:14" ht="11.25" customHeight="1" x14ac:dyDescent="0.25">
      <c r="A1169" s="615"/>
      <c r="B1169" s="616"/>
      <c r="C1169" s="617"/>
      <c r="D1169" s="617"/>
      <c r="E1169" s="617"/>
      <c r="F1169" s="1083"/>
      <c r="G1169" s="1084"/>
      <c r="H1169" s="1069"/>
      <c r="I1169" s="618"/>
      <c r="J1169" s="619"/>
      <c r="K1169" s="618"/>
      <c r="L1169" s="620"/>
      <c r="M1169" s="621"/>
      <c r="N1169" s="620"/>
    </row>
    <row r="1170" spans="1:14" ht="11.25" customHeight="1" x14ac:dyDescent="0.25">
      <c r="A1170" s="615"/>
      <c r="B1170" s="616"/>
      <c r="C1170" s="617"/>
      <c r="D1170" s="617"/>
      <c r="E1170" s="617"/>
      <c r="F1170" s="1083"/>
      <c r="G1170" s="1084"/>
      <c r="H1170" s="1069"/>
      <c r="I1170" s="618"/>
      <c r="J1170" s="619"/>
      <c r="K1170" s="618"/>
      <c r="L1170" s="620"/>
      <c r="M1170" s="621"/>
      <c r="N1170" s="620"/>
    </row>
    <row r="1171" spans="1:14" ht="11.25" customHeight="1" x14ac:dyDescent="0.25">
      <c r="A1171" s="615"/>
      <c r="B1171" s="616"/>
      <c r="C1171" s="617"/>
      <c r="D1171" s="617"/>
      <c r="E1171" s="617"/>
      <c r="F1171" s="1083"/>
      <c r="G1171" s="1084"/>
      <c r="H1171" s="1069"/>
      <c r="I1171" s="618"/>
      <c r="J1171" s="619"/>
      <c r="K1171" s="618"/>
      <c r="L1171" s="620"/>
      <c r="M1171" s="621"/>
      <c r="N1171" s="620"/>
    </row>
    <row r="1172" spans="1:14" ht="11.25" customHeight="1" x14ac:dyDescent="0.25">
      <c r="A1172" s="615"/>
      <c r="B1172" s="616"/>
      <c r="C1172" s="617"/>
      <c r="D1172" s="617"/>
      <c r="E1172" s="617"/>
      <c r="F1172" s="1083"/>
      <c r="G1172" s="1084"/>
      <c r="H1172" s="1069"/>
      <c r="I1172" s="618"/>
      <c r="J1172" s="619"/>
      <c r="K1172" s="618"/>
      <c r="L1172" s="620"/>
      <c r="M1172" s="621"/>
      <c r="N1172" s="620"/>
    </row>
    <row r="1173" spans="1:14" ht="11.25" customHeight="1" x14ac:dyDescent="0.25">
      <c r="A1173" s="615"/>
      <c r="B1173" s="616"/>
      <c r="C1173" s="617"/>
      <c r="D1173" s="617"/>
      <c r="E1173" s="617"/>
      <c r="F1173" s="1083"/>
      <c r="G1173" s="1084"/>
      <c r="H1173" s="1069"/>
      <c r="I1173" s="618"/>
      <c r="J1173" s="619"/>
      <c r="K1173" s="618"/>
      <c r="L1173" s="620"/>
      <c r="M1173" s="621"/>
      <c r="N1173" s="620"/>
    </row>
    <row r="1174" spans="1:14" ht="11.25" customHeight="1" x14ac:dyDescent="0.25">
      <c r="A1174" s="615"/>
      <c r="B1174" s="616"/>
      <c r="C1174" s="617"/>
      <c r="D1174" s="617"/>
      <c r="E1174" s="617"/>
      <c r="F1174" s="1083"/>
      <c r="G1174" s="1084"/>
      <c r="H1174" s="1069"/>
      <c r="I1174" s="618"/>
      <c r="J1174" s="619"/>
      <c r="K1174" s="618"/>
      <c r="L1174" s="620"/>
      <c r="M1174" s="621"/>
      <c r="N1174" s="620"/>
    </row>
    <row r="1175" spans="1:14" ht="11.25" customHeight="1" x14ac:dyDescent="0.25">
      <c r="A1175" s="615"/>
      <c r="B1175" s="616"/>
      <c r="C1175" s="617"/>
      <c r="D1175" s="617"/>
      <c r="E1175" s="617"/>
      <c r="F1175" s="1083"/>
      <c r="G1175" s="1084"/>
      <c r="H1175" s="1069"/>
      <c r="I1175" s="618"/>
      <c r="J1175" s="619"/>
      <c r="K1175" s="618"/>
      <c r="L1175" s="620"/>
      <c r="M1175" s="621"/>
      <c r="N1175" s="620"/>
    </row>
    <row r="1176" spans="1:14" ht="11.25" customHeight="1" x14ac:dyDescent="0.25">
      <c r="A1176" s="615"/>
      <c r="B1176" s="616"/>
      <c r="C1176" s="617"/>
      <c r="D1176" s="617"/>
      <c r="E1176" s="617"/>
      <c r="F1176" s="1083"/>
      <c r="G1176" s="1084"/>
      <c r="H1176" s="1069"/>
      <c r="I1176" s="618"/>
      <c r="J1176" s="619"/>
      <c r="K1176" s="618"/>
      <c r="L1176" s="620"/>
      <c r="M1176" s="621"/>
      <c r="N1176" s="620"/>
    </row>
    <row r="1177" spans="1:14" ht="11.25" customHeight="1" x14ac:dyDescent="0.25">
      <c r="A1177" s="615"/>
      <c r="B1177" s="616"/>
      <c r="C1177" s="617"/>
      <c r="D1177" s="617"/>
      <c r="E1177" s="617"/>
      <c r="F1177" s="1083"/>
      <c r="G1177" s="1084"/>
      <c r="H1177" s="1069"/>
      <c r="I1177" s="618"/>
      <c r="J1177" s="619"/>
      <c r="K1177" s="618"/>
      <c r="L1177" s="620"/>
      <c r="M1177" s="621"/>
      <c r="N1177" s="620"/>
    </row>
    <row r="1178" spans="1:14" ht="11.25" customHeight="1" x14ac:dyDescent="0.25">
      <c r="A1178" s="615"/>
      <c r="B1178" s="616"/>
      <c r="C1178" s="617"/>
      <c r="D1178" s="617"/>
      <c r="E1178" s="617"/>
      <c r="F1178" s="1083"/>
      <c r="G1178" s="1084"/>
      <c r="H1178" s="1069"/>
      <c r="I1178" s="618"/>
      <c r="J1178" s="619"/>
      <c r="K1178" s="618"/>
      <c r="L1178" s="620"/>
      <c r="M1178" s="621"/>
      <c r="N1178" s="620"/>
    </row>
    <row r="1179" spans="1:14" ht="11.25" customHeight="1" x14ac:dyDescent="0.25">
      <c r="A1179" s="615"/>
      <c r="B1179" s="616"/>
      <c r="C1179" s="617"/>
      <c r="D1179" s="617"/>
      <c r="E1179" s="617"/>
      <c r="F1179" s="1083"/>
      <c r="G1179" s="1084"/>
      <c r="H1179" s="1069"/>
      <c r="I1179" s="618"/>
      <c r="J1179" s="619"/>
      <c r="K1179" s="618"/>
      <c r="L1179" s="620"/>
      <c r="M1179" s="621"/>
      <c r="N1179" s="620"/>
    </row>
    <row r="1180" spans="1:14" ht="11.25" customHeight="1" x14ac:dyDescent="0.25">
      <c r="A1180" s="615"/>
      <c r="B1180" s="616"/>
      <c r="C1180" s="617"/>
      <c r="D1180" s="617"/>
      <c r="E1180" s="617"/>
      <c r="F1180" s="1083"/>
      <c r="G1180" s="1084"/>
      <c r="H1180" s="1069"/>
      <c r="I1180" s="618"/>
      <c r="J1180" s="619"/>
      <c r="K1180" s="618"/>
      <c r="L1180" s="620"/>
      <c r="M1180" s="621"/>
      <c r="N1180" s="620"/>
    </row>
    <row r="1181" spans="1:14" ht="11.25" customHeight="1" x14ac:dyDescent="0.25">
      <c r="A1181" s="615"/>
      <c r="B1181" s="616"/>
      <c r="C1181" s="617"/>
      <c r="D1181" s="617"/>
      <c r="E1181" s="617"/>
      <c r="F1181" s="1083"/>
      <c r="G1181" s="1084"/>
      <c r="H1181" s="1069"/>
      <c r="I1181" s="618"/>
      <c r="J1181" s="619"/>
      <c r="K1181" s="618"/>
      <c r="L1181" s="620"/>
      <c r="M1181" s="621"/>
      <c r="N1181" s="620"/>
    </row>
    <row r="1182" spans="1:14" ht="11.25" customHeight="1" x14ac:dyDescent="0.25">
      <c r="A1182" s="615"/>
      <c r="B1182" s="616"/>
      <c r="C1182" s="617"/>
      <c r="D1182" s="617"/>
      <c r="E1182" s="617"/>
      <c r="F1182" s="1083"/>
      <c r="G1182" s="1084"/>
      <c r="H1182" s="1069"/>
      <c r="I1182" s="618"/>
      <c r="J1182" s="619"/>
      <c r="K1182" s="618"/>
      <c r="L1182" s="620"/>
      <c r="M1182" s="621"/>
      <c r="N1182" s="620"/>
    </row>
    <row r="1183" spans="1:14" ht="11.25" customHeight="1" x14ac:dyDescent="0.25">
      <c r="A1183" s="615"/>
      <c r="B1183" s="616"/>
      <c r="C1183" s="617"/>
      <c r="D1183" s="617"/>
      <c r="E1183" s="617"/>
      <c r="F1183" s="1083"/>
      <c r="G1183" s="1084"/>
      <c r="H1183" s="1069"/>
      <c r="I1183" s="618"/>
      <c r="J1183" s="619"/>
      <c r="K1183" s="618"/>
      <c r="L1183" s="620"/>
      <c r="M1183" s="621"/>
      <c r="N1183" s="620"/>
    </row>
    <row r="1184" spans="1:14" ht="11.25" customHeight="1" x14ac:dyDescent="0.25">
      <c r="A1184" s="615"/>
      <c r="B1184" s="616"/>
      <c r="C1184" s="617"/>
      <c r="D1184" s="617"/>
      <c r="E1184" s="617"/>
      <c r="F1184" s="1083"/>
      <c r="G1184" s="1084"/>
      <c r="H1184" s="1069"/>
      <c r="I1184" s="618"/>
      <c r="J1184" s="619"/>
      <c r="K1184" s="618"/>
      <c r="L1184" s="620"/>
      <c r="M1184" s="621"/>
      <c r="N1184" s="620"/>
    </row>
    <row r="1185" spans="1:14" ht="11.25" customHeight="1" x14ac:dyDescent="0.25">
      <c r="A1185" s="615"/>
      <c r="B1185" s="616"/>
      <c r="C1185" s="617"/>
      <c r="D1185" s="617"/>
      <c r="E1185" s="617"/>
      <c r="F1185" s="1083"/>
      <c r="G1185" s="1084"/>
      <c r="H1185" s="1069"/>
      <c r="I1185" s="618"/>
      <c r="J1185" s="619"/>
      <c r="K1185" s="618"/>
      <c r="L1185" s="620"/>
      <c r="M1185" s="621"/>
      <c r="N1185" s="620"/>
    </row>
    <row r="1186" spans="1:14" ht="11.25" customHeight="1" x14ac:dyDescent="0.25">
      <c r="A1186" s="615"/>
      <c r="B1186" s="616"/>
      <c r="C1186" s="617"/>
      <c r="D1186" s="617"/>
      <c r="E1186" s="617"/>
      <c r="F1186" s="1083"/>
      <c r="G1186" s="1084"/>
      <c r="H1186" s="1069"/>
      <c r="I1186" s="618"/>
      <c r="J1186" s="619"/>
      <c r="K1186" s="618"/>
      <c r="L1186" s="620"/>
      <c r="M1186" s="621"/>
      <c r="N1186" s="620"/>
    </row>
    <row r="1187" spans="1:14" ht="11.25" customHeight="1" x14ac:dyDescent="0.25">
      <c r="A1187" s="615"/>
      <c r="B1187" s="616"/>
      <c r="C1187" s="617"/>
      <c r="D1187" s="617"/>
      <c r="E1187" s="617"/>
      <c r="F1187" s="1083"/>
      <c r="G1187" s="1084"/>
      <c r="H1187" s="1069"/>
      <c r="I1187" s="618"/>
      <c r="J1187" s="619"/>
      <c r="K1187" s="618"/>
      <c r="L1187" s="620"/>
      <c r="M1187" s="621"/>
      <c r="N1187" s="620"/>
    </row>
    <row r="1188" spans="1:14" ht="11.25" customHeight="1" x14ac:dyDescent="0.25">
      <c r="A1188" s="615"/>
      <c r="B1188" s="616"/>
      <c r="C1188" s="617"/>
      <c r="D1188" s="617"/>
      <c r="E1188" s="617"/>
      <c r="F1188" s="1083"/>
      <c r="G1188" s="1084"/>
      <c r="H1188" s="1069"/>
      <c r="I1188" s="618"/>
      <c r="J1188" s="619"/>
      <c r="K1188" s="618"/>
      <c r="L1188" s="620"/>
      <c r="M1188" s="621"/>
      <c r="N1188" s="620"/>
    </row>
    <row r="1189" spans="1:14" ht="11.25" customHeight="1" x14ac:dyDescent="0.25">
      <c r="A1189" s="615"/>
      <c r="B1189" s="616"/>
      <c r="C1189" s="617"/>
      <c r="D1189" s="617"/>
      <c r="E1189" s="617"/>
      <c r="F1189" s="1083"/>
      <c r="G1189" s="1084"/>
      <c r="H1189" s="1069"/>
      <c r="I1189" s="618"/>
      <c r="J1189" s="619"/>
      <c r="K1189" s="618"/>
      <c r="L1189" s="620"/>
      <c r="M1189" s="621"/>
      <c r="N1189" s="620"/>
    </row>
    <row r="1190" spans="1:14" ht="11.25" customHeight="1" x14ac:dyDescent="0.25">
      <c r="A1190" s="615"/>
      <c r="B1190" s="616"/>
      <c r="C1190" s="617"/>
      <c r="D1190" s="617"/>
      <c r="E1190" s="617"/>
      <c r="F1190" s="1083"/>
      <c r="G1190" s="1084"/>
      <c r="H1190" s="1069"/>
      <c r="I1190" s="618"/>
      <c r="J1190" s="619"/>
      <c r="K1190" s="618"/>
      <c r="L1190" s="620"/>
      <c r="M1190" s="621"/>
      <c r="N1190" s="620"/>
    </row>
    <row r="1191" spans="1:14" ht="11.25" customHeight="1" x14ac:dyDescent="0.25">
      <c r="A1191" s="615"/>
      <c r="B1191" s="616"/>
      <c r="C1191" s="617"/>
      <c r="D1191" s="617"/>
      <c r="E1191" s="617"/>
      <c r="F1191" s="1083"/>
      <c r="G1191" s="1084"/>
      <c r="H1191" s="1069"/>
      <c r="I1191" s="618"/>
      <c r="J1191" s="619"/>
      <c r="K1191" s="618"/>
      <c r="L1191" s="620"/>
      <c r="M1191" s="621"/>
      <c r="N1191" s="620"/>
    </row>
    <row r="1192" spans="1:14" ht="11.25" customHeight="1" x14ac:dyDescent="0.25">
      <c r="A1192" s="615"/>
      <c r="B1192" s="616"/>
      <c r="C1192" s="617"/>
      <c r="D1192" s="617"/>
      <c r="E1192" s="617"/>
      <c r="F1192" s="1083"/>
      <c r="G1192" s="1084"/>
      <c r="H1192" s="1069"/>
      <c r="I1192" s="618"/>
      <c r="J1192" s="619"/>
      <c r="K1192" s="618"/>
      <c r="L1192" s="620"/>
      <c r="M1192" s="621"/>
      <c r="N1192" s="620"/>
    </row>
    <row r="1193" spans="1:14" ht="11.25" customHeight="1" x14ac:dyDescent="0.25">
      <c r="A1193" s="615"/>
      <c r="B1193" s="616"/>
      <c r="C1193" s="617"/>
      <c r="D1193" s="617"/>
      <c r="E1193" s="617"/>
      <c r="F1193" s="1083"/>
      <c r="G1193" s="1084"/>
      <c r="H1193" s="1069"/>
      <c r="I1193" s="618"/>
      <c r="J1193" s="619"/>
      <c r="K1193" s="618"/>
      <c r="L1193" s="620"/>
      <c r="M1193" s="621"/>
      <c r="N1193" s="620"/>
    </row>
    <row r="1194" spans="1:14" ht="11.25" customHeight="1" x14ac:dyDescent="0.25">
      <c r="A1194" s="615"/>
      <c r="B1194" s="616"/>
      <c r="C1194" s="617"/>
      <c r="D1194" s="617"/>
      <c r="E1194" s="617"/>
      <c r="F1194" s="1083"/>
      <c r="G1194" s="1084"/>
      <c r="H1194" s="1069"/>
      <c r="I1194" s="618"/>
      <c r="J1194" s="619"/>
      <c r="K1194" s="618"/>
      <c r="L1194" s="620"/>
      <c r="M1194" s="621"/>
      <c r="N1194" s="620"/>
    </row>
    <row r="1195" spans="1:14" ht="11.25" customHeight="1" x14ac:dyDescent="0.25">
      <c r="A1195" s="615"/>
      <c r="B1195" s="616"/>
      <c r="C1195" s="617"/>
      <c r="D1195" s="617"/>
      <c r="E1195" s="617"/>
      <c r="F1195" s="1083"/>
      <c r="G1195" s="1084"/>
      <c r="H1195" s="1069"/>
      <c r="I1195" s="618"/>
      <c r="J1195" s="619"/>
      <c r="K1195" s="618"/>
      <c r="L1195" s="620"/>
      <c r="M1195" s="621"/>
      <c r="N1195" s="620"/>
    </row>
    <row r="1196" spans="1:14" ht="11.25" customHeight="1" x14ac:dyDescent="0.25">
      <c r="A1196" s="615"/>
      <c r="B1196" s="616"/>
      <c r="C1196" s="617"/>
      <c r="D1196" s="617"/>
      <c r="E1196" s="617"/>
      <c r="F1196" s="1083"/>
      <c r="G1196" s="1084"/>
      <c r="H1196" s="1069"/>
      <c r="I1196" s="618"/>
      <c r="J1196" s="619"/>
      <c r="K1196" s="618"/>
      <c r="L1196" s="620"/>
      <c r="M1196" s="621"/>
      <c r="N1196" s="620"/>
    </row>
    <row r="1197" spans="1:14" ht="11.25" customHeight="1" x14ac:dyDescent="0.25">
      <c r="A1197" s="615"/>
      <c r="B1197" s="616"/>
      <c r="C1197" s="617"/>
      <c r="D1197" s="617"/>
      <c r="E1197" s="617"/>
      <c r="F1197" s="1083"/>
      <c r="G1197" s="1084"/>
      <c r="H1197" s="1069"/>
      <c r="I1197" s="618"/>
      <c r="J1197" s="619"/>
      <c r="K1197" s="618"/>
      <c r="L1197" s="620"/>
      <c r="M1197" s="621"/>
      <c r="N1197" s="620"/>
    </row>
    <row r="1198" spans="1:14" ht="11.25" customHeight="1" x14ac:dyDescent="0.25">
      <c r="A1198" s="615"/>
      <c r="B1198" s="616"/>
      <c r="C1198" s="617"/>
      <c r="D1198" s="617"/>
      <c r="E1198" s="617"/>
      <c r="F1198" s="1083"/>
      <c r="G1198" s="1084"/>
      <c r="H1198" s="1069"/>
      <c r="I1198" s="618"/>
      <c r="J1198" s="619"/>
      <c r="K1198" s="618"/>
      <c r="L1198" s="620"/>
      <c r="M1198" s="621"/>
      <c r="N1198" s="620"/>
    </row>
    <row r="1199" spans="1:14" ht="11.25" customHeight="1" x14ac:dyDescent="0.25">
      <c r="A1199" s="615"/>
      <c r="B1199" s="616"/>
      <c r="C1199" s="617"/>
      <c r="D1199" s="617"/>
      <c r="E1199" s="617"/>
      <c r="F1199" s="1083"/>
      <c r="G1199" s="1084"/>
      <c r="H1199" s="1069"/>
      <c r="I1199" s="618"/>
      <c r="J1199" s="619"/>
      <c r="K1199" s="618"/>
      <c r="L1199" s="620"/>
      <c r="M1199" s="621"/>
      <c r="N1199" s="620"/>
    </row>
    <row r="1200" spans="1:14" ht="11.25" customHeight="1" x14ac:dyDescent="0.25">
      <c r="A1200" s="615"/>
      <c r="B1200" s="616"/>
      <c r="C1200" s="617"/>
      <c r="D1200" s="617"/>
      <c r="E1200" s="617"/>
      <c r="F1200" s="1083"/>
      <c r="G1200" s="1084"/>
      <c r="H1200" s="1069"/>
      <c r="I1200" s="618"/>
      <c r="J1200" s="619"/>
      <c r="K1200" s="618"/>
      <c r="L1200" s="620"/>
      <c r="M1200" s="621"/>
      <c r="N1200" s="620"/>
    </row>
    <row r="1201" spans="1:14" ht="11.25" customHeight="1" x14ac:dyDescent="0.25">
      <c r="A1201" s="615"/>
      <c r="B1201" s="616"/>
      <c r="C1201" s="617"/>
      <c r="D1201" s="617"/>
      <c r="E1201" s="617"/>
      <c r="F1201" s="1083"/>
      <c r="G1201" s="1084"/>
      <c r="H1201" s="1069"/>
      <c r="I1201" s="618"/>
      <c r="J1201" s="619"/>
      <c r="K1201" s="618"/>
      <c r="L1201" s="620"/>
      <c r="M1201" s="621"/>
      <c r="N1201" s="620"/>
    </row>
    <row r="1202" spans="1:14" ht="11.25" customHeight="1" x14ac:dyDescent="0.25">
      <c r="A1202" s="615"/>
      <c r="B1202" s="616"/>
      <c r="C1202" s="617"/>
      <c r="D1202" s="617"/>
      <c r="E1202" s="617"/>
      <c r="F1202" s="1083"/>
      <c r="G1202" s="1084"/>
      <c r="H1202" s="1069"/>
      <c r="I1202" s="618"/>
      <c r="J1202" s="619"/>
      <c r="K1202" s="618"/>
      <c r="L1202" s="620"/>
      <c r="M1202" s="621"/>
      <c r="N1202" s="620"/>
    </row>
    <row r="1203" spans="1:14" ht="11.25" customHeight="1" x14ac:dyDescent="0.25">
      <c r="A1203" s="615"/>
      <c r="B1203" s="616"/>
      <c r="C1203" s="617"/>
      <c r="D1203" s="617"/>
      <c r="E1203" s="617"/>
      <c r="F1203" s="1083"/>
      <c r="G1203" s="1084"/>
      <c r="H1203" s="1069"/>
      <c r="I1203" s="618"/>
      <c r="J1203" s="619"/>
      <c r="K1203" s="618"/>
      <c r="L1203" s="620"/>
      <c r="M1203" s="621"/>
      <c r="N1203" s="620"/>
    </row>
    <row r="1204" spans="1:14" ht="11.25" customHeight="1" x14ac:dyDescent="0.25">
      <c r="A1204" s="615"/>
      <c r="B1204" s="616"/>
      <c r="C1204" s="617"/>
      <c r="D1204" s="617"/>
      <c r="E1204" s="617"/>
      <c r="F1204" s="1083"/>
      <c r="G1204" s="1084"/>
      <c r="H1204" s="1069"/>
      <c r="I1204" s="618"/>
      <c r="J1204" s="619"/>
      <c r="K1204" s="618"/>
      <c r="L1204" s="620"/>
      <c r="M1204" s="621"/>
      <c r="N1204" s="620"/>
    </row>
    <row r="1205" spans="1:14" ht="11.25" customHeight="1" x14ac:dyDescent="0.25">
      <c r="A1205" s="615"/>
      <c r="B1205" s="616"/>
      <c r="C1205" s="617"/>
      <c r="D1205" s="617"/>
      <c r="E1205" s="617"/>
      <c r="F1205" s="1083"/>
      <c r="G1205" s="1084"/>
      <c r="H1205" s="1069"/>
      <c r="I1205" s="618"/>
      <c r="J1205" s="619"/>
      <c r="K1205" s="618"/>
      <c r="L1205" s="620"/>
      <c r="M1205" s="621"/>
      <c r="N1205" s="620"/>
    </row>
    <row r="1206" spans="1:14" ht="11.25" customHeight="1" x14ac:dyDescent="0.25">
      <c r="A1206" s="615"/>
      <c r="B1206" s="616"/>
      <c r="C1206" s="617"/>
      <c r="D1206" s="617"/>
      <c r="E1206" s="617"/>
      <c r="F1206" s="1083"/>
      <c r="G1206" s="1084"/>
      <c r="H1206" s="1069"/>
      <c r="I1206" s="618"/>
      <c r="J1206" s="619"/>
      <c r="K1206" s="618"/>
      <c r="L1206" s="620"/>
      <c r="M1206" s="621"/>
      <c r="N1206" s="620"/>
    </row>
    <row r="1207" spans="1:14" ht="11.25" customHeight="1" x14ac:dyDescent="0.25">
      <c r="A1207" s="615"/>
      <c r="B1207" s="616"/>
      <c r="C1207" s="617"/>
      <c r="D1207" s="617"/>
      <c r="E1207" s="617"/>
      <c r="F1207" s="1083"/>
      <c r="G1207" s="1084"/>
      <c r="H1207" s="1069"/>
      <c r="I1207" s="618"/>
      <c r="J1207" s="619"/>
      <c r="K1207" s="618"/>
      <c r="L1207" s="620"/>
      <c r="M1207" s="621"/>
      <c r="N1207" s="620"/>
    </row>
    <row r="1208" spans="1:14" ht="11.25" customHeight="1" x14ac:dyDescent="0.25">
      <c r="A1208" s="615"/>
      <c r="B1208" s="616"/>
      <c r="C1208" s="617"/>
      <c r="D1208" s="617"/>
      <c r="E1208" s="617"/>
      <c r="F1208" s="1083"/>
      <c r="G1208" s="1084"/>
      <c r="H1208" s="1069"/>
      <c r="I1208" s="618"/>
      <c r="J1208" s="619"/>
      <c r="K1208" s="618"/>
      <c r="L1208" s="620"/>
      <c r="M1208" s="621"/>
      <c r="N1208" s="620"/>
    </row>
    <row r="1209" spans="1:14" ht="11.25" customHeight="1" x14ac:dyDescent="0.25">
      <c r="A1209" s="615"/>
      <c r="B1209" s="616"/>
      <c r="C1209" s="617"/>
      <c r="D1209" s="617"/>
      <c r="E1209" s="617"/>
      <c r="F1209" s="1083"/>
      <c r="G1209" s="1084"/>
      <c r="H1209" s="1069"/>
      <c r="I1209" s="618"/>
      <c r="J1209" s="619"/>
      <c r="K1209" s="618"/>
      <c r="L1209" s="620"/>
      <c r="M1209" s="621"/>
      <c r="N1209" s="620"/>
    </row>
    <row r="1210" spans="1:14" ht="11.25" customHeight="1" x14ac:dyDescent="0.25">
      <c r="A1210" s="615"/>
      <c r="B1210" s="616"/>
      <c r="C1210" s="617"/>
      <c r="D1210" s="617"/>
      <c r="E1210" s="617"/>
      <c r="F1210" s="1083"/>
      <c r="G1210" s="1084"/>
      <c r="H1210" s="1069"/>
      <c r="I1210" s="618"/>
      <c r="J1210" s="619"/>
      <c r="K1210" s="618"/>
      <c r="L1210" s="620"/>
      <c r="M1210" s="621"/>
      <c r="N1210" s="620"/>
    </row>
    <row r="1211" spans="1:14" ht="11.25" customHeight="1" x14ac:dyDescent="0.25">
      <c r="A1211" s="615"/>
      <c r="B1211" s="616"/>
      <c r="C1211" s="617"/>
      <c r="D1211" s="617"/>
      <c r="E1211" s="617"/>
      <c r="F1211" s="1083"/>
      <c r="G1211" s="1084"/>
      <c r="H1211" s="1069"/>
      <c r="I1211" s="618"/>
      <c r="J1211" s="619"/>
      <c r="K1211" s="618"/>
      <c r="L1211" s="620"/>
      <c r="M1211" s="621"/>
      <c r="N1211" s="620"/>
    </row>
    <row r="1212" spans="1:14" ht="11.25" customHeight="1" x14ac:dyDescent="0.25">
      <c r="A1212" s="615"/>
      <c r="B1212" s="616"/>
      <c r="C1212" s="617"/>
      <c r="D1212" s="617"/>
      <c r="E1212" s="617"/>
      <c r="F1212" s="1083"/>
      <c r="G1212" s="1084"/>
      <c r="H1212" s="1069"/>
      <c r="I1212" s="618"/>
      <c r="J1212" s="619"/>
      <c r="K1212" s="618"/>
      <c r="L1212" s="620"/>
      <c r="M1212" s="621"/>
      <c r="N1212" s="620"/>
    </row>
    <row r="1213" spans="1:14" ht="11.25" customHeight="1" x14ac:dyDescent="0.25">
      <c r="A1213" s="615"/>
      <c r="B1213" s="616"/>
      <c r="C1213" s="617"/>
      <c r="D1213" s="617"/>
      <c r="E1213" s="617"/>
      <c r="F1213" s="1083"/>
      <c r="G1213" s="1084"/>
      <c r="H1213" s="1069"/>
      <c r="I1213" s="618"/>
      <c r="J1213" s="619"/>
      <c r="K1213" s="618"/>
      <c r="L1213" s="620"/>
      <c r="M1213" s="621"/>
      <c r="N1213" s="620"/>
    </row>
    <row r="1214" spans="1:14" ht="11.25" customHeight="1" x14ac:dyDescent="0.25">
      <c r="A1214" s="615"/>
      <c r="B1214" s="616"/>
      <c r="C1214" s="617"/>
      <c r="D1214" s="617"/>
      <c r="E1214" s="617"/>
      <c r="F1214" s="1083"/>
      <c r="G1214" s="1084"/>
      <c r="H1214" s="1069"/>
      <c r="I1214" s="618"/>
      <c r="J1214" s="619"/>
      <c r="K1214" s="618"/>
      <c r="L1214" s="620"/>
      <c r="M1214" s="621"/>
      <c r="N1214" s="620"/>
    </row>
    <row r="1215" spans="1:14" ht="11.25" customHeight="1" x14ac:dyDescent="0.25">
      <c r="A1215" s="615"/>
      <c r="B1215" s="616"/>
      <c r="C1215" s="617"/>
      <c r="D1215" s="617"/>
      <c r="E1215" s="617"/>
      <c r="F1215" s="1083"/>
      <c r="G1215" s="1084"/>
      <c r="H1215" s="1069"/>
      <c r="I1215" s="618"/>
      <c r="J1215" s="619"/>
      <c r="K1215" s="618"/>
      <c r="L1215" s="620"/>
      <c r="M1215" s="621"/>
      <c r="N1215" s="620"/>
    </row>
    <row r="1216" spans="1:14" ht="11.25" customHeight="1" x14ac:dyDescent="0.25">
      <c r="A1216" s="615"/>
      <c r="B1216" s="616"/>
      <c r="C1216" s="617"/>
      <c r="D1216" s="617"/>
      <c r="E1216" s="617"/>
      <c r="F1216" s="1083"/>
      <c r="G1216" s="1084"/>
      <c r="H1216" s="1069"/>
      <c r="I1216" s="618"/>
      <c r="J1216" s="619"/>
      <c r="K1216" s="618"/>
      <c r="L1216" s="620"/>
      <c r="M1216" s="621"/>
      <c r="N1216" s="620"/>
    </row>
    <row r="1217" spans="1:14" ht="11.25" customHeight="1" x14ac:dyDescent="0.25">
      <c r="A1217" s="615"/>
      <c r="B1217" s="616"/>
      <c r="C1217" s="617"/>
      <c r="D1217" s="617"/>
      <c r="E1217" s="617"/>
      <c r="F1217" s="1083"/>
      <c r="G1217" s="1084"/>
      <c r="H1217" s="1069"/>
      <c r="I1217" s="618"/>
      <c r="J1217" s="619"/>
      <c r="K1217" s="618"/>
      <c r="L1217" s="620"/>
      <c r="M1217" s="621"/>
      <c r="N1217" s="620"/>
    </row>
    <row r="1218" spans="1:14" ht="11.25" customHeight="1" x14ac:dyDescent="0.25">
      <c r="A1218" s="615"/>
      <c r="B1218" s="616"/>
      <c r="C1218" s="617"/>
      <c r="D1218" s="617"/>
      <c r="E1218" s="617"/>
      <c r="F1218" s="1083"/>
      <c r="G1218" s="1084"/>
      <c r="H1218" s="1069"/>
      <c r="I1218" s="618"/>
      <c r="J1218" s="619"/>
      <c r="K1218" s="618"/>
      <c r="L1218" s="620"/>
      <c r="M1218" s="621"/>
      <c r="N1218" s="620"/>
    </row>
    <row r="1219" spans="1:14" ht="11.25" customHeight="1" x14ac:dyDescent="0.25">
      <c r="A1219" s="615"/>
      <c r="B1219" s="616"/>
      <c r="C1219" s="617"/>
      <c r="D1219" s="617"/>
      <c r="E1219" s="617"/>
      <c r="F1219" s="1083"/>
      <c r="G1219" s="1084"/>
      <c r="H1219" s="1069"/>
      <c r="I1219" s="618"/>
      <c r="J1219" s="619"/>
      <c r="K1219" s="618"/>
      <c r="L1219" s="620"/>
      <c r="M1219" s="621"/>
      <c r="N1219" s="620"/>
    </row>
    <row r="1220" spans="1:14" ht="11.25" customHeight="1" x14ac:dyDescent="0.25">
      <c r="A1220" s="615"/>
      <c r="B1220" s="616"/>
      <c r="C1220" s="617"/>
      <c r="D1220" s="617"/>
      <c r="E1220" s="617"/>
      <c r="F1220" s="1083"/>
      <c r="G1220" s="1084"/>
      <c r="H1220" s="1069"/>
      <c r="I1220" s="618"/>
      <c r="J1220" s="619"/>
      <c r="K1220" s="618"/>
      <c r="L1220" s="620"/>
      <c r="M1220" s="621"/>
      <c r="N1220" s="620"/>
    </row>
    <row r="1221" spans="1:14" ht="11.25" customHeight="1" x14ac:dyDescent="0.25">
      <c r="A1221" s="615"/>
      <c r="B1221" s="616"/>
      <c r="C1221" s="617"/>
      <c r="D1221" s="617"/>
      <c r="E1221" s="617"/>
      <c r="F1221" s="1083"/>
      <c r="G1221" s="1084"/>
      <c r="H1221" s="1069"/>
      <c r="I1221" s="618"/>
      <c r="J1221" s="619"/>
      <c r="K1221" s="618"/>
      <c r="L1221" s="620"/>
      <c r="M1221" s="621"/>
      <c r="N1221" s="620"/>
    </row>
    <row r="1222" spans="1:14" ht="11.25" customHeight="1" x14ac:dyDescent="0.25">
      <c r="A1222" s="615"/>
      <c r="B1222" s="616"/>
      <c r="C1222" s="617"/>
      <c r="D1222" s="617"/>
      <c r="E1222" s="617"/>
      <c r="F1222" s="1083"/>
      <c r="G1222" s="1084"/>
      <c r="H1222" s="1069"/>
      <c r="I1222" s="618"/>
      <c r="J1222" s="619"/>
      <c r="K1222" s="618"/>
      <c r="L1222" s="620"/>
      <c r="M1222" s="621"/>
      <c r="N1222" s="620"/>
    </row>
    <row r="1223" spans="1:14" ht="11.25" customHeight="1" x14ac:dyDescent="0.25">
      <c r="A1223" s="615"/>
      <c r="B1223" s="616"/>
      <c r="C1223" s="617"/>
      <c r="D1223" s="617"/>
      <c r="E1223" s="617"/>
      <c r="F1223" s="1083"/>
      <c r="G1223" s="1084"/>
      <c r="H1223" s="1069"/>
      <c r="I1223" s="618"/>
      <c r="J1223" s="619"/>
      <c r="K1223" s="618"/>
      <c r="L1223" s="620"/>
      <c r="M1223" s="621"/>
      <c r="N1223" s="620"/>
    </row>
    <row r="1224" spans="1:14" ht="11.25" customHeight="1" x14ac:dyDescent="0.25">
      <c r="A1224" s="615"/>
      <c r="B1224" s="616"/>
      <c r="C1224" s="617"/>
      <c r="D1224" s="617"/>
      <c r="E1224" s="617"/>
      <c r="F1224" s="1083"/>
      <c r="G1224" s="1084"/>
      <c r="H1224" s="1069"/>
      <c r="I1224" s="618"/>
      <c r="J1224" s="619"/>
      <c r="K1224" s="618"/>
      <c r="L1224" s="620"/>
      <c r="M1224" s="621"/>
      <c r="N1224" s="620"/>
    </row>
    <row r="1225" spans="1:14" ht="11.25" customHeight="1" x14ac:dyDescent="0.25">
      <c r="A1225" s="615"/>
      <c r="B1225" s="616"/>
      <c r="C1225" s="617"/>
      <c r="D1225" s="617"/>
      <c r="E1225" s="617"/>
      <c r="F1225" s="1083"/>
      <c r="G1225" s="1084"/>
      <c r="H1225" s="1069"/>
      <c r="I1225" s="618"/>
      <c r="J1225" s="619"/>
      <c r="K1225" s="618"/>
      <c r="L1225" s="620"/>
      <c r="M1225" s="621"/>
      <c r="N1225" s="620"/>
    </row>
    <row r="1226" spans="1:14" ht="11.25" customHeight="1" x14ac:dyDescent="0.25">
      <c r="A1226" s="615"/>
      <c r="B1226" s="616"/>
      <c r="C1226" s="617"/>
      <c r="D1226" s="617"/>
      <c r="E1226" s="617"/>
      <c r="F1226" s="1083"/>
      <c r="G1226" s="1084"/>
      <c r="H1226" s="1069"/>
      <c r="I1226" s="618"/>
      <c r="J1226" s="619"/>
      <c r="K1226" s="618"/>
      <c r="L1226" s="620"/>
      <c r="M1226" s="621"/>
      <c r="N1226" s="620"/>
    </row>
    <row r="1227" spans="1:14" ht="11.25" customHeight="1" x14ac:dyDescent="0.25">
      <c r="A1227" s="615"/>
      <c r="B1227" s="616"/>
      <c r="C1227" s="617"/>
      <c r="D1227" s="617"/>
      <c r="E1227" s="617"/>
      <c r="F1227" s="1083"/>
      <c r="G1227" s="1084"/>
      <c r="H1227" s="1069"/>
      <c r="I1227" s="618"/>
      <c r="J1227" s="619"/>
      <c r="K1227" s="618"/>
      <c r="L1227" s="620"/>
      <c r="M1227" s="621"/>
      <c r="N1227" s="620"/>
    </row>
    <row r="1228" spans="1:14" ht="11.25" customHeight="1" x14ac:dyDescent="0.25">
      <c r="A1228" s="615"/>
      <c r="B1228" s="616"/>
      <c r="C1228" s="617"/>
      <c r="D1228" s="617"/>
      <c r="E1228" s="617"/>
      <c r="F1228" s="1083"/>
      <c r="G1228" s="1084"/>
      <c r="H1228" s="1069"/>
      <c r="I1228" s="618"/>
      <c r="J1228" s="619"/>
      <c r="K1228" s="618"/>
      <c r="L1228" s="620"/>
      <c r="M1228" s="621"/>
      <c r="N1228" s="620"/>
    </row>
    <row r="1229" spans="1:14" ht="11.25" customHeight="1" x14ac:dyDescent="0.25">
      <c r="A1229" s="615"/>
      <c r="B1229" s="616"/>
      <c r="C1229" s="617"/>
      <c r="D1229" s="617"/>
      <c r="E1229" s="617"/>
      <c r="F1229" s="1083"/>
      <c r="G1229" s="1084"/>
      <c r="H1229" s="1069"/>
      <c r="I1229" s="618"/>
      <c r="J1229" s="619"/>
      <c r="K1229" s="618"/>
      <c r="L1229" s="620"/>
      <c r="M1229" s="621"/>
      <c r="N1229" s="620"/>
    </row>
    <row r="1230" spans="1:14" ht="11.25" customHeight="1" x14ac:dyDescent="0.25">
      <c r="A1230" s="615"/>
      <c r="B1230" s="616"/>
      <c r="C1230" s="617"/>
      <c r="D1230" s="617"/>
      <c r="E1230" s="617"/>
      <c r="F1230" s="1083"/>
      <c r="G1230" s="1084"/>
      <c r="H1230" s="1069"/>
      <c r="I1230" s="618"/>
      <c r="J1230" s="619"/>
      <c r="K1230" s="618"/>
      <c r="L1230" s="620"/>
      <c r="M1230" s="621"/>
      <c r="N1230" s="620"/>
    </row>
    <row r="1231" spans="1:14" ht="11.25" customHeight="1" x14ac:dyDescent="0.25">
      <c r="A1231" s="615"/>
      <c r="B1231" s="616"/>
      <c r="C1231" s="617"/>
      <c r="D1231" s="617"/>
      <c r="E1231" s="617"/>
      <c r="F1231" s="1083"/>
      <c r="G1231" s="1084"/>
      <c r="H1231" s="1069"/>
      <c r="I1231" s="618"/>
      <c r="J1231" s="619"/>
      <c r="K1231" s="618"/>
      <c r="L1231" s="620"/>
      <c r="M1231" s="621"/>
      <c r="N1231" s="620"/>
    </row>
    <row r="1232" spans="1:14" ht="11.25" customHeight="1" x14ac:dyDescent="0.25">
      <c r="A1232" s="615"/>
      <c r="B1232" s="616"/>
      <c r="C1232" s="617"/>
      <c r="D1232" s="617"/>
      <c r="E1232" s="617"/>
      <c r="F1232" s="1083"/>
      <c r="G1232" s="1084"/>
      <c r="H1232" s="1069"/>
      <c r="I1232" s="618"/>
      <c r="J1232" s="619"/>
      <c r="K1232" s="618"/>
      <c r="L1232" s="620"/>
      <c r="M1232" s="621"/>
      <c r="N1232" s="620"/>
    </row>
    <row r="1233" spans="1:14" ht="11.25" customHeight="1" x14ac:dyDescent="0.25">
      <c r="A1233" s="615"/>
      <c r="B1233" s="616"/>
      <c r="C1233" s="617"/>
      <c r="D1233" s="617"/>
      <c r="E1233" s="617"/>
      <c r="F1233" s="1083"/>
      <c r="G1233" s="1084"/>
      <c r="H1233" s="1069"/>
      <c r="I1233" s="618"/>
      <c r="J1233" s="619"/>
      <c r="K1233" s="618"/>
      <c r="L1233" s="620"/>
      <c r="M1233" s="621"/>
      <c r="N1233" s="620"/>
    </row>
    <row r="1234" spans="1:14" ht="11.25" customHeight="1" x14ac:dyDescent="0.25">
      <c r="A1234" s="615"/>
      <c r="B1234" s="616"/>
      <c r="C1234" s="617"/>
      <c r="D1234" s="617"/>
      <c r="E1234" s="617"/>
      <c r="F1234" s="1083"/>
      <c r="G1234" s="1084"/>
      <c r="H1234" s="1069"/>
      <c r="I1234" s="618"/>
      <c r="J1234" s="619"/>
      <c r="K1234" s="618"/>
      <c r="L1234" s="620"/>
      <c r="M1234" s="621"/>
      <c r="N1234" s="620"/>
    </row>
    <row r="1235" spans="1:14" ht="11.25" customHeight="1" x14ac:dyDescent="0.25">
      <c r="A1235" s="615"/>
      <c r="B1235" s="616"/>
      <c r="C1235" s="617"/>
      <c r="D1235" s="617"/>
      <c r="E1235" s="617"/>
      <c r="F1235" s="1083"/>
      <c r="G1235" s="1084"/>
      <c r="H1235" s="1069"/>
      <c r="I1235" s="618"/>
      <c r="J1235" s="619"/>
      <c r="K1235" s="618"/>
      <c r="L1235" s="620"/>
      <c r="M1235" s="621"/>
      <c r="N1235" s="620"/>
    </row>
    <row r="1236" spans="1:14" ht="11.25" customHeight="1" x14ac:dyDescent="0.25">
      <c r="A1236" s="615"/>
      <c r="B1236" s="616"/>
      <c r="C1236" s="617"/>
      <c r="D1236" s="617"/>
      <c r="E1236" s="617"/>
      <c r="F1236" s="1083"/>
      <c r="G1236" s="1084"/>
      <c r="H1236" s="1069"/>
      <c r="I1236" s="618"/>
      <c r="J1236" s="619"/>
      <c r="K1236" s="618"/>
      <c r="L1236" s="620"/>
      <c r="M1236" s="621"/>
      <c r="N1236" s="620"/>
    </row>
    <row r="1237" spans="1:14" ht="11.25" customHeight="1" x14ac:dyDescent="0.25">
      <c r="A1237" s="615"/>
      <c r="B1237" s="616"/>
      <c r="C1237" s="617"/>
      <c r="D1237" s="617"/>
      <c r="E1237" s="617"/>
      <c r="F1237" s="1083"/>
      <c r="G1237" s="1084"/>
      <c r="H1237" s="1069"/>
      <c r="I1237" s="618"/>
      <c r="J1237" s="619"/>
      <c r="K1237" s="618"/>
      <c r="L1237" s="620"/>
      <c r="M1237" s="621"/>
      <c r="N1237" s="620"/>
    </row>
    <row r="1238" spans="1:14" ht="11.25" customHeight="1" x14ac:dyDescent="0.25">
      <c r="A1238" s="615"/>
      <c r="B1238" s="616"/>
      <c r="C1238" s="617"/>
      <c r="D1238" s="617"/>
      <c r="E1238" s="617"/>
      <c r="F1238" s="1083"/>
      <c r="G1238" s="1084"/>
      <c r="H1238" s="1069"/>
      <c r="I1238" s="618"/>
      <c r="J1238" s="619"/>
      <c r="K1238" s="618"/>
      <c r="L1238" s="620"/>
      <c r="M1238" s="621"/>
      <c r="N1238" s="620"/>
    </row>
    <row r="1239" spans="1:14" ht="11.25" customHeight="1" x14ac:dyDescent="0.25">
      <c r="A1239" s="615"/>
      <c r="B1239" s="616"/>
      <c r="C1239" s="617"/>
      <c r="D1239" s="617"/>
      <c r="E1239" s="617"/>
      <c r="F1239" s="1083"/>
      <c r="G1239" s="1084"/>
      <c r="H1239" s="1069"/>
      <c r="I1239" s="618"/>
      <c r="J1239" s="619"/>
      <c r="K1239" s="618"/>
      <c r="L1239" s="620"/>
      <c r="M1239" s="621"/>
      <c r="N1239" s="620"/>
    </row>
    <row r="1240" spans="1:14" ht="11.25" customHeight="1" x14ac:dyDescent="0.25">
      <c r="A1240" s="615"/>
      <c r="B1240" s="616"/>
      <c r="C1240" s="617"/>
      <c r="D1240" s="617"/>
      <c r="E1240" s="617"/>
      <c r="F1240" s="1083"/>
      <c r="G1240" s="1084"/>
      <c r="H1240" s="1069"/>
      <c r="I1240" s="618"/>
      <c r="J1240" s="619"/>
      <c r="K1240" s="618"/>
      <c r="L1240" s="620"/>
      <c r="M1240" s="621"/>
      <c r="N1240" s="620"/>
    </row>
    <row r="1241" spans="1:14" ht="11.25" customHeight="1" x14ac:dyDescent="0.25">
      <c r="A1241" s="615"/>
      <c r="B1241" s="616"/>
      <c r="C1241" s="617"/>
      <c r="D1241" s="617"/>
      <c r="E1241" s="617"/>
      <c r="F1241" s="1083"/>
      <c r="G1241" s="1084"/>
      <c r="H1241" s="1069"/>
      <c r="I1241" s="618"/>
      <c r="J1241" s="619"/>
      <c r="K1241" s="618"/>
      <c r="L1241" s="620"/>
      <c r="M1241" s="621"/>
      <c r="N1241" s="620"/>
    </row>
    <row r="1242" spans="1:14" ht="11.25" customHeight="1" x14ac:dyDescent="0.25">
      <c r="A1242" s="615"/>
      <c r="B1242" s="616"/>
      <c r="C1242" s="617"/>
      <c r="D1242" s="617"/>
      <c r="E1242" s="617"/>
      <c r="F1242" s="1083"/>
      <c r="G1242" s="1084"/>
      <c r="H1242" s="1069"/>
      <c r="I1242" s="618"/>
      <c r="J1242" s="619"/>
      <c r="K1242" s="618"/>
      <c r="L1242" s="620"/>
      <c r="M1242" s="621"/>
      <c r="N1242" s="620"/>
    </row>
    <row r="1243" spans="1:14" ht="11.25" customHeight="1" x14ac:dyDescent="0.25">
      <c r="A1243" s="615"/>
      <c r="B1243" s="616"/>
      <c r="C1243" s="617"/>
      <c r="D1243" s="617"/>
      <c r="E1243" s="617"/>
      <c r="F1243" s="1083"/>
      <c r="G1243" s="1084"/>
      <c r="H1243" s="1069"/>
      <c r="I1243" s="618"/>
      <c r="J1243" s="619"/>
      <c r="K1243" s="618"/>
      <c r="L1243" s="620"/>
      <c r="M1243" s="621"/>
      <c r="N1243" s="620"/>
    </row>
    <row r="1244" spans="1:14" ht="11.25" customHeight="1" x14ac:dyDescent="0.25">
      <c r="A1244" s="615"/>
      <c r="B1244" s="616"/>
      <c r="C1244" s="617"/>
      <c r="D1244" s="617"/>
      <c r="E1244" s="617"/>
      <c r="F1244" s="1083"/>
      <c r="G1244" s="1084"/>
      <c r="H1244" s="1069"/>
      <c r="I1244" s="618"/>
      <c r="J1244" s="619"/>
      <c r="K1244" s="618"/>
      <c r="L1244" s="620"/>
      <c r="M1244" s="621"/>
      <c r="N1244" s="620"/>
    </row>
    <row r="1245" spans="1:14" ht="11.25" customHeight="1" x14ac:dyDescent="0.25">
      <c r="A1245" s="615"/>
      <c r="B1245" s="616"/>
      <c r="C1245" s="617"/>
      <c r="D1245" s="617"/>
      <c r="E1245" s="617"/>
      <c r="F1245" s="1083"/>
      <c r="G1245" s="1084"/>
      <c r="H1245" s="1069"/>
      <c r="I1245" s="618"/>
      <c r="J1245" s="619"/>
      <c r="K1245" s="618"/>
      <c r="L1245" s="620"/>
      <c r="M1245" s="621"/>
      <c r="N1245" s="620"/>
    </row>
    <row r="1246" spans="1:14" ht="11.25" customHeight="1" x14ac:dyDescent="0.25">
      <c r="A1246" s="615"/>
      <c r="B1246" s="616"/>
      <c r="C1246" s="617"/>
      <c r="D1246" s="617"/>
      <c r="E1246" s="617"/>
      <c r="F1246" s="1083"/>
      <c r="G1246" s="1084"/>
      <c r="H1246" s="1069"/>
      <c r="I1246" s="618"/>
      <c r="J1246" s="619"/>
      <c r="K1246" s="618"/>
      <c r="L1246" s="620"/>
      <c r="M1246" s="621"/>
      <c r="N1246" s="620"/>
    </row>
    <row r="1247" spans="1:14" ht="11.25" customHeight="1" x14ac:dyDescent="0.25">
      <c r="A1247" s="615"/>
      <c r="B1247" s="616"/>
      <c r="C1247" s="617"/>
      <c r="D1247" s="617"/>
      <c r="E1247" s="617"/>
      <c r="F1247" s="1083"/>
      <c r="G1247" s="1084"/>
      <c r="H1247" s="1069"/>
      <c r="I1247" s="618"/>
      <c r="J1247" s="619"/>
      <c r="K1247" s="618"/>
      <c r="L1247" s="620"/>
      <c r="M1247" s="621"/>
      <c r="N1247" s="620"/>
    </row>
    <row r="1248" spans="1:14" ht="11.25" customHeight="1" x14ac:dyDescent="0.25">
      <c r="A1248" s="615"/>
      <c r="B1248" s="616"/>
      <c r="C1248" s="617"/>
      <c r="D1248" s="617"/>
      <c r="E1248" s="617"/>
      <c r="F1248" s="1083"/>
      <c r="G1248" s="1084"/>
      <c r="H1248" s="1069"/>
      <c r="I1248" s="618"/>
      <c r="J1248" s="619"/>
      <c r="K1248" s="618"/>
      <c r="L1248" s="620"/>
      <c r="M1248" s="621"/>
      <c r="N1248" s="620"/>
    </row>
    <row r="1249" spans="1:14" ht="11.25" customHeight="1" x14ac:dyDescent="0.25">
      <c r="A1249" s="615"/>
      <c r="B1249" s="616"/>
      <c r="C1249" s="617"/>
      <c r="D1249" s="617"/>
      <c r="E1249" s="617"/>
      <c r="F1249" s="1083"/>
      <c r="G1249" s="1084"/>
      <c r="H1249" s="1069"/>
      <c r="I1249" s="618"/>
      <c r="J1249" s="619"/>
      <c r="K1249" s="618"/>
      <c r="L1249" s="620"/>
      <c r="M1249" s="621"/>
      <c r="N1249" s="620"/>
    </row>
    <row r="1250" spans="1:14" ht="11.25" customHeight="1" x14ac:dyDescent="0.25">
      <c r="A1250" s="615"/>
      <c r="B1250" s="616"/>
      <c r="C1250" s="617"/>
      <c r="D1250" s="617"/>
      <c r="E1250" s="617"/>
      <c r="F1250" s="1083"/>
      <c r="G1250" s="1084"/>
      <c r="H1250" s="1069"/>
      <c r="I1250" s="618"/>
      <c r="J1250" s="619"/>
      <c r="K1250" s="618"/>
      <c r="L1250" s="620"/>
      <c r="M1250" s="621"/>
      <c r="N1250" s="620"/>
    </row>
    <row r="1251" spans="1:14" ht="11.25" customHeight="1" x14ac:dyDescent="0.25">
      <c r="A1251" s="615"/>
      <c r="B1251" s="616"/>
      <c r="C1251" s="617"/>
      <c r="D1251" s="617"/>
      <c r="E1251" s="617"/>
      <c r="F1251" s="1083"/>
      <c r="G1251" s="1084"/>
      <c r="H1251" s="1069"/>
      <c r="I1251" s="618"/>
      <c r="J1251" s="619"/>
      <c r="K1251" s="618"/>
      <c r="L1251" s="620"/>
      <c r="M1251" s="621"/>
      <c r="N1251" s="620"/>
    </row>
    <row r="1252" spans="1:14" ht="11.25" customHeight="1" x14ac:dyDescent="0.25">
      <c r="A1252" s="615"/>
      <c r="B1252" s="616"/>
      <c r="C1252" s="617"/>
      <c r="D1252" s="617"/>
      <c r="E1252" s="617"/>
      <c r="F1252" s="1083"/>
      <c r="G1252" s="1084"/>
      <c r="H1252" s="1069"/>
      <c r="I1252" s="618"/>
      <c r="J1252" s="619"/>
      <c r="K1252" s="618"/>
      <c r="L1252" s="620"/>
      <c r="M1252" s="621"/>
      <c r="N1252" s="620"/>
    </row>
    <row r="1253" spans="1:14" ht="11.25" customHeight="1" x14ac:dyDescent="0.25">
      <c r="A1253" s="615"/>
      <c r="B1253" s="616"/>
      <c r="C1253" s="617"/>
      <c r="D1253" s="617"/>
      <c r="E1253" s="617"/>
      <c r="F1253" s="1083"/>
      <c r="G1253" s="1084"/>
      <c r="H1253" s="1069"/>
      <c r="I1253" s="618"/>
      <c r="J1253" s="619"/>
      <c r="K1253" s="618"/>
      <c r="L1253" s="620"/>
      <c r="M1253" s="621"/>
      <c r="N1253" s="620"/>
    </row>
    <row r="1254" spans="1:14" ht="11.25" customHeight="1" x14ac:dyDescent="0.25">
      <c r="A1254" s="615"/>
      <c r="B1254" s="616"/>
      <c r="C1254" s="617"/>
      <c r="D1254" s="617"/>
      <c r="E1254" s="617"/>
      <c r="F1254" s="1083"/>
      <c r="G1254" s="1084"/>
      <c r="H1254" s="1069"/>
      <c r="I1254" s="618"/>
      <c r="J1254" s="619"/>
      <c r="K1254" s="618"/>
      <c r="L1254" s="620"/>
      <c r="M1254" s="621"/>
      <c r="N1254" s="620"/>
    </row>
    <row r="1255" spans="1:14" ht="11.25" customHeight="1" x14ac:dyDescent="0.25">
      <c r="A1255" s="615"/>
      <c r="B1255" s="616"/>
      <c r="C1255" s="617"/>
      <c r="D1255" s="617"/>
      <c r="E1255" s="617"/>
      <c r="F1255" s="1083"/>
      <c r="G1255" s="1084"/>
      <c r="H1255" s="1069"/>
      <c r="I1255" s="618"/>
      <c r="J1255" s="619"/>
      <c r="K1255" s="618"/>
      <c r="L1255" s="620"/>
      <c r="M1255" s="621"/>
      <c r="N1255" s="620"/>
    </row>
    <row r="1256" spans="1:14" ht="11.25" customHeight="1" x14ac:dyDescent="0.25">
      <c r="A1256" s="615"/>
      <c r="B1256" s="616"/>
      <c r="C1256" s="617"/>
      <c r="D1256" s="617"/>
      <c r="E1256" s="617"/>
      <c r="F1256" s="1083"/>
      <c r="G1256" s="1084"/>
      <c r="H1256" s="1069"/>
      <c r="I1256" s="618"/>
      <c r="J1256" s="619"/>
      <c r="K1256" s="618"/>
      <c r="L1256" s="620"/>
      <c r="M1256" s="621"/>
      <c r="N1256" s="620"/>
    </row>
    <row r="1257" spans="1:14" ht="11.25" customHeight="1" x14ac:dyDescent="0.25">
      <c r="A1257" s="615"/>
      <c r="B1257" s="616"/>
      <c r="C1257" s="617"/>
      <c r="D1257" s="617"/>
      <c r="E1257" s="617"/>
      <c r="F1257" s="1083"/>
      <c r="G1257" s="1084"/>
      <c r="H1257" s="1069"/>
      <c r="I1257" s="618"/>
      <c r="J1257" s="619"/>
      <c r="K1257" s="618"/>
      <c r="L1257" s="620"/>
      <c r="M1257" s="621"/>
      <c r="N1257" s="620"/>
    </row>
    <row r="1258" spans="1:14" ht="11.25" customHeight="1" x14ac:dyDescent="0.25">
      <c r="A1258" s="615"/>
      <c r="B1258" s="616"/>
      <c r="C1258" s="617"/>
      <c r="D1258" s="617"/>
      <c r="E1258" s="617"/>
      <c r="F1258" s="1083"/>
      <c r="G1258" s="1084"/>
      <c r="H1258" s="1069"/>
      <c r="I1258" s="618"/>
      <c r="J1258" s="619"/>
      <c r="K1258" s="618"/>
      <c r="L1258" s="620"/>
      <c r="M1258" s="621"/>
      <c r="N1258" s="620"/>
    </row>
    <row r="1259" spans="1:14" ht="11.25" customHeight="1" x14ac:dyDescent="0.25">
      <c r="A1259" s="615"/>
      <c r="B1259" s="616"/>
      <c r="C1259" s="617"/>
      <c r="D1259" s="617"/>
      <c r="E1259" s="617"/>
      <c r="F1259" s="1083"/>
      <c r="G1259" s="1084"/>
      <c r="H1259" s="1069"/>
      <c r="I1259" s="618"/>
      <c r="J1259" s="619"/>
      <c r="K1259" s="618"/>
      <c r="L1259" s="620"/>
      <c r="M1259" s="621"/>
      <c r="N1259" s="620"/>
    </row>
    <row r="1260" spans="1:14" ht="11.25" customHeight="1" x14ac:dyDescent="0.25">
      <c r="A1260" s="615"/>
      <c r="B1260" s="616"/>
      <c r="C1260" s="617"/>
      <c r="D1260" s="617"/>
      <c r="E1260" s="617"/>
      <c r="F1260" s="1083"/>
      <c r="G1260" s="1084"/>
      <c r="H1260" s="1069"/>
      <c r="I1260" s="618"/>
      <c r="J1260" s="619"/>
      <c r="K1260" s="618"/>
      <c r="L1260" s="620"/>
      <c r="M1260" s="621"/>
      <c r="N1260" s="620"/>
    </row>
    <row r="1261" spans="1:14" ht="11.25" customHeight="1" x14ac:dyDescent="0.25">
      <c r="A1261" s="615"/>
      <c r="B1261" s="616"/>
      <c r="C1261" s="617"/>
      <c r="D1261" s="617"/>
      <c r="E1261" s="617"/>
      <c r="F1261" s="1083"/>
      <c r="G1261" s="1084"/>
      <c r="H1261" s="1069"/>
      <c r="I1261" s="618"/>
      <c r="J1261" s="619"/>
      <c r="K1261" s="618"/>
      <c r="L1261" s="620"/>
      <c r="M1261" s="621"/>
      <c r="N1261" s="620"/>
    </row>
    <row r="1262" spans="1:14" ht="11.25" customHeight="1" x14ac:dyDescent="0.25">
      <c r="A1262" s="615"/>
      <c r="B1262" s="616"/>
      <c r="C1262" s="617"/>
      <c r="D1262" s="617"/>
      <c r="E1262" s="617"/>
      <c r="F1262" s="1083"/>
      <c r="G1262" s="1084"/>
      <c r="H1262" s="1069"/>
      <c r="I1262" s="618"/>
      <c r="J1262" s="619"/>
      <c r="K1262" s="618"/>
      <c r="L1262" s="620"/>
      <c r="M1262" s="621"/>
      <c r="N1262" s="620"/>
    </row>
    <row r="1263" spans="1:14" ht="11.25" customHeight="1" x14ac:dyDescent="0.25">
      <c r="A1263" s="615"/>
      <c r="B1263" s="616"/>
      <c r="C1263" s="617"/>
      <c r="D1263" s="617"/>
      <c r="E1263" s="617"/>
      <c r="F1263" s="1083"/>
      <c r="G1263" s="1084"/>
      <c r="H1263" s="1069"/>
      <c r="I1263" s="618"/>
      <c r="J1263" s="619"/>
      <c r="K1263" s="618"/>
      <c r="L1263" s="620"/>
      <c r="M1263" s="621"/>
      <c r="N1263" s="620"/>
    </row>
    <row r="1264" spans="1:14" ht="11.25" customHeight="1" x14ac:dyDescent="0.25">
      <c r="A1264" s="615"/>
      <c r="B1264" s="616"/>
      <c r="C1264" s="617"/>
      <c r="D1264" s="617"/>
      <c r="E1264" s="617"/>
      <c r="F1264" s="1083"/>
      <c r="G1264" s="1084"/>
      <c r="H1264" s="1069"/>
      <c r="I1264" s="618"/>
      <c r="J1264" s="619"/>
      <c r="K1264" s="618"/>
      <c r="L1264" s="620"/>
      <c r="M1264" s="621"/>
      <c r="N1264" s="620"/>
    </row>
    <row r="1265" spans="1:14" ht="11.25" customHeight="1" x14ac:dyDescent="0.25">
      <c r="A1265" s="615"/>
      <c r="B1265" s="616"/>
      <c r="C1265" s="617"/>
      <c r="D1265" s="617"/>
      <c r="E1265" s="617"/>
      <c r="F1265" s="1083"/>
      <c r="G1265" s="1084"/>
      <c r="H1265" s="1069"/>
      <c r="I1265" s="618"/>
      <c r="J1265" s="619"/>
      <c r="K1265" s="618"/>
      <c r="L1265" s="620"/>
      <c r="M1265" s="621"/>
      <c r="N1265" s="620"/>
    </row>
    <row r="1266" spans="1:14" ht="11.25" customHeight="1" x14ac:dyDescent="0.25">
      <c r="A1266" s="615"/>
      <c r="B1266" s="616"/>
      <c r="C1266" s="617"/>
      <c r="D1266" s="617"/>
      <c r="E1266" s="617"/>
      <c r="F1266" s="1083"/>
      <c r="G1266" s="1084"/>
      <c r="H1266" s="1069"/>
      <c r="I1266" s="618"/>
      <c r="J1266" s="619"/>
      <c r="K1266" s="618"/>
      <c r="L1266" s="620"/>
      <c r="M1266" s="621"/>
      <c r="N1266" s="620"/>
    </row>
    <row r="1267" spans="1:14" ht="11.25" customHeight="1" x14ac:dyDescent="0.25">
      <c r="A1267" s="615"/>
      <c r="B1267" s="616"/>
      <c r="C1267" s="617"/>
      <c r="D1267" s="617"/>
      <c r="E1267" s="617"/>
      <c r="F1267" s="1083"/>
      <c r="G1267" s="1084"/>
      <c r="H1267" s="1069"/>
      <c r="I1267" s="618"/>
      <c r="J1267" s="619"/>
      <c r="K1267" s="618"/>
      <c r="L1267" s="620"/>
      <c r="M1267" s="621"/>
      <c r="N1267" s="620"/>
    </row>
    <row r="1268" spans="1:14" ht="11.25" customHeight="1" x14ac:dyDescent="0.25">
      <c r="A1268" s="615"/>
      <c r="B1268" s="616"/>
      <c r="C1268" s="617"/>
      <c r="D1268" s="617"/>
      <c r="E1268" s="617"/>
      <c r="F1268" s="1083"/>
      <c r="G1268" s="1084"/>
      <c r="H1268" s="1069"/>
      <c r="I1268" s="618"/>
      <c r="J1268" s="619"/>
      <c r="K1268" s="618"/>
      <c r="L1268" s="620"/>
      <c r="M1268" s="621"/>
      <c r="N1268" s="620"/>
    </row>
    <row r="1269" spans="1:14" ht="11.25" customHeight="1" x14ac:dyDescent="0.25">
      <c r="A1269" s="615"/>
      <c r="B1269" s="616"/>
      <c r="C1269" s="617"/>
      <c r="D1269" s="617"/>
      <c r="E1269" s="617"/>
      <c r="F1269" s="1083"/>
      <c r="G1269" s="1084"/>
      <c r="H1269" s="1069"/>
      <c r="I1269" s="618"/>
      <c r="J1269" s="619"/>
      <c r="K1269" s="618"/>
      <c r="L1269" s="620"/>
      <c r="M1269" s="621"/>
      <c r="N1269" s="620"/>
    </row>
    <row r="1270" spans="1:14" ht="11.25" customHeight="1" x14ac:dyDescent="0.25">
      <c r="A1270" s="615"/>
      <c r="B1270" s="616"/>
      <c r="C1270" s="617"/>
      <c r="D1270" s="617"/>
      <c r="E1270" s="617"/>
      <c r="F1270" s="1083"/>
      <c r="G1270" s="1084"/>
      <c r="H1270" s="1069"/>
      <c r="I1270" s="618"/>
      <c r="J1270" s="619"/>
      <c r="K1270" s="618"/>
      <c r="L1270" s="620"/>
      <c r="M1270" s="621"/>
      <c r="N1270" s="620"/>
    </row>
    <row r="1271" spans="1:14" ht="11.25" customHeight="1" x14ac:dyDescent="0.25">
      <c r="A1271" s="615"/>
      <c r="B1271" s="616"/>
      <c r="C1271" s="617"/>
      <c r="D1271" s="617"/>
      <c r="E1271" s="617"/>
      <c r="F1271" s="1083"/>
      <c r="G1271" s="1084"/>
      <c r="H1271" s="1069"/>
      <c r="I1271" s="618"/>
      <c r="J1271" s="619"/>
      <c r="K1271" s="618"/>
      <c r="L1271" s="620"/>
      <c r="M1271" s="621"/>
      <c r="N1271" s="620"/>
    </row>
    <row r="1272" spans="1:14" ht="11.25" customHeight="1" x14ac:dyDescent="0.25">
      <c r="A1272" s="615"/>
      <c r="B1272" s="616"/>
      <c r="C1272" s="617"/>
      <c r="D1272" s="617"/>
      <c r="E1272" s="617"/>
      <c r="F1272" s="1083"/>
      <c r="G1272" s="1084"/>
      <c r="H1272" s="1069"/>
      <c r="I1272" s="618"/>
      <c r="J1272" s="619"/>
      <c r="K1272" s="618"/>
      <c r="L1272" s="620"/>
      <c r="M1272" s="621"/>
      <c r="N1272" s="620"/>
    </row>
    <row r="1273" spans="1:14" ht="11.25" customHeight="1" x14ac:dyDescent="0.25">
      <c r="A1273" s="615"/>
      <c r="B1273" s="616"/>
      <c r="C1273" s="617"/>
      <c r="D1273" s="617"/>
      <c r="E1273" s="617"/>
      <c r="F1273" s="1083"/>
      <c r="G1273" s="1084"/>
      <c r="H1273" s="1069"/>
      <c r="I1273" s="618"/>
      <c r="J1273" s="619"/>
      <c r="K1273" s="618"/>
      <c r="L1273" s="620"/>
      <c r="M1273" s="621"/>
      <c r="N1273" s="620"/>
    </row>
    <row r="1274" spans="1:14" ht="11.25" customHeight="1" x14ac:dyDescent="0.25">
      <c r="A1274" s="615"/>
      <c r="B1274" s="616"/>
      <c r="C1274" s="617"/>
      <c r="D1274" s="617"/>
      <c r="E1274" s="617"/>
      <c r="F1274" s="1083"/>
      <c r="G1274" s="1084"/>
      <c r="H1274" s="1069"/>
      <c r="I1274" s="618"/>
      <c r="J1274" s="619"/>
      <c r="K1274" s="618"/>
      <c r="L1274" s="620"/>
      <c r="M1274" s="621"/>
      <c r="N1274" s="620"/>
    </row>
    <row r="1275" spans="1:14" ht="11.25" customHeight="1" x14ac:dyDescent="0.25">
      <c r="A1275" s="615"/>
      <c r="B1275" s="616"/>
      <c r="C1275" s="617"/>
      <c r="D1275" s="617"/>
      <c r="E1275" s="617"/>
      <c r="F1275" s="1083"/>
      <c r="G1275" s="1084"/>
      <c r="H1275" s="1069"/>
      <c r="I1275" s="618"/>
      <c r="J1275" s="619"/>
      <c r="K1275" s="618"/>
      <c r="L1275" s="620"/>
      <c r="M1275" s="621"/>
      <c r="N1275" s="620"/>
    </row>
    <row r="1276" spans="1:14" ht="11.25" customHeight="1" x14ac:dyDescent="0.25">
      <c r="A1276" s="615"/>
      <c r="B1276" s="616"/>
      <c r="C1276" s="617"/>
      <c r="D1276" s="617"/>
      <c r="E1276" s="617"/>
      <c r="F1276" s="1083"/>
      <c r="G1276" s="1084"/>
      <c r="H1276" s="1069"/>
      <c r="I1276" s="618"/>
      <c r="J1276" s="619"/>
      <c r="K1276" s="618"/>
      <c r="L1276" s="620"/>
      <c r="M1276" s="621"/>
      <c r="N1276" s="620"/>
    </row>
    <row r="1277" spans="1:14" ht="11.25" customHeight="1" x14ac:dyDescent="0.25">
      <c r="A1277" s="615"/>
      <c r="B1277" s="616"/>
      <c r="C1277" s="617"/>
      <c r="D1277" s="617"/>
      <c r="E1277" s="617"/>
      <c r="F1277" s="1083"/>
      <c r="G1277" s="1084"/>
      <c r="H1277" s="1069"/>
      <c r="I1277" s="618"/>
      <c r="J1277" s="619"/>
      <c r="K1277" s="618"/>
      <c r="L1277" s="620"/>
      <c r="M1277" s="621"/>
      <c r="N1277" s="620"/>
    </row>
    <row r="1278" spans="1:14" ht="11.25" customHeight="1" x14ac:dyDescent="0.25">
      <c r="A1278" s="615"/>
      <c r="B1278" s="616"/>
      <c r="C1278" s="617"/>
      <c r="D1278" s="617"/>
      <c r="E1278" s="617"/>
      <c r="F1278" s="1083"/>
      <c r="G1278" s="1084"/>
      <c r="H1278" s="1069"/>
      <c r="I1278" s="618"/>
      <c r="J1278" s="619"/>
      <c r="K1278" s="618"/>
      <c r="L1278" s="620"/>
      <c r="M1278" s="621"/>
      <c r="N1278" s="620"/>
    </row>
    <row r="1279" spans="1:14" ht="11.25" customHeight="1" x14ac:dyDescent="0.25">
      <c r="A1279" s="615"/>
      <c r="B1279" s="616"/>
      <c r="C1279" s="617"/>
      <c r="D1279" s="617"/>
      <c r="E1279" s="617"/>
      <c r="F1279" s="1083"/>
      <c r="G1279" s="1084"/>
      <c r="H1279" s="1069"/>
      <c r="I1279" s="618"/>
      <c r="J1279" s="619"/>
      <c r="K1279" s="618"/>
      <c r="L1279" s="620"/>
      <c r="M1279" s="621"/>
      <c r="N1279" s="620"/>
    </row>
    <row r="1280" spans="1:14" ht="11.25" customHeight="1" x14ac:dyDescent="0.25">
      <c r="A1280" s="615"/>
      <c r="B1280" s="616"/>
      <c r="C1280" s="617"/>
      <c r="D1280" s="617"/>
      <c r="E1280" s="617"/>
      <c r="F1280" s="1083"/>
      <c r="G1280" s="1084"/>
      <c r="H1280" s="1069"/>
      <c r="I1280" s="618"/>
      <c r="J1280" s="619"/>
      <c r="K1280" s="618"/>
      <c r="L1280" s="620"/>
      <c r="M1280" s="621"/>
      <c r="N1280" s="620"/>
    </row>
    <row r="1281" spans="1:14" ht="11.25" customHeight="1" x14ac:dyDescent="0.25">
      <c r="A1281" s="615"/>
      <c r="B1281" s="616"/>
      <c r="C1281" s="617"/>
      <c r="D1281" s="617"/>
      <c r="E1281" s="617"/>
      <c r="F1281" s="1083"/>
      <c r="G1281" s="1084"/>
      <c r="H1281" s="1069"/>
      <c r="I1281" s="618"/>
      <c r="J1281" s="619"/>
      <c r="K1281" s="618"/>
      <c r="L1281" s="620"/>
      <c r="M1281" s="621"/>
      <c r="N1281" s="620"/>
    </row>
    <row r="1282" spans="1:14" ht="11.25" customHeight="1" x14ac:dyDescent="0.25">
      <c r="A1282" s="615"/>
      <c r="B1282" s="616"/>
      <c r="C1282" s="617"/>
      <c r="D1282" s="617"/>
      <c r="E1282" s="617"/>
      <c r="F1282" s="1083"/>
      <c r="G1282" s="1084"/>
      <c r="H1282" s="1069"/>
      <c r="I1282" s="618"/>
      <c r="J1282" s="619"/>
      <c r="K1282" s="618"/>
      <c r="L1282" s="620"/>
      <c r="M1282" s="621"/>
      <c r="N1282" s="620"/>
    </row>
    <row r="1283" spans="1:14" ht="11.25" customHeight="1" x14ac:dyDescent="0.25">
      <c r="A1283" s="615"/>
      <c r="B1283" s="616"/>
      <c r="C1283" s="617"/>
      <c r="D1283" s="617"/>
      <c r="E1283" s="617"/>
      <c r="F1283" s="1083"/>
      <c r="G1283" s="1084"/>
      <c r="H1283" s="1069"/>
      <c r="I1283" s="618"/>
      <c r="J1283" s="619"/>
      <c r="K1283" s="618"/>
      <c r="L1283" s="620"/>
      <c r="M1283" s="621"/>
      <c r="N1283" s="620"/>
    </row>
    <row r="1284" spans="1:14" ht="11.25" customHeight="1" x14ac:dyDescent="0.25">
      <c r="A1284" s="615"/>
      <c r="B1284" s="616"/>
      <c r="C1284" s="617"/>
      <c r="D1284" s="617"/>
      <c r="E1284" s="617"/>
      <c r="F1284" s="1083"/>
      <c r="G1284" s="1084"/>
      <c r="H1284" s="1069"/>
      <c r="I1284" s="618"/>
      <c r="J1284" s="619"/>
      <c r="K1284" s="618"/>
      <c r="L1284" s="620"/>
      <c r="M1284" s="621"/>
      <c r="N1284" s="620"/>
    </row>
    <row r="1285" spans="1:14" ht="11.25" customHeight="1" x14ac:dyDescent="0.25">
      <c r="A1285" s="615"/>
      <c r="B1285" s="616"/>
      <c r="C1285" s="617"/>
      <c r="D1285" s="617"/>
      <c r="E1285" s="617"/>
      <c r="F1285" s="1083"/>
      <c r="G1285" s="1084"/>
      <c r="H1285" s="1069"/>
      <c r="I1285" s="618"/>
      <c r="J1285" s="619"/>
      <c r="K1285" s="618"/>
      <c r="L1285" s="620"/>
      <c r="M1285" s="621"/>
      <c r="N1285" s="620"/>
    </row>
    <row r="1286" spans="1:14" ht="11.25" customHeight="1" x14ac:dyDescent="0.25">
      <c r="A1286" s="615"/>
      <c r="B1286" s="616"/>
      <c r="C1286" s="617"/>
      <c r="D1286" s="617"/>
      <c r="E1286" s="617"/>
      <c r="F1286" s="1083"/>
      <c r="G1286" s="1084"/>
      <c r="H1286" s="1069"/>
      <c r="I1286" s="618"/>
      <c r="J1286" s="619"/>
      <c r="K1286" s="618"/>
      <c r="L1286" s="620"/>
      <c r="M1286" s="621"/>
      <c r="N1286" s="620"/>
    </row>
    <row r="1287" spans="1:14" ht="11.25" customHeight="1" x14ac:dyDescent="0.25">
      <c r="A1287" s="615"/>
      <c r="B1287" s="616"/>
      <c r="C1287" s="617"/>
      <c r="D1287" s="617"/>
      <c r="E1287" s="617"/>
      <c r="F1287" s="1083"/>
      <c r="G1287" s="1084"/>
      <c r="H1287" s="1069"/>
      <c r="I1287" s="618"/>
      <c r="J1287" s="619"/>
      <c r="K1287" s="618"/>
      <c r="L1287" s="620"/>
      <c r="M1287" s="621"/>
      <c r="N1287" s="620"/>
    </row>
    <row r="1288" spans="1:14" ht="11.25" customHeight="1" x14ac:dyDescent="0.25">
      <c r="A1288" s="615"/>
      <c r="B1288" s="616"/>
      <c r="C1288" s="617"/>
      <c r="D1288" s="617"/>
      <c r="E1288" s="617"/>
      <c r="F1288" s="1083"/>
      <c r="G1288" s="1084"/>
      <c r="H1288" s="1069"/>
      <c r="I1288" s="618"/>
      <c r="J1288" s="619"/>
      <c r="K1288" s="618"/>
      <c r="L1288" s="620"/>
      <c r="M1288" s="621"/>
      <c r="N1288" s="620"/>
    </row>
    <row r="1289" spans="1:14" ht="11.25" customHeight="1" x14ac:dyDescent="0.25">
      <c r="A1289" s="615"/>
      <c r="B1289" s="616"/>
      <c r="C1289" s="617"/>
      <c r="D1289" s="617"/>
      <c r="E1289" s="617"/>
      <c r="F1289" s="1083"/>
      <c r="G1289" s="1084"/>
      <c r="H1289" s="1069"/>
      <c r="I1289" s="618"/>
      <c r="J1289" s="619"/>
      <c r="K1289" s="618"/>
      <c r="L1289" s="620"/>
      <c r="M1289" s="621"/>
      <c r="N1289" s="620"/>
    </row>
    <row r="1290" spans="1:14" ht="11.25" customHeight="1" x14ac:dyDescent="0.25">
      <c r="A1290" s="615"/>
      <c r="B1290" s="616"/>
      <c r="C1290" s="617"/>
      <c r="D1290" s="617"/>
      <c r="E1290" s="617"/>
      <c r="F1290" s="1083"/>
      <c r="G1290" s="1084"/>
      <c r="H1290" s="1069"/>
      <c r="I1290" s="618"/>
      <c r="J1290" s="619"/>
      <c r="K1290" s="618"/>
      <c r="L1290" s="620"/>
      <c r="M1290" s="621"/>
      <c r="N1290" s="620"/>
    </row>
    <row r="1291" spans="1:14" ht="11.25" customHeight="1" x14ac:dyDescent="0.25">
      <c r="A1291" s="615"/>
      <c r="B1291" s="616"/>
      <c r="C1291" s="617"/>
      <c r="D1291" s="617"/>
      <c r="E1291" s="617"/>
      <c r="F1291" s="1083"/>
      <c r="G1291" s="1084"/>
      <c r="H1291" s="1069"/>
      <c r="I1291" s="618"/>
      <c r="J1291" s="619"/>
      <c r="K1291" s="618"/>
      <c r="L1291" s="620"/>
      <c r="M1291" s="621"/>
      <c r="N1291" s="620"/>
    </row>
    <row r="1292" spans="1:14" ht="11.25" customHeight="1" x14ac:dyDescent="0.25">
      <c r="A1292" s="615"/>
      <c r="B1292" s="616"/>
      <c r="C1292" s="617"/>
      <c r="D1292" s="617"/>
      <c r="E1292" s="617"/>
      <c r="F1292" s="1083"/>
      <c r="G1292" s="1084"/>
      <c r="H1292" s="1069"/>
      <c r="I1292" s="618"/>
      <c r="J1292" s="619"/>
      <c r="K1292" s="618"/>
      <c r="L1292" s="620"/>
      <c r="M1292" s="621"/>
      <c r="N1292" s="620"/>
    </row>
    <row r="1293" spans="1:14" ht="11.25" customHeight="1" x14ac:dyDescent="0.25">
      <c r="A1293" s="615"/>
      <c r="B1293" s="616"/>
      <c r="C1293" s="617"/>
      <c r="D1293" s="617"/>
      <c r="E1293" s="617"/>
      <c r="F1293" s="1083"/>
      <c r="G1293" s="1084"/>
      <c r="H1293" s="1069"/>
      <c r="I1293" s="618"/>
      <c r="J1293" s="619"/>
      <c r="K1293" s="618"/>
      <c r="L1293" s="620"/>
      <c r="M1293" s="621"/>
      <c r="N1293" s="620"/>
    </row>
    <row r="1294" spans="1:14" ht="11.25" customHeight="1" x14ac:dyDescent="0.25">
      <c r="A1294" s="615"/>
      <c r="B1294" s="616"/>
      <c r="C1294" s="617"/>
      <c r="D1294" s="617"/>
      <c r="E1294" s="617"/>
      <c r="F1294" s="1083"/>
      <c r="G1294" s="1084"/>
      <c r="H1294" s="1069"/>
      <c r="I1294" s="618"/>
      <c r="J1294" s="619"/>
      <c r="K1294" s="618"/>
      <c r="L1294" s="620"/>
      <c r="M1294" s="621"/>
      <c r="N1294" s="620"/>
    </row>
    <row r="1295" spans="1:14" ht="11.25" customHeight="1" x14ac:dyDescent="0.25">
      <c r="A1295" s="615"/>
      <c r="B1295" s="616"/>
      <c r="C1295" s="617"/>
      <c r="D1295" s="617"/>
      <c r="E1295" s="617"/>
      <c r="F1295" s="1083"/>
      <c r="G1295" s="1084"/>
      <c r="H1295" s="1069"/>
      <c r="I1295" s="618"/>
      <c r="J1295" s="619"/>
      <c r="K1295" s="618"/>
      <c r="L1295" s="620"/>
      <c r="M1295" s="621"/>
      <c r="N1295" s="620"/>
    </row>
    <row r="1296" spans="1:14" ht="11.25" customHeight="1" x14ac:dyDescent="0.25">
      <c r="A1296" s="615"/>
      <c r="B1296" s="616"/>
      <c r="C1296" s="617"/>
      <c r="D1296" s="617"/>
      <c r="E1296" s="617"/>
      <c r="F1296" s="1083"/>
      <c r="G1296" s="1084"/>
      <c r="H1296" s="1069"/>
      <c r="I1296" s="618"/>
      <c r="J1296" s="619"/>
      <c r="K1296" s="618"/>
      <c r="L1296" s="620"/>
      <c r="M1296" s="621"/>
      <c r="N1296" s="620"/>
    </row>
    <row r="1297" spans="1:14" ht="11.25" customHeight="1" x14ac:dyDescent="0.25">
      <c r="A1297" s="615"/>
      <c r="B1297" s="616"/>
      <c r="C1297" s="617"/>
      <c r="D1297" s="617"/>
      <c r="E1297" s="617"/>
      <c r="F1297" s="1083"/>
      <c r="G1297" s="1084"/>
      <c r="H1297" s="1069"/>
      <c r="I1297" s="618"/>
      <c r="J1297" s="619"/>
      <c r="K1297" s="618"/>
      <c r="L1297" s="620"/>
      <c r="M1297" s="621"/>
      <c r="N1297" s="620"/>
    </row>
    <row r="1298" spans="1:14" ht="11.25" customHeight="1" x14ac:dyDescent="0.25">
      <c r="A1298" s="615"/>
      <c r="B1298" s="616"/>
      <c r="C1298" s="617"/>
      <c r="D1298" s="617"/>
      <c r="E1298" s="617"/>
      <c r="F1298" s="1083"/>
      <c r="G1298" s="1084"/>
      <c r="H1298" s="1069"/>
      <c r="I1298" s="618"/>
      <c r="J1298" s="619"/>
      <c r="K1298" s="618"/>
      <c r="L1298" s="620"/>
      <c r="M1298" s="621"/>
      <c r="N1298" s="620"/>
    </row>
    <row r="1299" spans="1:14" ht="11.25" customHeight="1" x14ac:dyDescent="0.25">
      <c r="A1299" s="615"/>
      <c r="B1299" s="616"/>
      <c r="C1299" s="617"/>
      <c r="D1299" s="617"/>
      <c r="E1299" s="617"/>
      <c r="F1299" s="1083"/>
      <c r="G1299" s="1084"/>
      <c r="H1299" s="1069"/>
      <c r="I1299" s="618"/>
      <c r="J1299" s="619"/>
      <c r="K1299" s="618"/>
      <c r="L1299" s="620"/>
      <c r="M1299" s="621"/>
      <c r="N1299" s="620"/>
    </row>
    <row r="1300" spans="1:14" ht="11.25" customHeight="1" x14ac:dyDescent="0.25">
      <c r="A1300" s="615"/>
      <c r="B1300" s="616"/>
      <c r="C1300" s="617"/>
      <c r="D1300" s="617"/>
      <c r="E1300" s="617"/>
      <c r="F1300" s="1083"/>
      <c r="G1300" s="1084"/>
      <c r="H1300" s="1069"/>
      <c r="I1300" s="618"/>
      <c r="J1300" s="619"/>
      <c r="K1300" s="618"/>
      <c r="L1300" s="620"/>
      <c r="M1300" s="621"/>
      <c r="N1300" s="620"/>
    </row>
    <row r="1301" spans="1:14" ht="11.25" customHeight="1" x14ac:dyDescent="0.25">
      <c r="A1301" s="615"/>
      <c r="B1301" s="616"/>
      <c r="C1301" s="617"/>
      <c r="D1301" s="617"/>
      <c r="E1301" s="617"/>
      <c r="F1301" s="1083"/>
      <c r="G1301" s="1084"/>
      <c r="H1301" s="1069"/>
      <c r="I1301" s="618"/>
      <c r="J1301" s="619"/>
      <c r="K1301" s="618"/>
      <c r="L1301" s="620"/>
      <c r="M1301" s="621"/>
      <c r="N1301" s="620"/>
    </row>
    <row r="1302" spans="1:14" ht="11.25" customHeight="1" x14ac:dyDescent="0.25">
      <c r="A1302" s="615"/>
      <c r="B1302" s="616"/>
      <c r="C1302" s="617"/>
      <c r="D1302" s="617"/>
      <c r="E1302" s="617"/>
      <c r="F1302" s="1083"/>
      <c r="G1302" s="1084"/>
      <c r="H1302" s="1069"/>
      <c r="I1302" s="618"/>
      <c r="J1302" s="619"/>
      <c r="K1302" s="618"/>
      <c r="L1302" s="620"/>
      <c r="M1302" s="621"/>
      <c r="N1302" s="620"/>
    </row>
    <row r="1303" spans="1:14" ht="11.25" customHeight="1" x14ac:dyDescent="0.25">
      <c r="A1303" s="615"/>
      <c r="B1303" s="616"/>
      <c r="C1303" s="617"/>
      <c r="D1303" s="617"/>
      <c r="E1303" s="617"/>
      <c r="F1303" s="1083"/>
      <c r="G1303" s="1084"/>
      <c r="H1303" s="1069"/>
      <c r="I1303" s="618"/>
      <c r="J1303" s="619"/>
      <c r="K1303" s="618"/>
      <c r="L1303" s="620"/>
      <c r="M1303" s="621"/>
      <c r="N1303" s="620"/>
    </row>
    <row r="1304" spans="1:14" ht="11.25" customHeight="1" x14ac:dyDescent="0.25">
      <c r="A1304" s="615"/>
      <c r="B1304" s="616"/>
      <c r="C1304" s="617"/>
      <c r="D1304" s="617"/>
      <c r="E1304" s="617"/>
      <c r="F1304" s="1083"/>
      <c r="G1304" s="1084"/>
      <c r="H1304" s="1069"/>
      <c r="I1304" s="618"/>
      <c r="J1304" s="619"/>
      <c r="K1304" s="618"/>
      <c r="L1304" s="620"/>
      <c r="M1304" s="621"/>
      <c r="N1304" s="620"/>
    </row>
    <row r="1305" spans="1:14" ht="11.25" customHeight="1" x14ac:dyDescent="0.25">
      <c r="A1305" s="615"/>
      <c r="B1305" s="616"/>
      <c r="C1305" s="617"/>
      <c r="D1305" s="617"/>
      <c r="E1305" s="617"/>
      <c r="F1305" s="1083"/>
      <c r="G1305" s="1084"/>
      <c r="H1305" s="1069"/>
      <c r="I1305" s="618"/>
      <c r="J1305" s="619"/>
      <c r="K1305" s="618"/>
      <c r="L1305" s="620"/>
      <c r="M1305" s="621"/>
      <c r="N1305" s="620"/>
    </row>
    <row r="1306" spans="1:14" ht="11.25" customHeight="1" x14ac:dyDescent="0.25">
      <c r="A1306" s="615"/>
      <c r="B1306" s="616"/>
      <c r="C1306" s="617"/>
      <c r="D1306" s="617"/>
      <c r="E1306" s="617"/>
      <c r="F1306" s="1083"/>
      <c r="G1306" s="1084"/>
      <c r="H1306" s="1069"/>
      <c r="I1306" s="618"/>
      <c r="J1306" s="619"/>
      <c r="K1306" s="618"/>
      <c r="L1306" s="620"/>
      <c r="M1306" s="621"/>
      <c r="N1306" s="620"/>
    </row>
    <row r="1307" spans="1:14" ht="11.25" customHeight="1" x14ac:dyDescent="0.25">
      <c r="A1307" s="615"/>
      <c r="B1307" s="616"/>
      <c r="C1307" s="617"/>
      <c r="D1307" s="617"/>
      <c r="E1307" s="617"/>
      <c r="F1307" s="1083"/>
      <c r="G1307" s="1084"/>
      <c r="H1307" s="1069"/>
      <c r="I1307" s="618"/>
      <c r="J1307" s="619"/>
      <c r="K1307" s="618"/>
      <c r="L1307" s="620"/>
      <c r="M1307" s="621"/>
      <c r="N1307" s="620"/>
    </row>
    <row r="1308" spans="1:14" ht="11.25" customHeight="1" x14ac:dyDescent="0.25">
      <c r="A1308" s="615"/>
      <c r="B1308" s="616"/>
      <c r="C1308" s="617"/>
      <c r="D1308" s="617"/>
      <c r="E1308" s="617"/>
      <c r="F1308" s="1083"/>
      <c r="G1308" s="1084"/>
      <c r="H1308" s="1069"/>
      <c r="I1308" s="618"/>
      <c r="J1308" s="619"/>
      <c r="K1308" s="618"/>
      <c r="L1308" s="620"/>
      <c r="M1308" s="621"/>
      <c r="N1308" s="620"/>
    </row>
    <row r="1309" spans="1:14" ht="11.25" customHeight="1" x14ac:dyDescent="0.25">
      <c r="A1309" s="615"/>
      <c r="B1309" s="616"/>
      <c r="C1309" s="617"/>
      <c r="D1309" s="617"/>
      <c r="E1309" s="617"/>
      <c r="F1309" s="1083"/>
      <c r="G1309" s="1084"/>
      <c r="H1309" s="1069"/>
      <c r="I1309" s="618"/>
      <c r="J1309" s="619"/>
      <c r="K1309" s="618"/>
      <c r="L1309" s="620"/>
      <c r="M1309" s="621"/>
      <c r="N1309" s="620"/>
    </row>
    <row r="1310" spans="1:14" ht="11.25" customHeight="1" x14ac:dyDescent="0.25">
      <c r="A1310" s="615"/>
      <c r="B1310" s="616"/>
      <c r="C1310" s="617"/>
      <c r="D1310" s="617"/>
      <c r="E1310" s="617"/>
      <c r="F1310" s="1083"/>
      <c r="G1310" s="1084"/>
      <c r="H1310" s="1069"/>
      <c r="I1310" s="618"/>
      <c r="J1310" s="619"/>
      <c r="K1310" s="618"/>
      <c r="L1310" s="620"/>
      <c r="M1310" s="621"/>
      <c r="N1310" s="620"/>
    </row>
    <row r="1311" spans="1:14" ht="11.25" customHeight="1" x14ac:dyDescent="0.25">
      <c r="A1311" s="615"/>
      <c r="B1311" s="616"/>
      <c r="C1311" s="617"/>
      <c r="D1311" s="617"/>
      <c r="E1311" s="617"/>
      <c r="F1311" s="1083"/>
      <c r="G1311" s="1084"/>
      <c r="H1311" s="1069"/>
      <c r="I1311" s="618"/>
      <c r="J1311" s="619"/>
      <c r="K1311" s="618"/>
      <c r="L1311" s="620"/>
      <c r="M1311" s="621"/>
      <c r="N1311" s="620"/>
    </row>
    <row r="1312" spans="1:14" ht="11.25" customHeight="1" x14ac:dyDescent="0.25">
      <c r="A1312" s="615"/>
      <c r="B1312" s="616"/>
      <c r="C1312" s="617"/>
      <c r="D1312" s="617"/>
      <c r="E1312" s="617"/>
      <c r="F1312" s="1083"/>
      <c r="G1312" s="1084"/>
      <c r="H1312" s="1069"/>
      <c r="I1312" s="618"/>
      <c r="J1312" s="619"/>
      <c r="K1312" s="618"/>
      <c r="L1312" s="620"/>
      <c r="M1312" s="621"/>
      <c r="N1312" s="620"/>
    </row>
    <row r="1313" spans="1:14" ht="11.25" customHeight="1" x14ac:dyDescent="0.25">
      <c r="A1313" s="615"/>
      <c r="B1313" s="616"/>
      <c r="C1313" s="617"/>
      <c r="D1313" s="617"/>
      <c r="E1313" s="617"/>
      <c r="F1313" s="1083"/>
      <c r="G1313" s="1084"/>
      <c r="H1313" s="1069"/>
      <c r="I1313" s="618"/>
      <c r="J1313" s="619"/>
      <c r="K1313" s="618"/>
      <c r="L1313" s="620"/>
      <c r="M1313" s="621"/>
      <c r="N1313" s="620"/>
    </row>
    <row r="1314" spans="1:14" ht="11.25" customHeight="1" x14ac:dyDescent="0.25">
      <c r="A1314" s="615"/>
      <c r="B1314" s="616"/>
      <c r="C1314" s="617"/>
      <c r="D1314" s="617"/>
      <c r="E1314" s="617"/>
      <c r="F1314" s="1083"/>
      <c r="G1314" s="1084"/>
      <c r="H1314" s="1069"/>
      <c r="I1314" s="618"/>
      <c r="J1314" s="619"/>
      <c r="K1314" s="618"/>
      <c r="L1314" s="620"/>
      <c r="M1314" s="621"/>
      <c r="N1314" s="620"/>
    </row>
    <row r="1315" spans="1:14" ht="11.25" customHeight="1" x14ac:dyDescent="0.25">
      <c r="A1315" s="615"/>
      <c r="B1315" s="616"/>
      <c r="C1315" s="617"/>
      <c r="D1315" s="617"/>
      <c r="E1315" s="617"/>
      <c r="F1315" s="1083"/>
      <c r="G1315" s="1084"/>
      <c r="H1315" s="1069"/>
      <c r="I1315" s="618"/>
      <c r="J1315" s="619"/>
      <c r="K1315" s="618"/>
      <c r="L1315" s="620"/>
      <c r="M1315" s="621"/>
      <c r="N1315" s="620"/>
    </row>
    <row r="1316" spans="1:14" ht="11.25" customHeight="1" x14ac:dyDescent="0.25">
      <c r="A1316" s="615"/>
      <c r="B1316" s="616"/>
      <c r="C1316" s="617"/>
      <c r="D1316" s="617"/>
      <c r="E1316" s="617"/>
      <c r="F1316" s="1083"/>
      <c r="G1316" s="1084"/>
      <c r="H1316" s="1069"/>
      <c r="I1316" s="618"/>
      <c r="J1316" s="619"/>
      <c r="K1316" s="618"/>
      <c r="L1316" s="620"/>
      <c r="M1316" s="621"/>
      <c r="N1316" s="620"/>
    </row>
    <row r="1317" spans="1:14" ht="11.25" customHeight="1" x14ac:dyDescent="0.25">
      <c r="A1317" s="615"/>
      <c r="B1317" s="616"/>
      <c r="C1317" s="617"/>
      <c r="D1317" s="617"/>
      <c r="E1317" s="617"/>
      <c r="F1317" s="1083"/>
      <c r="G1317" s="1084"/>
      <c r="H1317" s="1069"/>
      <c r="I1317" s="618"/>
      <c r="J1317" s="619"/>
      <c r="K1317" s="618"/>
      <c r="L1317" s="620"/>
      <c r="M1317" s="621"/>
      <c r="N1317" s="620"/>
    </row>
    <row r="1318" spans="1:14" ht="11.25" customHeight="1" x14ac:dyDescent="0.25">
      <c r="A1318" s="615"/>
      <c r="B1318" s="616"/>
      <c r="C1318" s="617"/>
      <c r="D1318" s="617"/>
      <c r="E1318" s="617"/>
      <c r="F1318" s="1083"/>
      <c r="G1318" s="1084"/>
      <c r="H1318" s="1069"/>
      <c r="I1318" s="618"/>
      <c r="J1318" s="619"/>
      <c r="K1318" s="618"/>
      <c r="L1318" s="620"/>
      <c r="M1318" s="621"/>
      <c r="N1318" s="620"/>
    </row>
    <row r="1319" spans="1:14" ht="11.25" customHeight="1" x14ac:dyDescent="0.25">
      <c r="A1319" s="615"/>
      <c r="B1319" s="616"/>
      <c r="C1319" s="617"/>
      <c r="D1319" s="617"/>
      <c r="E1319" s="617"/>
      <c r="F1319" s="1083"/>
      <c r="G1319" s="1084"/>
      <c r="H1319" s="1069"/>
      <c r="I1319" s="618"/>
      <c r="J1319" s="619"/>
      <c r="K1319" s="618"/>
      <c r="L1319" s="620"/>
      <c r="M1319" s="621"/>
      <c r="N1319" s="620"/>
    </row>
    <row r="1320" spans="1:14" ht="11.25" customHeight="1" x14ac:dyDescent="0.25">
      <c r="A1320" s="615"/>
      <c r="B1320" s="616"/>
      <c r="C1320" s="617"/>
      <c r="D1320" s="617"/>
      <c r="E1320" s="617"/>
      <c r="F1320" s="1083"/>
      <c r="G1320" s="1084"/>
      <c r="H1320" s="1069"/>
      <c r="I1320" s="618"/>
      <c r="J1320" s="619"/>
      <c r="K1320" s="618"/>
      <c r="L1320" s="620"/>
      <c r="M1320" s="621"/>
      <c r="N1320" s="620"/>
    </row>
    <row r="1321" spans="1:14" ht="11.25" customHeight="1" x14ac:dyDescent="0.25">
      <c r="A1321" s="615"/>
      <c r="B1321" s="616"/>
      <c r="C1321" s="617"/>
      <c r="D1321" s="617"/>
      <c r="E1321" s="617"/>
      <c r="F1321" s="1083"/>
      <c r="G1321" s="1084"/>
      <c r="H1321" s="1069"/>
      <c r="I1321" s="618"/>
      <c r="J1321" s="619"/>
      <c r="K1321" s="618"/>
      <c r="L1321" s="620"/>
      <c r="M1321" s="621"/>
      <c r="N1321" s="620"/>
    </row>
    <row r="1322" spans="1:14" ht="11.25" customHeight="1" x14ac:dyDescent="0.25">
      <c r="A1322" s="615"/>
      <c r="B1322" s="616"/>
      <c r="C1322" s="617"/>
      <c r="D1322" s="617"/>
      <c r="E1322" s="617"/>
      <c r="F1322" s="1083"/>
      <c r="G1322" s="1084"/>
      <c r="H1322" s="1069"/>
      <c r="I1322" s="618"/>
      <c r="J1322" s="619"/>
      <c r="K1322" s="618"/>
      <c r="L1322" s="620"/>
      <c r="M1322" s="621"/>
      <c r="N1322" s="620"/>
    </row>
    <row r="1323" spans="1:14" ht="11.25" customHeight="1" x14ac:dyDescent="0.25">
      <c r="A1323" s="615"/>
      <c r="B1323" s="616"/>
      <c r="C1323" s="617"/>
      <c r="D1323" s="617"/>
      <c r="E1323" s="617"/>
      <c r="F1323" s="1083"/>
      <c r="G1323" s="1084"/>
      <c r="H1323" s="1069"/>
      <c r="I1323" s="618"/>
      <c r="J1323" s="619"/>
      <c r="K1323" s="618"/>
      <c r="L1323" s="620"/>
      <c r="M1323" s="621"/>
      <c r="N1323" s="620"/>
    </row>
    <row r="1324" spans="1:14" ht="11.25" customHeight="1" x14ac:dyDescent="0.25">
      <c r="A1324" s="615"/>
      <c r="B1324" s="616"/>
      <c r="C1324" s="617"/>
      <c r="D1324" s="617"/>
      <c r="E1324" s="617"/>
      <c r="F1324" s="1083"/>
      <c r="G1324" s="1084"/>
      <c r="H1324" s="1069"/>
      <c r="I1324" s="618"/>
      <c r="J1324" s="619"/>
      <c r="K1324" s="618"/>
      <c r="L1324" s="620"/>
      <c r="M1324" s="621"/>
      <c r="N1324" s="620"/>
    </row>
    <row r="1325" spans="1:14" ht="11.25" customHeight="1" x14ac:dyDescent="0.25">
      <c r="A1325" s="615"/>
      <c r="B1325" s="616"/>
      <c r="C1325" s="617"/>
      <c r="D1325" s="617"/>
      <c r="E1325" s="617"/>
      <c r="F1325" s="1083"/>
      <c r="G1325" s="1084"/>
      <c r="H1325" s="1069"/>
      <c r="I1325" s="618"/>
      <c r="J1325" s="619"/>
      <c r="K1325" s="618"/>
      <c r="L1325" s="620"/>
      <c r="M1325" s="621"/>
      <c r="N1325" s="620"/>
    </row>
    <row r="1326" spans="1:14" ht="11.25" customHeight="1" x14ac:dyDescent="0.25">
      <c r="A1326" s="615"/>
      <c r="B1326" s="616"/>
      <c r="C1326" s="617"/>
      <c r="D1326" s="617"/>
      <c r="E1326" s="617"/>
      <c r="F1326" s="1083"/>
      <c r="G1326" s="1084"/>
      <c r="H1326" s="1069"/>
      <c r="I1326" s="618"/>
      <c r="J1326" s="619"/>
      <c r="K1326" s="618"/>
      <c r="L1326" s="620"/>
      <c r="M1326" s="621"/>
      <c r="N1326" s="620"/>
    </row>
    <row r="1327" spans="1:14" ht="11.25" customHeight="1" x14ac:dyDescent="0.25">
      <c r="A1327" s="615"/>
      <c r="B1327" s="616"/>
      <c r="C1327" s="617"/>
      <c r="D1327" s="617"/>
      <c r="E1327" s="617"/>
      <c r="F1327" s="1083"/>
      <c r="G1327" s="1084"/>
      <c r="H1327" s="1069"/>
      <c r="I1327" s="618"/>
      <c r="J1327" s="619"/>
      <c r="K1327" s="618"/>
      <c r="L1327" s="620"/>
      <c r="M1327" s="621"/>
      <c r="N1327" s="620"/>
    </row>
    <row r="1328" spans="1:14" ht="11.25" customHeight="1" x14ac:dyDescent="0.25">
      <c r="A1328" s="615"/>
      <c r="B1328" s="616"/>
      <c r="C1328" s="617"/>
      <c r="D1328" s="617"/>
      <c r="E1328" s="617"/>
      <c r="F1328" s="1083"/>
      <c r="G1328" s="1084"/>
      <c r="H1328" s="1069"/>
      <c r="I1328" s="618"/>
      <c r="J1328" s="619"/>
      <c r="K1328" s="618"/>
      <c r="L1328" s="620"/>
      <c r="M1328" s="621"/>
      <c r="N1328" s="620"/>
    </row>
    <row r="1329" spans="1:14" ht="11.25" customHeight="1" x14ac:dyDescent="0.25">
      <c r="A1329" s="615"/>
      <c r="B1329" s="616"/>
      <c r="C1329" s="617"/>
      <c r="D1329" s="617"/>
      <c r="E1329" s="617"/>
      <c r="F1329" s="1083"/>
      <c r="G1329" s="1084"/>
      <c r="H1329" s="1069"/>
      <c r="I1329" s="618"/>
      <c r="J1329" s="619"/>
      <c r="K1329" s="618"/>
      <c r="L1329" s="620"/>
      <c r="M1329" s="621"/>
      <c r="N1329" s="620"/>
    </row>
    <row r="1330" spans="1:14" ht="11.25" customHeight="1" x14ac:dyDescent="0.25">
      <c r="A1330" s="615"/>
      <c r="B1330" s="616"/>
      <c r="C1330" s="617"/>
      <c r="D1330" s="617"/>
      <c r="E1330" s="617"/>
      <c r="F1330" s="1083"/>
      <c r="G1330" s="1084"/>
      <c r="H1330" s="1069"/>
      <c r="I1330" s="618"/>
      <c r="J1330" s="619"/>
      <c r="K1330" s="618"/>
      <c r="L1330" s="620"/>
      <c r="M1330" s="621"/>
      <c r="N1330" s="620"/>
    </row>
    <row r="1331" spans="1:14" ht="11.25" customHeight="1" x14ac:dyDescent="0.25">
      <c r="A1331" s="615"/>
      <c r="B1331" s="616"/>
      <c r="C1331" s="617"/>
      <c r="D1331" s="617"/>
      <c r="E1331" s="617"/>
      <c r="F1331" s="1083"/>
      <c r="G1331" s="1084"/>
      <c r="H1331" s="1069"/>
      <c r="I1331" s="618"/>
      <c r="J1331" s="619"/>
      <c r="K1331" s="618"/>
      <c r="L1331" s="620"/>
      <c r="M1331" s="621"/>
      <c r="N1331" s="620"/>
    </row>
    <row r="1332" spans="1:14" ht="11.25" customHeight="1" x14ac:dyDescent="0.25">
      <c r="A1332" s="615"/>
      <c r="B1332" s="616"/>
      <c r="C1332" s="617"/>
      <c r="D1332" s="617"/>
      <c r="E1332" s="617"/>
      <c r="F1332" s="1083"/>
      <c r="G1332" s="1084"/>
      <c r="H1332" s="1069"/>
      <c r="I1332" s="618"/>
      <c r="J1332" s="619"/>
      <c r="K1332" s="618"/>
      <c r="L1332" s="620"/>
      <c r="M1332" s="621"/>
      <c r="N1332" s="620"/>
    </row>
    <row r="1333" spans="1:14" ht="11.25" customHeight="1" x14ac:dyDescent="0.25">
      <c r="A1333" s="615"/>
      <c r="B1333" s="616"/>
      <c r="C1333" s="617"/>
      <c r="D1333" s="617"/>
      <c r="E1333" s="617"/>
      <c r="F1333" s="1083"/>
      <c r="G1333" s="1084"/>
      <c r="H1333" s="1069"/>
      <c r="I1333" s="618"/>
      <c r="J1333" s="619"/>
      <c r="K1333" s="618"/>
      <c r="L1333" s="620"/>
      <c r="M1333" s="621"/>
      <c r="N1333" s="620"/>
    </row>
    <row r="1334" spans="1:14" ht="11.25" customHeight="1" x14ac:dyDescent="0.25">
      <c r="A1334" s="615"/>
      <c r="B1334" s="616"/>
      <c r="C1334" s="617"/>
      <c r="D1334" s="617"/>
      <c r="E1334" s="617"/>
      <c r="F1334" s="1083"/>
      <c r="G1334" s="1084"/>
      <c r="H1334" s="1069"/>
      <c r="I1334" s="618"/>
      <c r="J1334" s="619"/>
      <c r="K1334" s="618"/>
      <c r="L1334" s="620"/>
      <c r="M1334" s="621"/>
      <c r="N1334" s="620"/>
    </row>
    <row r="1335" spans="1:14" ht="11.25" customHeight="1" x14ac:dyDescent="0.25">
      <c r="A1335" s="615"/>
      <c r="B1335" s="616"/>
      <c r="C1335" s="617"/>
      <c r="D1335" s="617"/>
      <c r="E1335" s="617"/>
      <c r="F1335" s="1083"/>
      <c r="G1335" s="1084"/>
      <c r="H1335" s="1069"/>
      <c r="I1335" s="618"/>
      <c r="J1335" s="619"/>
      <c r="K1335" s="618"/>
      <c r="L1335" s="620"/>
      <c r="M1335" s="621"/>
      <c r="N1335" s="620"/>
    </row>
    <row r="1336" spans="1:14" ht="11.25" customHeight="1" x14ac:dyDescent="0.25">
      <c r="A1336" s="615"/>
      <c r="B1336" s="616"/>
      <c r="C1336" s="617"/>
      <c r="D1336" s="617"/>
      <c r="E1336" s="617"/>
      <c r="F1336" s="1083"/>
      <c r="G1336" s="1084"/>
      <c r="H1336" s="1069"/>
      <c r="I1336" s="618"/>
      <c r="J1336" s="619"/>
      <c r="K1336" s="618"/>
      <c r="L1336" s="620"/>
      <c r="M1336" s="621"/>
      <c r="N1336" s="620"/>
    </row>
    <row r="1337" spans="1:14" ht="11.25" customHeight="1" x14ac:dyDescent="0.25">
      <c r="A1337" s="615"/>
      <c r="B1337" s="616"/>
      <c r="C1337" s="617"/>
      <c r="D1337" s="617"/>
      <c r="E1337" s="617"/>
      <c r="F1337" s="1083"/>
      <c r="G1337" s="1084"/>
      <c r="H1337" s="1069"/>
      <c r="I1337" s="618"/>
      <c r="J1337" s="619"/>
      <c r="K1337" s="618"/>
      <c r="L1337" s="620"/>
      <c r="M1337" s="621"/>
      <c r="N1337" s="620"/>
    </row>
    <row r="1338" spans="1:14" ht="11.25" customHeight="1" x14ac:dyDescent="0.25">
      <c r="A1338" s="615"/>
      <c r="B1338" s="616"/>
      <c r="C1338" s="617"/>
      <c r="D1338" s="617"/>
      <c r="E1338" s="617"/>
      <c r="F1338" s="1083"/>
      <c r="G1338" s="1084"/>
      <c r="H1338" s="1069"/>
      <c r="I1338" s="618"/>
      <c r="J1338" s="619"/>
      <c r="K1338" s="618"/>
      <c r="L1338" s="620"/>
      <c r="M1338" s="621"/>
      <c r="N1338" s="620"/>
    </row>
    <row r="1339" spans="1:14" ht="11.25" customHeight="1" x14ac:dyDescent="0.25">
      <c r="A1339" s="615"/>
      <c r="B1339" s="616"/>
      <c r="C1339" s="617"/>
      <c r="D1339" s="617"/>
      <c r="E1339" s="617"/>
      <c r="F1339" s="1083"/>
      <c r="G1339" s="1084"/>
      <c r="H1339" s="1069"/>
      <c r="I1339" s="618"/>
      <c r="J1339" s="619"/>
      <c r="K1339" s="618"/>
      <c r="L1339" s="620"/>
      <c r="M1339" s="621"/>
      <c r="N1339" s="620"/>
    </row>
    <row r="1340" spans="1:14" ht="11.25" customHeight="1" x14ac:dyDescent="0.25">
      <c r="A1340" s="615"/>
      <c r="B1340" s="616"/>
      <c r="C1340" s="617"/>
      <c r="D1340" s="617"/>
      <c r="E1340" s="617"/>
      <c r="F1340" s="1083"/>
      <c r="G1340" s="1084"/>
      <c r="H1340" s="1069"/>
      <c r="I1340" s="618"/>
      <c r="J1340" s="619"/>
      <c r="K1340" s="618"/>
      <c r="L1340" s="620"/>
      <c r="M1340" s="621"/>
      <c r="N1340" s="620"/>
    </row>
    <row r="1341" spans="1:14" ht="11.25" customHeight="1" x14ac:dyDescent="0.25">
      <c r="A1341" s="615"/>
      <c r="B1341" s="616"/>
      <c r="C1341" s="617"/>
      <c r="D1341" s="617"/>
      <c r="E1341" s="617"/>
      <c r="F1341" s="1083"/>
      <c r="G1341" s="1084"/>
      <c r="H1341" s="1069"/>
      <c r="I1341" s="618"/>
      <c r="J1341" s="619"/>
      <c r="K1341" s="618"/>
      <c r="L1341" s="620"/>
      <c r="M1341" s="621"/>
      <c r="N1341" s="620"/>
    </row>
    <row r="1342" spans="1:14" ht="11.25" customHeight="1" x14ac:dyDescent="0.25">
      <c r="A1342" s="615"/>
      <c r="B1342" s="616"/>
      <c r="C1342" s="617"/>
      <c r="D1342" s="617"/>
      <c r="E1342" s="617"/>
      <c r="F1342" s="1083"/>
      <c r="G1342" s="1084"/>
      <c r="H1342" s="1069"/>
      <c r="I1342" s="618"/>
      <c r="J1342" s="619"/>
      <c r="K1342" s="618"/>
      <c r="L1342" s="620"/>
      <c r="M1342" s="621"/>
      <c r="N1342" s="620"/>
    </row>
    <row r="1343" spans="1:14" ht="11.25" customHeight="1" x14ac:dyDescent="0.25">
      <c r="A1343" s="615"/>
      <c r="B1343" s="616"/>
      <c r="C1343" s="617"/>
      <c r="D1343" s="617"/>
      <c r="E1343" s="617"/>
      <c r="F1343" s="1083"/>
      <c r="G1343" s="1084"/>
      <c r="H1343" s="1069"/>
      <c r="I1343" s="618"/>
      <c r="J1343" s="619"/>
      <c r="K1343" s="618"/>
      <c r="L1343" s="620"/>
      <c r="M1343" s="621"/>
      <c r="N1343" s="620"/>
    </row>
    <row r="1344" spans="1:14" ht="11.25" customHeight="1" x14ac:dyDescent="0.25">
      <c r="A1344" s="615"/>
      <c r="B1344" s="616"/>
      <c r="C1344" s="617"/>
      <c r="D1344" s="617"/>
      <c r="E1344" s="617"/>
      <c r="F1344" s="1083"/>
      <c r="G1344" s="1084"/>
      <c r="H1344" s="1069"/>
      <c r="I1344" s="618"/>
      <c r="J1344" s="619"/>
      <c r="K1344" s="618"/>
      <c r="L1344" s="620"/>
      <c r="M1344" s="621"/>
      <c r="N1344" s="620"/>
    </row>
    <row r="1345" spans="1:14" ht="11.25" customHeight="1" x14ac:dyDescent="0.25">
      <c r="A1345" s="615"/>
      <c r="B1345" s="616"/>
      <c r="C1345" s="617"/>
      <c r="D1345" s="617"/>
      <c r="E1345" s="617"/>
      <c r="F1345" s="1083"/>
      <c r="G1345" s="1084"/>
      <c r="H1345" s="1069"/>
      <c r="I1345" s="618"/>
      <c r="J1345" s="619"/>
      <c r="K1345" s="618"/>
      <c r="L1345" s="620"/>
      <c r="M1345" s="621"/>
      <c r="N1345" s="620"/>
    </row>
    <row r="1346" spans="1:14" ht="11.25" customHeight="1" x14ac:dyDescent="0.25">
      <c r="A1346" s="615"/>
      <c r="B1346" s="616"/>
      <c r="C1346" s="617"/>
      <c r="D1346" s="617"/>
      <c r="E1346" s="617"/>
      <c r="F1346" s="1083"/>
      <c r="G1346" s="1084"/>
      <c r="H1346" s="1069"/>
      <c r="I1346" s="618"/>
      <c r="J1346" s="619"/>
      <c r="K1346" s="618"/>
      <c r="L1346" s="620"/>
      <c r="M1346" s="621"/>
      <c r="N1346" s="620"/>
    </row>
    <row r="1347" spans="1:14" ht="11.25" customHeight="1" x14ac:dyDescent="0.25">
      <c r="A1347" s="615"/>
      <c r="B1347" s="616"/>
      <c r="C1347" s="617"/>
      <c r="D1347" s="617"/>
      <c r="E1347" s="617"/>
      <c r="F1347" s="1083"/>
      <c r="G1347" s="1084"/>
      <c r="H1347" s="1069"/>
      <c r="I1347" s="618"/>
      <c r="J1347" s="619"/>
      <c r="K1347" s="618"/>
      <c r="L1347" s="620"/>
      <c r="M1347" s="621"/>
      <c r="N1347" s="620"/>
    </row>
    <row r="1348" spans="1:14" ht="11.25" customHeight="1" x14ac:dyDescent="0.25">
      <c r="A1348" s="615"/>
      <c r="B1348" s="616"/>
      <c r="C1348" s="617"/>
      <c r="D1348" s="617"/>
      <c r="E1348" s="617"/>
      <c r="F1348" s="1083"/>
      <c r="G1348" s="1084"/>
      <c r="H1348" s="1069"/>
      <c r="I1348" s="618"/>
      <c r="J1348" s="619"/>
      <c r="K1348" s="618"/>
      <c r="L1348" s="620"/>
      <c r="M1348" s="621"/>
      <c r="N1348" s="620"/>
    </row>
    <row r="1349" spans="1:14" ht="11.25" customHeight="1" x14ac:dyDescent="0.25">
      <c r="A1349" s="615"/>
      <c r="B1349" s="616"/>
      <c r="C1349" s="617"/>
      <c r="D1349" s="617"/>
      <c r="E1349" s="617"/>
      <c r="F1349" s="1083"/>
      <c r="G1349" s="1084"/>
      <c r="H1349" s="1069"/>
      <c r="I1349" s="618"/>
      <c r="J1349" s="619"/>
      <c r="K1349" s="618"/>
      <c r="L1349" s="620"/>
      <c r="M1349" s="621"/>
      <c r="N1349" s="620"/>
    </row>
    <row r="1350" spans="1:14" ht="11.25" customHeight="1" x14ac:dyDescent="0.25">
      <c r="A1350" s="615"/>
      <c r="B1350" s="616"/>
      <c r="C1350" s="617"/>
      <c r="D1350" s="617"/>
      <c r="E1350" s="617"/>
      <c r="F1350" s="1083"/>
      <c r="G1350" s="1084"/>
      <c r="H1350" s="1069"/>
      <c r="I1350" s="618"/>
      <c r="J1350" s="619"/>
      <c r="K1350" s="618"/>
      <c r="L1350" s="620"/>
      <c r="M1350" s="621"/>
      <c r="N1350" s="620"/>
    </row>
    <row r="1351" spans="1:14" ht="11.25" customHeight="1" x14ac:dyDescent="0.25">
      <c r="A1351" s="615"/>
      <c r="B1351" s="616"/>
      <c r="C1351" s="617"/>
      <c r="D1351" s="617"/>
      <c r="E1351" s="617"/>
      <c r="F1351" s="1083"/>
      <c r="G1351" s="1084"/>
      <c r="H1351" s="1069"/>
      <c r="I1351" s="618"/>
      <c r="J1351" s="619"/>
      <c r="K1351" s="618"/>
      <c r="L1351" s="620"/>
      <c r="M1351" s="621"/>
      <c r="N1351" s="620"/>
    </row>
    <row r="1352" spans="1:14" ht="11.25" customHeight="1" x14ac:dyDescent="0.25">
      <c r="A1352" s="615"/>
      <c r="B1352" s="616"/>
      <c r="C1352" s="617"/>
      <c r="D1352" s="617"/>
      <c r="E1352" s="617"/>
      <c r="F1352" s="1083"/>
      <c r="G1352" s="1084"/>
      <c r="H1352" s="1069"/>
      <c r="I1352" s="618"/>
      <c r="J1352" s="619"/>
      <c r="K1352" s="618"/>
      <c r="L1352" s="620"/>
      <c r="M1352" s="621"/>
      <c r="N1352" s="620"/>
    </row>
    <row r="1353" spans="1:14" ht="11.25" customHeight="1" x14ac:dyDescent="0.25">
      <c r="A1353" s="615"/>
      <c r="B1353" s="616"/>
      <c r="C1353" s="617"/>
      <c r="D1353" s="617"/>
      <c r="E1353" s="617"/>
      <c r="F1353" s="1083"/>
      <c r="G1353" s="1084"/>
      <c r="H1353" s="1069"/>
      <c r="I1353" s="618"/>
      <c r="J1353" s="619"/>
      <c r="K1353" s="618"/>
      <c r="L1353" s="620"/>
      <c r="M1353" s="621"/>
      <c r="N1353" s="620"/>
    </row>
    <row r="1354" spans="1:14" ht="11.25" customHeight="1" x14ac:dyDescent="0.25">
      <c r="A1354" s="615"/>
      <c r="B1354" s="616"/>
      <c r="C1354" s="617"/>
      <c r="D1354" s="617"/>
      <c r="E1354" s="617"/>
      <c r="F1354" s="1083"/>
      <c r="G1354" s="1084"/>
      <c r="H1354" s="1069"/>
      <c r="I1354" s="618"/>
      <c r="J1354" s="619"/>
      <c r="K1354" s="618"/>
      <c r="L1354" s="620"/>
      <c r="M1354" s="621"/>
      <c r="N1354" s="620"/>
    </row>
    <row r="1355" spans="1:14" ht="11.25" customHeight="1" x14ac:dyDescent="0.25">
      <c r="A1355" s="615"/>
      <c r="B1355" s="616"/>
      <c r="C1355" s="617"/>
      <c r="D1355" s="617"/>
      <c r="E1355" s="617"/>
      <c r="F1355" s="1083"/>
      <c r="G1355" s="1084"/>
      <c r="H1355" s="1069"/>
      <c r="I1355" s="618"/>
      <c r="J1355" s="619"/>
      <c r="K1355" s="618"/>
      <c r="L1355" s="620"/>
      <c r="M1355" s="621"/>
      <c r="N1355" s="620"/>
    </row>
    <row r="1356" spans="1:14" ht="11.25" customHeight="1" x14ac:dyDescent="0.25">
      <c r="A1356" s="615"/>
      <c r="B1356" s="616"/>
      <c r="C1356" s="617"/>
      <c r="D1356" s="617"/>
      <c r="E1356" s="617"/>
      <c r="F1356" s="1083"/>
      <c r="G1356" s="1084"/>
      <c r="H1356" s="1069"/>
      <c r="I1356" s="618"/>
      <c r="J1356" s="619"/>
      <c r="K1356" s="618"/>
      <c r="L1356" s="620"/>
      <c r="M1356" s="621"/>
      <c r="N1356" s="620"/>
    </row>
    <row r="1357" spans="1:14" ht="11.25" customHeight="1" x14ac:dyDescent="0.25">
      <c r="A1357" s="615"/>
      <c r="B1357" s="616"/>
      <c r="C1357" s="617"/>
      <c r="D1357" s="617"/>
      <c r="E1357" s="617"/>
      <c r="F1357" s="1083"/>
      <c r="G1357" s="1084"/>
      <c r="H1357" s="1069"/>
      <c r="I1357" s="618"/>
      <c r="J1357" s="619"/>
      <c r="K1357" s="618"/>
      <c r="L1357" s="620"/>
      <c r="M1357" s="621"/>
      <c r="N1357" s="620"/>
    </row>
    <row r="1358" spans="1:14" ht="11.25" customHeight="1" x14ac:dyDescent="0.25">
      <c r="A1358" s="615"/>
      <c r="B1358" s="616"/>
      <c r="C1358" s="617"/>
      <c r="D1358" s="617"/>
      <c r="E1358" s="617"/>
      <c r="F1358" s="1083"/>
      <c r="G1358" s="1084"/>
      <c r="H1358" s="1069"/>
      <c r="I1358" s="618"/>
      <c r="J1358" s="619"/>
      <c r="K1358" s="618"/>
      <c r="L1358" s="620"/>
      <c r="M1358" s="621"/>
      <c r="N1358" s="620"/>
    </row>
    <row r="1359" spans="1:14" ht="11.25" customHeight="1" x14ac:dyDescent="0.25">
      <c r="A1359" s="615"/>
      <c r="B1359" s="616"/>
      <c r="C1359" s="617"/>
      <c r="D1359" s="617"/>
      <c r="E1359" s="617"/>
      <c r="F1359" s="1083"/>
      <c r="G1359" s="1084"/>
      <c r="H1359" s="1069"/>
      <c r="I1359" s="618"/>
      <c r="J1359" s="619"/>
      <c r="K1359" s="618"/>
      <c r="L1359" s="620"/>
      <c r="M1359" s="621"/>
      <c r="N1359" s="620"/>
    </row>
    <row r="1360" spans="1:14" ht="11.25" customHeight="1" x14ac:dyDescent="0.25">
      <c r="A1360" s="615"/>
      <c r="B1360" s="616"/>
      <c r="C1360" s="617"/>
      <c r="D1360" s="617"/>
      <c r="E1360" s="617"/>
      <c r="F1360" s="1083"/>
      <c r="G1360" s="1084"/>
      <c r="H1360" s="1069"/>
      <c r="I1360" s="618"/>
      <c r="J1360" s="619"/>
      <c r="K1360" s="618"/>
      <c r="L1360" s="620"/>
      <c r="M1360" s="621"/>
      <c r="N1360" s="620"/>
    </row>
    <row r="1361" spans="1:14" ht="11.25" customHeight="1" x14ac:dyDescent="0.25">
      <c r="A1361" s="615"/>
      <c r="B1361" s="616"/>
      <c r="C1361" s="617"/>
      <c r="D1361" s="617"/>
      <c r="E1361" s="617"/>
      <c r="F1361" s="1083"/>
      <c r="G1361" s="1084"/>
      <c r="H1361" s="1069"/>
      <c r="I1361" s="618"/>
      <c r="J1361" s="619"/>
      <c r="K1361" s="618"/>
      <c r="L1361" s="620"/>
      <c r="M1361" s="621"/>
      <c r="N1361" s="620"/>
    </row>
    <row r="1362" spans="1:14" ht="11.25" customHeight="1" x14ac:dyDescent="0.25">
      <c r="A1362" s="615"/>
      <c r="B1362" s="616"/>
      <c r="C1362" s="617"/>
      <c r="D1362" s="617"/>
      <c r="E1362" s="617"/>
      <c r="F1362" s="1083"/>
      <c r="G1362" s="1084"/>
      <c r="H1362" s="1069"/>
      <c r="I1362" s="618"/>
      <c r="J1362" s="619"/>
      <c r="K1362" s="618"/>
      <c r="L1362" s="620"/>
      <c r="M1362" s="621"/>
      <c r="N1362" s="620"/>
    </row>
    <row r="1363" spans="1:14" ht="11.25" customHeight="1" x14ac:dyDescent="0.25">
      <c r="A1363" s="615"/>
      <c r="B1363" s="616"/>
      <c r="C1363" s="617"/>
      <c r="D1363" s="617"/>
      <c r="E1363" s="617"/>
      <c r="F1363" s="1083"/>
      <c r="G1363" s="1084"/>
      <c r="H1363" s="1069"/>
      <c r="I1363" s="618"/>
      <c r="J1363" s="619"/>
      <c r="K1363" s="618"/>
      <c r="L1363" s="620"/>
      <c r="M1363" s="621"/>
      <c r="N1363" s="620"/>
    </row>
    <row r="1364" spans="1:14" ht="11.25" customHeight="1" x14ac:dyDescent="0.25">
      <c r="A1364" s="615"/>
      <c r="B1364" s="616"/>
      <c r="C1364" s="617"/>
      <c r="D1364" s="617"/>
      <c r="E1364" s="617"/>
      <c r="F1364" s="1083"/>
      <c r="G1364" s="1084"/>
      <c r="H1364" s="1069"/>
      <c r="I1364" s="618"/>
      <c r="J1364" s="619"/>
      <c r="K1364" s="618"/>
      <c r="L1364" s="620"/>
      <c r="M1364" s="621"/>
      <c r="N1364" s="620"/>
    </row>
    <row r="1365" spans="1:14" ht="11.25" customHeight="1" x14ac:dyDescent="0.25">
      <c r="A1365" s="615"/>
      <c r="B1365" s="616"/>
      <c r="C1365" s="617"/>
      <c r="D1365" s="617"/>
      <c r="E1365" s="617"/>
      <c r="F1365" s="1083"/>
      <c r="G1365" s="1084"/>
      <c r="H1365" s="1069"/>
      <c r="I1365" s="618"/>
      <c r="J1365" s="619"/>
      <c r="K1365" s="618"/>
      <c r="L1365" s="620"/>
      <c r="M1365" s="621"/>
      <c r="N1365" s="620"/>
    </row>
    <row r="1366" spans="1:14" ht="11.25" customHeight="1" x14ac:dyDescent="0.25">
      <c r="A1366" s="615"/>
      <c r="B1366" s="616"/>
      <c r="C1366" s="617"/>
      <c r="D1366" s="617"/>
      <c r="E1366" s="617"/>
      <c r="F1366" s="1083"/>
      <c r="G1366" s="1084"/>
      <c r="H1366" s="1069"/>
      <c r="I1366" s="618"/>
      <c r="J1366" s="619"/>
      <c r="K1366" s="618"/>
      <c r="L1366" s="620"/>
      <c r="M1366" s="621"/>
      <c r="N1366" s="620"/>
    </row>
    <row r="1367" spans="1:14" ht="11.25" customHeight="1" x14ac:dyDescent="0.25">
      <c r="A1367" s="615"/>
      <c r="B1367" s="616"/>
      <c r="C1367" s="617"/>
      <c r="D1367" s="617"/>
      <c r="E1367" s="617"/>
      <c r="F1367" s="1083"/>
      <c r="G1367" s="1084"/>
      <c r="H1367" s="1069"/>
      <c r="I1367" s="618"/>
      <c r="J1367" s="619"/>
      <c r="K1367" s="618"/>
      <c r="L1367" s="620"/>
      <c r="M1367" s="621"/>
      <c r="N1367" s="620"/>
    </row>
    <row r="1368" spans="1:14" ht="11.25" customHeight="1" x14ac:dyDescent="0.25">
      <c r="A1368" s="615"/>
      <c r="B1368" s="616"/>
      <c r="C1368" s="617"/>
      <c r="D1368" s="617"/>
      <c r="E1368" s="617"/>
      <c r="F1368" s="1083"/>
      <c r="G1368" s="1084"/>
      <c r="H1368" s="1069"/>
      <c r="I1368" s="618"/>
      <c r="J1368" s="619"/>
      <c r="K1368" s="618"/>
      <c r="L1368" s="620"/>
      <c r="M1368" s="621"/>
      <c r="N1368" s="620"/>
    </row>
    <row r="1369" spans="1:14" ht="11.25" customHeight="1" x14ac:dyDescent="0.25">
      <c r="A1369" s="615"/>
      <c r="B1369" s="616"/>
      <c r="C1369" s="617"/>
      <c r="D1369" s="617"/>
      <c r="E1369" s="617"/>
      <c r="F1369" s="1083"/>
      <c r="G1369" s="1084"/>
      <c r="H1369" s="1069"/>
      <c r="I1369" s="618"/>
      <c r="J1369" s="619"/>
      <c r="K1369" s="618"/>
      <c r="L1369" s="620"/>
      <c r="M1369" s="621"/>
      <c r="N1369" s="620"/>
    </row>
    <row r="1370" spans="1:14" ht="11.25" customHeight="1" x14ac:dyDescent="0.25">
      <c r="A1370" s="615"/>
      <c r="B1370" s="616"/>
      <c r="C1370" s="617"/>
      <c r="D1370" s="617"/>
      <c r="E1370" s="617"/>
      <c r="F1370" s="1083"/>
      <c r="G1370" s="1084"/>
      <c r="H1370" s="1069"/>
      <c r="I1370" s="618"/>
      <c r="J1370" s="619"/>
      <c r="K1370" s="618"/>
      <c r="L1370" s="620"/>
      <c r="M1370" s="621"/>
      <c r="N1370" s="620"/>
    </row>
    <row r="1371" spans="1:14" ht="11.25" customHeight="1" x14ac:dyDescent="0.25">
      <c r="A1371" s="615"/>
      <c r="B1371" s="616"/>
      <c r="C1371" s="617"/>
      <c r="D1371" s="617"/>
      <c r="E1371" s="617"/>
      <c r="F1371" s="1083"/>
      <c r="G1371" s="1084"/>
      <c r="H1371" s="1069"/>
      <c r="I1371" s="618"/>
      <c r="J1371" s="619"/>
      <c r="K1371" s="618"/>
      <c r="L1371" s="620"/>
      <c r="M1371" s="621"/>
      <c r="N1371" s="620"/>
    </row>
    <row r="1372" spans="1:14" ht="11.25" customHeight="1" x14ac:dyDescent="0.25">
      <c r="A1372" s="615"/>
      <c r="B1372" s="616"/>
      <c r="C1372" s="617"/>
      <c r="D1372" s="617"/>
      <c r="E1372" s="617"/>
      <c r="F1372" s="1083"/>
      <c r="G1372" s="1084"/>
      <c r="H1372" s="1069"/>
      <c r="I1372" s="618"/>
      <c r="J1372" s="619"/>
      <c r="K1372" s="618"/>
      <c r="L1372" s="620"/>
      <c r="M1372" s="621"/>
      <c r="N1372" s="620"/>
    </row>
    <row r="1373" spans="1:14" ht="11.25" customHeight="1" x14ac:dyDescent="0.25">
      <c r="A1373" s="615"/>
      <c r="B1373" s="616"/>
      <c r="C1373" s="617"/>
      <c r="D1373" s="617"/>
      <c r="E1373" s="617"/>
      <c r="F1373" s="1083"/>
      <c r="G1373" s="1084"/>
      <c r="H1373" s="1069"/>
      <c r="I1373" s="618"/>
      <c r="J1373" s="619"/>
      <c r="K1373" s="618"/>
      <c r="L1373" s="620"/>
      <c r="M1373" s="621"/>
      <c r="N1373" s="620"/>
    </row>
    <row r="1374" spans="1:14" ht="11.25" customHeight="1" x14ac:dyDescent="0.25">
      <c r="A1374" s="615"/>
      <c r="B1374" s="616"/>
      <c r="C1374" s="617"/>
      <c r="D1374" s="617"/>
      <c r="E1374" s="617"/>
      <c r="F1374" s="1083"/>
      <c r="G1374" s="1084"/>
      <c r="H1374" s="1069"/>
      <c r="I1374" s="618"/>
      <c r="J1374" s="619"/>
      <c r="K1374" s="618"/>
      <c r="L1374" s="620"/>
      <c r="M1374" s="621"/>
      <c r="N1374" s="620"/>
    </row>
    <row r="1375" spans="1:14" ht="11.25" customHeight="1" x14ac:dyDescent="0.25">
      <c r="A1375" s="615"/>
      <c r="B1375" s="616"/>
      <c r="C1375" s="617"/>
      <c r="D1375" s="617"/>
      <c r="E1375" s="617"/>
      <c r="F1375" s="1083"/>
      <c r="G1375" s="1084"/>
      <c r="H1375" s="1069"/>
      <c r="I1375" s="618"/>
      <c r="J1375" s="619"/>
      <c r="K1375" s="618"/>
      <c r="L1375" s="620"/>
      <c r="M1375" s="621"/>
      <c r="N1375" s="620"/>
    </row>
    <row r="1376" spans="1:14" ht="11.25" customHeight="1" x14ac:dyDescent="0.25">
      <c r="A1376" s="615"/>
      <c r="B1376" s="616"/>
      <c r="C1376" s="617"/>
      <c r="D1376" s="617"/>
      <c r="E1376" s="617"/>
      <c r="F1376" s="1083"/>
      <c r="G1376" s="1084"/>
      <c r="H1376" s="1069"/>
      <c r="I1376" s="618"/>
      <c r="J1376" s="619"/>
      <c r="K1376" s="618"/>
      <c r="L1376" s="620"/>
      <c r="M1376" s="621"/>
      <c r="N1376" s="620"/>
    </row>
    <row r="1377" spans="1:14" ht="11.25" customHeight="1" x14ac:dyDescent="0.25">
      <c r="A1377" s="615"/>
      <c r="B1377" s="616"/>
      <c r="C1377" s="617"/>
      <c r="D1377" s="617"/>
      <c r="E1377" s="617"/>
      <c r="F1377" s="1083"/>
      <c r="G1377" s="1084"/>
      <c r="H1377" s="1069"/>
      <c r="I1377" s="618"/>
      <c r="J1377" s="619"/>
      <c r="K1377" s="618"/>
      <c r="L1377" s="620"/>
      <c r="M1377" s="621"/>
      <c r="N1377" s="620"/>
    </row>
    <row r="1378" spans="1:14" ht="11.25" customHeight="1" x14ac:dyDescent="0.25">
      <c r="A1378" s="615"/>
      <c r="B1378" s="616"/>
      <c r="C1378" s="617"/>
      <c r="D1378" s="617"/>
      <c r="E1378" s="617"/>
      <c r="F1378" s="1083"/>
      <c r="G1378" s="1084"/>
      <c r="H1378" s="1069"/>
      <c r="I1378" s="618"/>
      <c r="J1378" s="619"/>
      <c r="K1378" s="618"/>
      <c r="L1378" s="620"/>
      <c r="M1378" s="621"/>
      <c r="N1378" s="620"/>
    </row>
    <row r="1379" spans="1:14" ht="11.25" customHeight="1" x14ac:dyDescent="0.25">
      <c r="A1379" s="615"/>
      <c r="B1379" s="616"/>
      <c r="C1379" s="617"/>
      <c r="D1379" s="617"/>
      <c r="E1379" s="617"/>
      <c r="F1379" s="1083"/>
      <c r="G1379" s="1084"/>
      <c r="H1379" s="1069"/>
      <c r="I1379" s="618"/>
      <c r="J1379" s="619"/>
      <c r="K1379" s="618"/>
      <c r="L1379" s="620"/>
      <c r="M1379" s="621"/>
      <c r="N1379" s="620"/>
    </row>
    <row r="1380" spans="1:14" ht="11.25" customHeight="1" x14ac:dyDescent="0.25">
      <c r="A1380" s="615"/>
      <c r="B1380" s="616"/>
      <c r="C1380" s="617"/>
      <c r="D1380" s="617"/>
      <c r="E1380" s="617"/>
      <c r="F1380" s="1083"/>
      <c r="G1380" s="1084"/>
      <c r="H1380" s="1069"/>
      <c r="I1380" s="618"/>
      <c r="J1380" s="619"/>
      <c r="K1380" s="618"/>
      <c r="L1380" s="620"/>
      <c r="M1380" s="621"/>
      <c r="N1380" s="620"/>
    </row>
    <row r="1381" spans="1:14" ht="11.25" customHeight="1" x14ac:dyDescent="0.25">
      <c r="A1381" s="615"/>
      <c r="B1381" s="616"/>
      <c r="C1381" s="617"/>
      <c r="D1381" s="617"/>
      <c r="E1381" s="617"/>
      <c r="F1381" s="1083"/>
      <c r="G1381" s="1084"/>
      <c r="H1381" s="1069"/>
      <c r="I1381" s="618"/>
      <c r="J1381" s="619"/>
      <c r="K1381" s="618"/>
      <c r="L1381" s="620"/>
      <c r="M1381" s="621"/>
      <c r="N1381" s="620"/>
    </row>
    <row r="1382" spans="1:14" ht="11.25" customHeight="1" x14ac:dyDescent="0.25">
      <c r="A1382" s="615"/>
      <c r="B1382" s="616"/>
      <c r="C1382" s="617"/>
      <c r="D1382" s="617"/>
      <c r="E1382" s="617"/>
      <c r="F1382" s="1083"/>
      <c r="G1382" s="1084"/>
      <c r="H1382" s="1069"/>
      <c r="I1382" s="618"/>
      <c r="J1382" s="619"/>
      <c r="K1382" s="618"/>
      <c r="L1382" s="620"/>
      <c r="M1382" s="621"/>
      <c r="N1382" s="620"/>
    </row>
    <row r="1383" spans="1:14" ht="11.25" customHeight="1" x14ac:dyDescent="0.25">
      <c r="A1383" s="615"/>
      <c r="B1383" s="616"/>
      <c r="C1383" s="617"/>
      <c r="D1383" s="617"/>
      <c r="E1383" s="617"/>
      <c r="F1383" s="1083"/>
      <c r="G1383" s="1084"/>
      <c r="H1383" s="1069"/>
      <c r="I1383" s="618"/>
      <c r="J1383" s="619"/>
      <c r="K1383" s="618"/>
      <c r="L1383" s="620"/>
      <c r="M1383" s="621"/>
      <c r="N1383" s="620"/>
    </row>
    <row r="1384" spans="1:14" ht="11.25" customHeight="1" x14ac:dyDescent="0.25">
      <c r="A1384" s="615"/>
      <c r="B1384" s="616"/>
      <c r="C1384" s="617"/>
      <c r="D1384" s="617"/>
      <c r="E1384" s="617"/>
      <c r="F1384" s="1083"/>
      <c r="G1384" s="1084"/>
      <c r="H1384" s="1069"/>
      <c r="I1384" s="618"/>
      <c r="J1384" s="619"/>
      <c r="K1384" s="618"/>
      <c r="L1384" s="620"/>
      <c r="M1384" s="621"/>
      <c r="N1384" s="620"/>
    </row>
    <row r="1385" spans="1:14" ht="11.25" customHeight="1" x14ac:dyDescent="0.25">
      <c r="A1385" s="615"/>
      <c r="B1385" s="616"/>
      <c r="C1385" s="617"/>
      <c r="D1385" s="617"/>
      <c r="E1385" s="617"/>
      <c r="F1385" s="1083"/>
      <c r="G1385" s="1084"/>
      <c r="H1385" s="1069"/>
      <c r="I1385" s="618"/>
      <c r="J1385" s="619"/>
      <c r="K1385" s="618"/>
      <c r="L1385" s="620"/>
      <c r="M1385" s="621"/>
      <c r="N1385" s="620"/>
    </row>
    <row r="1386" spans="1:14" ht="11.25" customHeight="1" x14ac:dyDescent="0.25">
      <c r="A1386" s="615"/>
      <c r="B1386" s="616"/>
      <c r="C1386" s="617"/>
      <c r="D1386" s="617"/>
      <c r="E1386" s="617"/>
      <c r="F1386" s="1083"/>
      <c r="G1386" s="1084"/>
      <c r="H1386" s="1069"/>
      <c r="I1386" s="618"/>
      <c r="J1386" s="619"/>
      <c r="K1386" s="618"/>
      <c r="L1386" s="620"/>
      <c r="M1386" s="621"/>
      <c r="N1386" s="620"/>
    </row>
    <row r="1387" spans="1:14" ht="11.25" customHeight="1" x14ac:dyDescent="0.25">
      <c r="A1387" s="615"/>
      <c r="B1387" s="616"/>
      <c r="C1387" s="617"/>
      <c r="D1387" s="617"/>
      <c r="E1387" s="617"/>
      <c r="F1387" s="1083"/>
      <c r="G1387" s="1084"/>
      <c r="H1387" s="1069"/>
      <c r="I1387" s="618"/>
      <c r="J1387" s="619"/>
      <c r="K1387" s="618"/>
      <c r="L1387" s="620"/>
      <c r="M1387" s="621"/>
      <c r="N1387" s="620"/>
    </row>
    <row r="1388" spans="1:14" ht="11.25" customHeight="1" x14ac:dyDescent="0.25">
      <c r="A1388" s="615"/>
      <c r="B1388" s="616"/>
      <c r="C1388" s="617"/>
      <c r="D1388" s="617"/>
      <c r="E1388" s="617"/>
      <c r="F1388" s="1083"/>
      <c r="G1388" s="1084"/>
      <c r="H1388" s="1069"/>
      <c r="I1388" s="618"/>
      <c r="J1388" s="619"/>
      <c r="K1388" s="618"/>
      <c r="L1388" s="620"/>
      <c r="M1388" s="621"/>
      <c r="N1388" s="620"/>
    </row>
    <row r="1389" spans="1:14" ht="11.25" customHeight="1" x14ac:dyDescent="0.25">
      <c r="A1389" s="615"/>
      <c r="B1389" s="616"/>
      <c r="C1389" s="617"/>
      <c r="D1389" s="617"/>
      <c r="E1389" s="617"/>
      <c r="F1389" s="1083"/>
      <c r="G1389" s="1084"/>
      <c r="H1389" s="1069"/>
      <c r="I1389" s="618"/>
      <c r="J1389" s="619"/>
      <c r="K1389" s="618"/>
      <c r="L1389" s="620"/>
      <c r="M1389" s="621"/>
      <c r="N1389" s="620"/>
    </row>
    <row r="1390" spans="1:14" ht="11.25" customHeight="1" x14ac:dyDescent="0.25">
      <c r="A1390" s="615"/>
      <c r="B1390" s="616"/>
      <c r="C1390" s="617"/>
      <c r="D1390" s="617"/>
      <c r="E1390" s="617"/>
      <c r="F1390" s="1083"/>
      <c r="G1390" s="1084"/>
      <c r="H1390" s="1069"/>
      <c r="I1390" s="618"/>
      <c r="J1390" s="619"/>
      <c r="K1390" s="618"/>
      <c r="L1390" s="620"/>
      <c r="M1390" s="621"/>
      <c r="N1390" s="620"/>
    </row>
    <row r="1391" spans="1:14" ht="11.25" customHeight="1" x14ac:dyDescent="0.25">
      <c r="A1391" s="615"/>
      <c r="B1391" s="616"/>
      <c r="C1391" s="617"/>
      <c r="D1391" s="617"/>
      <c r="E1391" s="617"/>
      <c r="F1391" s="1083"/>
      <c r="G1391" s="1084"/>
      <c r="H1391" s="1069"/>
      <c r="I1391" s="618"/>
      <c r="J1391" s="619"/>
      <c r="K1391" s="618"/>
      <c r="L1391" s="620"/>
      <c r="M1391" s="621"/>
      <c r="N1391" s="620"/>
    </row>
    <row r="1392" spans="1:14" ht="11.25" customHeight="1" x14ac:dyDescent="0.25">
      <c r="A1392" s="615"/>
      <c r="B1392" s="616"/>
      <c r="C1392" s="617"/>
      <c r="D1392" s="617"/>
      <c r="E1392" s="617"/>
      <c r="F1392" s="1083"/>
      <c r="G1392" s="1084"/>
      <c r="H1392" s="1069"/>
      <c r="I1392" s="618"/>
      <c r="J1392" s="619"/>
      <c r="K1392" s="618"/>
      <c r="L1392" s="620"/>
      <c r="M1392" s="621"/>
      <c r="N1392" s="620"/>
    </row>
    <row r="1393" spans="1:14" ht="11.25" customHeight="1" x14ac:dyDescent="0.25">
      <c r="A1393" s="615"/>
      <c r="B1393" s="616"/>
      <c r="C1393" s="617"/>
      <c r="D1393" s="617"/>
      <c r="E1393" s="617"/>
      <c r="F1393" s="1083"/>
      <c r="G1393" s="1084"/>
      <c r="H1393" s="1069"/>
      <c r="I1393" s="618"/>
      <c r="J1393" s="619"/>
      <c r="K1393" s="618"/>
      <c r="L1393" s="620"/>
      <c r="M1393" s="621"/>
      <c r="N1393" s="620"/>
    </row>
    <row r="1394" spans="1:14" ht="11.25" customHeight="1" x14ac:dyDescent="0.25">
      <c r="A1394" s="615"/>
      <c r="B1394" s="616"/>
      <c r="C1394" s="617"/>
      <c r="D1394" s="617"/>
      <c r="E1394" s="617"/>
      <c r="F1394" s="1083"/>
      <c r="G1394" s="1084"/>
      <c r="H1394" s="1069"/>
      <c r="I1394" s="618"/>
      <c r="J1394" s="619"/>
      <c r="K1394" s="618"/>
      <c r="L1394" s="620"/>
      <c r="M1394" s="621"/>
      <c r="N1394" s="620"/>
    </row>
    <row r="1395" spans="1:14" ht="11.25" customHeight="1" x14ac:dyDescent="0.25">
      <c r="A1395" s="615"/>
      <c r="B1395" s="616"/>
      <c r="C1395" s="617"/>
      <c r="D1395" s="617"/>
      <c r="E1395" s="617"/>
      <c r="F1395" s="1083"/>
      <c r="G1395" s="1084"/>
      <c r="H1395" s="1069"/>
      <c r="I1395" s="618"/>
      <c r="J1395" s="619"/>
      <c r="K1395" s="618"/>
      <c r="L1395" s="620"/>
      <c r="M1395" s="621"/>
      <c r="N1395" s="620"/>
    </row>
    <row r="1396" spans="1:14" ht="11.25" customHeight="1" x14ac:dyDescent="0.25">
      <c r="A1396" s="615"/>
      <c r="B1396" s="616"/>
      <c r="C1396" s="617"/>
      <c r="D1396" s="617"/>
      <c r="E1396" s="617"/>
      <c r="F1396" s="1083"/>
      <c r="G1396" s="1084"/>
      <c r="H1396" s="1069"/>
      <c r="I1396" s="618"/>
      <c r="J1396" s="619"/>
      <c r="K1396" s="618"/>
      <c r="L1396" s="620"/>
      <c r="M1396" s="621"/>
      <c r="N1396" s="620"/>
    </row>
    <row r="1397" spans="1:14" ht="11.25" customHeight="1" x14ac:dyDescent="0.25">
      <c r="A1397" s="615"/>
      <c r="B1397" s="616"/>
      <c r="C1397" s="617"/>
      <c r="D1397" s="617"/>
      <c r="E1397" s="617"/>
      <c r="F1397" s="1083"/>
      <c r="G1397" s="1084"/>
      <c r="H1397" s="1069"/>
      <c r="I1397" s="618"/>
      <c r="J1397" s="619"/>
      <c r="K1397" s="618"/>
      <c r="L1397" s="620"/>
      <c r="M1397" s="621"/>
      <c r="N1397" s="620"/>
    </row>
    <row r="1398" spans="1:14" ht="11.25" customHeight="1" x14ac:dyDescent="0.25">
      <c r="A1398" s="615"/>
      <c r="B1398" s="616"/>
      <c r="C1398" s="617"/>
      <c r="D1398" s="617"/>
      <c r="E1398" s="617"/>
      <c r="F1398" s="1083"/>
      <c r="G1398" s="1084"/>
      <c r="H1398" s="1069"/>
      <c r="I1398" s="618"/>
      <c r="J1398" s="619"/>
      <c r="K1398" s="618"/>
      <c r="L1398" s="620"/>
      <c r="M1398" s="621"/>
      <c r="N1398" s="620"/>
    </row>
    <row r="1399" spans="1:14" ht="11.25" customHeight="1" x14ac:dyDescent="0.25">
      <c r="A1399" s="615"/>
      <c r="B1399" s="616"/>
      <c r="C1399" s="617"/>
      <c r="D1399" s="617"/>
      <c r="E1399" s="617"/>
      <c r="F1399" s="1083"/>
      <c r="G1399" s="1084"/>
      <c r="H1399" s="1069"/>
      <c r="I1399" s="618"/>
      <c r="J1399" s="619"/>
      <c r="K1399" s="618"/>
      <c r="L1399" s="620"/>
      <c r="M1399" s="621"/>
      <c r="N1399" s="620"/>
    </row>
    <row r="1400" spans="1:14" ht="11.25" customHeight="1" x14ac:dyDescent="0.25">
      <c r="A1400" s="615"/>
      <c r="B1400" s="616"/>
      <c r="C1400" s="617"/>
      <c r="D1400" s="617"/>
      <c r="E1400" s="617"/>
      <c r="F1400" s="1083"/>
      <c r="G1400" s="1084"/>
      <c r="H1400" s="1069"/>
      <c r="I1400" s="618"/>
      <c r="J1400" s="619"/>
      <c r="K1400" s="618"/>
      <c r="L1400" s="620"/>
      <c r="M1400" s="621"/>
      <c r="N1400" s="620"/>
    </row>
    <row r="1401" spans="1:14" ht="11.25" customHeight="1" x14ac:dyDescent="0.25">
      <c r="A1401" s="615"/>
      <c r="B1401" s="616"/>
      <c r="C1401" s="617"/>
      <c r="D1401" s="617"/>
      <c r="E1401" s="617"/>
      <c r="F1401" s="1083"/>
      <c r="G1401" s="1084"/>
      <c r="H1401" s="1069"/>
      <c r="I1401" s="618"/>
      <c r="J1401" s="619"/>
      <c r="K1401" s="618"/>
      <c r="L1401" s="620"/>
      <c r="M1401" s="621"/>
      <c r="N1401" s="620"/>
    </row>
    <row r="1402" spans="1:14" ht="11.25" customHeight="1" x14ac:dyDescent="0.25">
      <c r="A1402" s="615"/>
      <c r="B1402" s="616"/>
      <c r="C1402" s="617"/>
      <c r="D1402" s="617"/>
      <c r="E1402" s="617"/>
      <c r="F1402" s="1083"/>
      <c r="G1402" s="1084"/>
      <c r="H1402" s="1069"/>
      <c r="I1402" s="618"/>
      <c r="J1402" s="619"/>
      <c r="K1402" s="618"/>
      <c r="L1402" s="620"/>
      <c r="M1402" s="621"/>
      <c r="N1402" s="620"/>
    </row>
    <row r="1403" spans="1:14" ht="11.25" customHeight="1" x14ac:dyDescent="0.25">
      <c r="A1403" s="615"/>
      <c r="B1403" s="616"/>
      <c r="C1403" s="617"/>
      <c r="D1403" s="617"/>
      <c r="E1403" s="617"/>
      <c r="F1403" s="1083"/>
      <c r="G1403" s="1084"/>
      <c r="H1403" s="1069"/>
      <c r="I1403" s="618"/>
      <c r="J1403" s="619"/>
      <c r="K1403" s="618"/>
      <c r="L1403" s="620"/>
      <c r="M1403" s="621"/>
      <c r="N1403" s="620"/>
    </row>
    <row r="1404" spans="1:14" ht="11.25" customHeight="1" x14ac:dyDescent="0.25">
      <c r="A1404" s="615"/>
      <c r="B1404" s="616"/>
      <c r="C1404" s="617"/>
      <c r="D1404" s="617"/>
      <c r="E1404" s="617"/>
      <c r="F1404" s="1083"/>
      <c r="G1404" s="1084"/>
      <c r="H1404" s="1069"/>
      <c r="I1404" s="618"/>
      <c r="J1404" s="619"/>
      <c r="K1404" s="618"/>
      <c r="L1404" s="620"/>
      <c r="M1404" s="621"/>
      <c r="N1404" s="620"/>
    </row>
    <row r="1405" spans="1:14" ht="11.25" customHeight="1" x14ac:dyDescent="0.25">
      <c r="A1405" s="615"/>
      <c r="B1405" s="616"/>
      <c r="C1405" s="617"/>
      <c r="D1405" s="617"/>
      <c r="E1405" s="617"/>
      <c r="F1405" s="1083"/>
      <c r="G1405" s="1084"/>
      <c r="H1405" s="1069"/>
      <c r="I1405" s="618"/>
      <c r="J1405" s="619"/>
      <c r="K1405" s="618"/>
      <c r="L1405" s="620"/>
      <c r="M1405" s="621"/>
      <c r="N1405" s="620"/>
    </row>
    <row r="1406" spans="1:14" ht="11.25" customHeight="1" x14ac:dyDescent="0.25">
      <c r="A1406" s="615"/>
      <c r="B1406" s="616"/>
      <c r="C1406" s="617"/>
      <c r="D1406" s="617"/>
      <c r="E1406" s="617"/>
      <c r="F1406" s="1083"/>
      <c r="G1406" s="1084"/>
      <c r="H1406" s="1069"/>
      <c r="I1406" s="618"/>
      <c r="J1406" s="619"/>
      <c r="K1406" s="618"/>
      <c r="L1406" s="620"/>
      <c r="M1406" s="621"/>
      <c r="N1406" s="620"/>
    </row>
    <row r="1407" spans="1:14" ht="11.25" customHeight="1" x14ac:dyDescent="0.25">
      <c r="A1407" s="615"/>
      <c r="B1407" s="616"/>
      <c r="C1407" s="617"/>
      <c r="D1407" s="617"/>
      <c r="E1407" s="617"/>
      <c r="F1407" s="1083"/>
      <c r="G1407" s="1084"/>
      <c r="H1407" s="1069"/>
      <c r="I1407" s="618"/>
      <c r="J1407" s="619"/>
      <c r="K1407" s="618"/>
      <c r="L1407" s="620"/>
      <c r="M1407" s="621"/>
      <c r="N1407" s="620"/>
    </row>
    <row r="1408" spans="1:14" ht="11.25" customHeight="1" x14ac:dyDescent="0.25">
      <c r="A1408" s="615"/>
      <c r="B1408" s="616"/>
      <c r="C1408" s="617"/>
      <c r="D1408" s="617"/>
      <c r="E1408" s="617"/>
      <c r="F1408" s="1083"/>
      <c r="G1408" s="1084"/>
      <c r="H1408" s="1069"/>
      <c r="I1408" s="618"/>
      <c r="J1408" s="619"/>
      <c r="K1408" s="618"/>
      <c r="L1408" s="620"/>
      <c r="M1408" s="621"/>
      <c r="N1408" s="620"/>
    </row>
    <row r="1409" spans="1:14" ht="11.25" customHeight="1" x14ac:dyDescent="0.25">
      <c r="A1409" s="615"/>
      <c r="B1409" s="616"/>
      <c r="C1409" s="617"/>
      <c r="D1409" s="617"/>
      <c r="E1409" s="617"/>
      <c r="F1409" s="1083"/>
      <c r="G1409" s="1084"/>
      <c r="H1409" s="1069"/>
      <c r="I1409" s="618"/>
      <c r="J1409" s="619"/>
      <c r="K1409" s="618"/>
      <c r="L1409" s="620"/>
      <c r="M1409" s="621"/>
      <c r="N1409" s="620"/>
    </row>
    <row r="1410" spans="1:14" ht="11.25" customHeight="1" x14ac:dyDescent="0.25">
      <c r="A1410" s="615"/>
      <c r="B1410" s="616"/>
      <c r="C1410" s="617"/>
      <c r="D1410" s="617"/>
      <c r="E1410" s="617"/>
      <c r="F1410" s="1083"/>
      <c r="G1410" s="1084"/>
      <c r="H1410" s="1069"/>
      <c r="I1410" s="618"/>
      <c r="J1410" s="619"/>
      <c r="K1410" s="618"/>
      <c r="L1410" s="620"/>
      <c r="M1410" s="621"/>
      <c r="N1410" s="620"/>
    </row>
    <row r="1411" spans="1:14" ht="11.25" customHeight="1" x14ac:dyDescent="0.25">
      <c r="A1411" s="615"/>
      <c r="B1411" s="616"/>
      <c r="C1411" s="617"/>
      <c r="D1411" s="617"/>
      <c r="E1411" s="617"/>
      <c r="F1411" s="1083"/>
      <c r="G1411" s="1084"/>
      <c r="H1411" s="1069"/>
      <c r="I1411" s="618"/>
      <c r="J1411" s="619"/>
      <c r="K1411" s="618"/>
      <c r="L1411" s="620"/>
      <c r="M1411" s="621"/>
      <c r="N1411" s="620"/>
    </row>
    <row r="1412" spans="1:14" ht="11.25" customHeight="1" x14ac:dyDescent="0.25">
      <c r="A1412" s="615"/>
      <c r="B1412" s="616"/>
      <c r="C1412" s="617"/>
      <c r="D1412" s="617"/>
      <c r="E1412" s="617"/>
      <c r="F1412" s="1083"/>
      <c r="G1412" s="1084"/>
      <c r="H1412" s="1069"/>
      <c r="I1412" s="618"/>
      <c r="J1412" s="619"/>
      <c r="K1412" s="618"/>
      <c r="L1412" s="620"/>
      <c r="M1412" s="621"/>
      <c r="N1412" s="620"/>
    </row>
    <row r="1413" spans="1:14" ht="11.25" customHeight="1" x14ac:dyDescent="0.25">
      <c r="A1413" s="615"/>
      <c r="B1413" s="616"/>
      <c r="C1413" s="617"/>
      <c r="D1413" s="617"/>
      <c r="E1413" s="617"/>
      <c r="F1413" s="1083"/>
      <c r="G1413" s="1084"/>
      <c r="H1413" s="1069"/>
      <c r="I1413" s="618"/>
      <c r="J1413" s="619"/>
      <c r="K1413" s="618"/>
      <c r="L1413" s="620"/>
      <c r="M1413" s="621"/>
      <c r="N1413" s="620"/>
    </row>
    <row r="1414" spans="1:14" ht="11.25" customHeight="1" x14ac:dyDescent="0.25">
      <c r="A1414" s="615"/>
      <c r="B1414" s="616"/>
      <c r="C1414" s="617"/>
      <c r="D1414" s="617"/>
      <c r="E1414" s="617"/>
      <c r="F1414" s="1083"/>
      <c r="G1414" s="1084"/>
      <c r="H1414" s="1069"/>
      <c r="I1414" s="618"/>
      <c r="J1414" s="619"/>
      <c r="K1414" s="618"/>
      <c r="L1414" s="620"/>
      <c r="M1414" s="621"/>
      <c r="N1414" s="620"/>
    </row>
    <row r="1415" spans="1:14" ht="11.25" customHeight="1" x14ac:dyDescent="0.25">
      <c r="A1415" s="615"/>
      <c r="B1415" s="616"/>
      <c r="C1415" s="617"/>
      <c r="D1415" s="617"/>
      <c r="E1415" s="617"/>
      <c r="F1415" s="1083"/>
      <c r="G1415" s="1084"/>
      <c r="H1415" s="1069"/>
      <c r="I1415" s="618"/>
      <c r="J1415" s="619"/>
      <c r="K1415" s="618"/>
      <c r="L1415" s="620"/>
      <c r="M1415" s="621"/>
      <c r="N1415" s="620"/>
    </row>
    <row r="1416" spans="1:14" ht="11.25" customHeight="1" x14ac:dyDescent="0.25">
      <c r="A1416" s="615"/>
      <c r="B1416" s="616"/>
      <c r="C1416" s="617"/>
      <c r="D1416" s="617"/>
      <c r="E1416" s="617"/>
      <c r="F1416" s="1083"/>
      <c r="G1416" s="1084"/>
      <c r="H1416" s="1069"/>
      <c r="I1416" s="618"/>
      <c r="J1416" s="619"/>
      <c r="K1416" s="618"/>
      <c r="L1416" s="620"/>
      <c r="M1416" s="621"/>
      <c r="N1416" s="620"/>
    </row>
    <row r="1417" spans="1:14" ht="11.25" customHeight="1" x14ac:dyDescent="0.25">
      <c r="A1417" s="615"/>
      <c r="B1417" s="616"/>
      <c r="C1417" s="617"/>
      <c r="D1417" s="617"/>
      <c r="E1417" s="617"/>
      <c r="F1417" s="1083"/>
      <c r="G1417" s="1084"/>
      <c r="H1417" s="1069"/>
      <c r="I1417" s="618"/>
      <c r="J1417" s="619"/>
      <c r="K1417" s="618"/>
      <c r="L1417" s="620"/>
      <c r="M1417" s="621"/>
      <c r="N1417" s="620"/>
    </row>
    <row r="1418" spans="1:14" ht="11.25" customHeight="1" x14ac:dyDescent="0.25">
      <c r="A1418" s="615"/>
      <c r="B1418" s="616"/>
      <c r="C1418" s="617"/>
      <c r="D1418" s="617"/>
      <c r="E1418" s="617"/>
      <c r="F1418" s="1083"/>
      <c r="G1418" s="1084"/>
      <c r="H1418" s="1069"/>
      <c r="I1418" s="618"/>
      <c r="J1418" s="619"/>
      <c r="K1418" s="618"/>
      <c r="L1418" s="620"/>
      <c r="M1418" s="621"/>
      <c r="N1418" s="620"/>
    </row>
    <row r="1419" spans="1:14" ht="11.25" customHeight="1" x14ac:dyDescent="0.25">
      <c r="A1419" s="615"/>
      <c r="B1419" s="616"/>
      <c r="C1419" s="617"/>
      <c r="D1419" s="617"/>
      <c r="E1419" s="617"/>
      <c r="F1419" s="1083"/>
      <c r="G1419" s="1084"/>
      <c r="H1419" s="1069"/>
      <c r="I1419" s="618"/>
      <c r="J1419" s="619"/>
      <c r="K1419" s="618"/>
      <c r="L1419" s="620"/>
      <c r="M1419" s="621"/>
      <c r="N1419" s="620"/>
    </row>
    <row r="1420" spans="1:14" ht="11.25" customHeight="1" x14ac:dyDescent="0.25">
      <c r="A1420" s="615"/>
      <c r="B1420" s="616"/>
      <c r="C1420" s="617"/>
      <c r="D1420" s="617"/>
      <c r="E1420" s="617"/>
      <c r="F1420" s="1083"/>
      <c r="G1420" s="1084"/>
      <c r="H1420" s="1069"/>
      <c r="I1420" s="618"/>
      <c r="J1420" s="619"/>
      <c r="K1420" s="618"/>
      <c r="L1420" s="620"/>
      <c r="M1420" s="621"/>
      <c r="N1420" s="620"/>
    </row>
    <row r="1421" spans="1:14" ht="11.25" customHeight="1" x14ac:dyDescent="0.25">
      <c r="A1421" s="615"/>
      <c r="B1421" s="616"/>
      <c r="C1421" s="617"/>
      <c r="D1421" s="617"/>
      <c r="E1421" s="617"/>
      <c r="F1421" s="1083"/>
      <c r="G1421" s="1084"/>
      <c r="H1421" s="1069"/>
      <c r="I1421" s="618"/>
      <c r="J1421" s="619"/>
      <c r="K1421" s="618"/>
      <c r="L1421" s="620"/>
      <c r="M1421" s="621"/>
      <c r="N1421" s="620"/>
    </row>
    <row r="1422" spans="1:14" ht="11.25" customHeight="1" x14ac:dyDescent="0.25">
      <c r="A1422" s="615"/>
      <c r="B1422" s="616"/>
      <c r="C1422" s="617"/>
      <c r="D1422" s="617"/>
      <c r="E1422" s="617"/>
      <c r="F1422" s="1083"/>
      <c r="G1422" s="1084"/>
      <c r="H1422" s="1069"/>
      <c r="I1422" s="618"/>
      <c r="J1422" s="619"/>
      <c r="K1422" s="618"/>
      <c r="L1422" s="620"/>
      <c r="M1422" s="621"/>
      <c r="N1422" s="620"/>
    </row>
    <row r="1423" spans="1:14" ht="11.25" customHeight="1" x14ac:dyDescent="0.25">
      <c r="A1423" s="615"/>
      <c r="B1423" s="616"/>
      <c r="C1423" s="617"/>
      <c r="D1423" s="617"/>
      <c r="E1423" s="617"/>
      <c r="F1423" s="1083"/>
      <c r="G1423" s="1084"/>
      <c r="H1423" s="1069"/>
      <c r="I1423" s="618"/>
      <c r="J1423" s="619"/>
      <c r="K1423" s="618"/>
      <c r="L1423" s="620"/>
      <c r="M1423" s="621"/>
      <c r="N1423" s="620"/>
    </row>
    <row r="1424" spans="1:14" ht="11.25" customHeight="1" x14ac:dyDescent="0.25">
      <c r="A1424" s="615"/>
      <c r="B1424" s="616"/>
      <c r="C1424" s="617"/>
      <c r="D1424" s="617"/>
      <c r="E1424" s="617"/>
      <c r="F1424" s="1083"/>
      <c r="G1424" s="1084"/>
      <c r="H1424" s="1069"/>
      <c r="I1424" s="618"/>
      <c r="J1424" s="619"/>
      <c r="K1424" s="618"/>
      <c r="L1424" s="620"/>
      <c r="M1424" s="621"/>
      <c r="N1424" s="620"/>
    </row>
    <row r="1425" spans="1:14" ht="11.25" customHeight="1" x14ac:dyDescent="0.25">
      <c r="A1425" s="615"/>
      <c r="B1425" s="616"/>
      <c r="C1425" s="617"/>
      <c r="D1425" s="617"/>
      <c r="E1425" s="617"/>
      <c r="F1425" s="1083"/>
      <c r="G1425" s="1084"/>
      <c r="H1425" s="1069"/>
      <c r="I1425" s="618"/>
      <c r="J1425" s="619"/>
      <c r="K1425" s="618"/>
      <c r="L1425" s="620"/>
      <c r="M1425" s="621"/>
      <c r="N1425" s="620"/>
    </row>
    <row r="1426" spans="1:14" ht="11.25" customHeight="1" x14ac:dyDescent="0.25">
      <c r="A1426" s="615"/>
      <c r="B1426" s="616"/>
      <c r="C1426" s="617"/>
      <c r="D1426" s="617"/>
      <c r="E1426" s="617"/>
      <c r="F1426" s="1083"/>
      <c r="G1426" s="1084"/>
      <c r="H1426" s="1069"/>
      <c r="I1426" s="618"/>
      <c r="J1426" s="619"/>
      <c r="K1426" s="618"/>
      <c r="L1426" s="620"/>
      <c r="M1426" s="621"/>
      <c r="N1426" s="620"/>
    </row>
    <row r="1427" spans="1:14" ht="11.25" customHeight="1" x14ac:dyDescent="0.25">
      <c r="A1427" s="615"/>
      <c r="B1427" s="616"/>
      <c r="C1427" s="617"/>
      <c r="D1427" s="617"/>
      <c r="E1427" s="617"/>
      <c r="F1427" s="1083"/>
      <c r="G1427" s="1084"/>
      <c r="H1427" s="1069"/>
      <c r="I1427" s="618"/>
      <c r="J1427" s="619"/>
      <c r="K1427" s="618"/>
      <c r="L1427" s="620"/>
      <c r="M1427" s="621"/>
      <c r="N1427" s="620"/>
    </row>
    <row r="1428" spans="1:14" ht="11.25" customHeight="1" x14ac:dyDescent="0.25">
      <c r="A1428" s="615"/>
      <c r="B1428" s="616"/>
      <c r="C1428" s="617"/>
      <c r="D1428" s="617"/>
      <c r="E1428" s="617"/>
      <c r="F1428" s="1083"/>
      <c r="G1428" s="1084"/>
      <c r="H1428" s="1069"/>
      <c r="I1428" s="618"/>
      <c r="J1428" s="619"/>
      <c r="K1428" s="618"/>
      <c r="L1428" s="620"/>
      <c r="M1428" s="621"/>
      <c r="N1428" s="620"/>
    </row>
    <row r="1429" spans="1:14" ht="11.25" customHeight="1" x14ac:dyDescent="0.25">
      <c r="A1429" s="615"/>
      <c r="B1429" s="616"/>
      <c r="C1429" s="617"/>
      <c r="D1429" s="617"/>
      <c r="E1429" s="617"/>
      <c r="F1429" s="1083"/>
      <c r="G1429" s="1084"/>
      <c r="H1429" s="1069"/>
      <c r="I1429" s="618"/>
      <c r="J1429" s="619"/>
      <c r="K1429" s="618"/>
      <c r="L1429" s="620"/>
      <c r="M1429" s="621"/>
      <c r="N1429" s="620"/>
    </row>
    <row r="1430" spans="1:14" ht="11.25" customHeight="1" x14ac:dyDescent="0.25">
      <c r="A1430" s="615"/>
      <c r="B1430" s="616"/>
      <c r="C1430" s="617"/>
      <c r="D1430" s="617"/>
      <c r="E1430" s="617"/>
      <c r="F1430" s="1083"/>
      <c r="G1430" s="1084"/>
      <c r="H1430" s="1069"/>
      <c r="I1430" s="618"/>
      <c r="J1430" s="619"/>
      <c r="K1430" s="618"/>
      <c r="L1430" s="620"/>
      <c r="M1430" s="621"/>
      <c r="N1430" s="620"/>
    </row>
    <row r="1431" spans="1:14" ht="11.25" customHeight="1" x14ac:dyDescent="0.25">
      <c r="A1431" s="615"/>
      <c r="B1431" s="616"/>
      <c r="C1431" s="617"/>
      <c r="D1431" s="617"/>
      <c r="E1431" s="617"/>
      <c r="F1431" s="1083"/>
      <c r="G1431" s="1084"/>
      <c r="H1431" s="1069"/>
      <c r="I1431" s="618"/>
      <c r="J1431" s="619"/>
      <c r="K1431" s="618"/>
      <c r="L1431" s="620"/>
      <c r="M1431" s="621"/>
      <c r="N1431" s="620"/>
    </row>
    <row r="1432" spans="1:14" ht="11.25" customHeight="1" x14ac:dyDescent="0.25">
      <c r="A1432" s="615"/>
      <c r="B1432" s="616"/>
      <c r="C1432" s="617"/>
      <c r="D1432" s="617"/>
      <c r="E1432" s="617"/>
      <c r="F1432" s="1083"/>
      <c r="G1432" s="1084"/>
      <c r="H1432" s="1069"/>
      <c r="I1432" s="618"/>
      <c r="J1432" s="619"/>
      <c r="K1432" s="618"/>
      <c r="L1432" s="620"/>
      <c r="M1432" s="621"/>
      <c r="N1432" s="620"/>
    </row>
    <row r="1433" spans="1:14" ht="11.25" customHeight="1" x14ac:dyDescent="0.25">
      <c r="A1433" s="615"/>
      <c r="B1433" s="616"/>
      <c r="C1433" s="617"/>
      <c r="D1433" s="617"/>
      <c r="E1433" s="617"/>
      <c r="F1433" s="1083"/>
      <c r="G1433" s="1084"/>
      <c r="H1433" s="1069"/>
      <c r="I1433" s="618"/>
      <c r="J1433" s="619"/>
      <c r="K1433" s="618"/>
      <c r="L1433" s="620"/>
      <c r="M1433" s="621"/>
      <c r="N1433" s="620"/>
    </row>
    <row r="1434" spans="1:14" ht="11.25" customHeight="1" x14ac:dyDescent="0.25">
      <c r="A1434" s="615"/>
      <c r="B1434" s="616"/>
      <c r="C1434" s="617"/>
      <c r="D1434" s="617"/>
      <c r="E1434" s="617"/>
      <c r="F1434" s="1083"/>
      <c r="G1434" s="1084"/>
      <c r="H1434" s="1069"/>
      <c r="I1434" s="618"/>
      <c r="J1434" s="619"/>
      <c r="K1434" s="618"/>
      <c r="L1434" s="620"/>
      <c r="M1434" s="621"/>
      <c r="N1434" s="620"/>
    </row>
    <row r="1435" spans="1:14" ht="11.25" customHeight="1" x14ac:dyDescent="0.25">
      <c r="A1435" s="615"/>
      <c r="B1435" s="616"/>
      <c r="C1435" s="617"/>
      <c r="D1435" s="617"/>
      <c r="E1435" s="617"/>
      <c r="F1435" s="1083"/>
      <c r="G1435" s="1084"/>
      <c r="H1435" s="1069"/>
      <c r="I1435" s="618"/>
      <c r="J1435" s="619"/>
      <c r="K1435" s="618"/>
      <c r="L1435" s="620"/>
      <c r="M1435" s="621"/>
      <c r="N1435" s="620"/>
    </row>
    <row r="1436" spans="1:14" ht="11.25" customHeight="1" x14ac:dyDescent="0.25">
      <c r="A1436" s="615"/>
      <c r="B1436" s="616"/>
      <c r="C1436" s="617"/>
      <c r="D1436" s="617"/>
      <c r="E1436" s="617"/>
      <c r="F1436" s="1083"/>
      <c r="G1436" s="1084"/>
      <c r="H1436" s="1069"/>
      <c r="I1436" s="618"/>
      <c r="J1436" s="619"/>
      <c r="K1436" s="618"/>
      <c r="L1436" s="620"/>
      <c r="M1436" s="621"/>
      <c r="N1436" s="620"/>
    </row>
    <row r="1437" spans="1:14" ht="11.25" customHeight="1" x14ac:dyDescent="0.25">
      <c r="A1437" s="615"/>
      <c r="B1437" s="616"/>
      <c r="C1437" s="617"/>
      <c r="D1437" s="617"/>
      <c r="E1437" s="617"/>
      <c r="F1437" s="1083"/>
      <c r="G1437" s="1084"/>
      <c r="H1437" s="1069"/>
      <c r="I1437" s="618"/>
      <c r="J1437" s="619"/>
      <c r="K1437" s="618"/>
      <c r="L1437" s="620"/>
      <c r="M1437" s="621"/>
      <c r="N1437" s="620"/>
    </row>
    <row r="1438" spans="1:14" ht="11.25" customHeight="1" x14ac:dyDescent="0.25">
      <c r="A1438" s="615"/>
      <c r="B1438" s="616"/>
      <c r="C1438" s="617"/>
      <c r="D1438" s="617"/>
      <c r="E1438" s="617"/>
      <c r="F1438" s="1083"/>
      <c r="G1438" s="1084"/>
      <c r="H1438" s="1069"/>
      <c r="I1438" s="618"/>
      <c r="J1438" s="619"/>
      <c r="K1438" s="618"/>
      <c r="L1438" s="620"/>
      <c r="M1438" s="621"/>
      <c r="N1438" s="620"/>
    </row>
    <row r="1439" spans="1:14" ht="11.25" customHeight="1" x14ac:dyDescent="0.25">
      <c r="A1439" s="615"/>
      <c r="B1439" s="616"/>
      <c r="C1439" s="617"/>
      <c r="D1439" s="617"/>
      <c r="E1439" s="617"/>
      <c r="F1439" s="1083"/>
      <c r="G1439" s="1084"/>
      <c r="H1439" s="1069"/>
      <c r="I1439" s="618"/>
      <c r="J1439" s="619"/>
      <c r="K1439" s="618"/>
      <c r="L1439" s="620"/>
      <c r="M1439" s="621"/>
      <c r="N1439" s="620"/>
    </row>
    <row r="1440" spans="1:14" ht="11.25" customHeight="1" x14ac:dyDescent="0.25">
      <c r="A1440" s="615"/>
      <c r="B1440" s="616"/>
      <c r="C1440" s="617"/>
      <c r="D1440" s="617"/>
      <c r="E1440" s="617"/>
      <c r="F1440" s="1083"/>
      <c r="G1440" s="1084"/>
      <c r="H1440" s="1069"/>
      <c r="I1440" s="618"/>
      <c r="J1440" s="619"/>
      <c r="K1440" s="618"/>
      <c r="L1440" s="620"/>
      <c r="M1440" s="621"/>
      <c r="N1440" s="620"/>
    </row>
    <row r="1441" spans="1:14" ht="11.25" customHeight="1" x14ac:dyDescent="0.25">
      <c r="A1441" s="615"/>
      <c r="B1441" s="616"/>
      <c r="C1441" s="617"/>
      <c r="D1441" s="617"/>
      <c r="E1441" s="617"/>
      <c r="F1441" s="1083"/>
      <c r="G1441" s="1084"/>
      <c r="H1441" s="1069"/>
      <c r="I1441" s="618"/>
      <c r="J1441" s="619"/>
      <c r="K1441" s="618"/>
      <c r="L1441" s="620"/>
      <c r="M1441" s="621"/>
      <c r="N1441" s="620"/>
    </row>
    <row r="1442" spans="1:14" ht="11.25" customHeight="1" x14ac:dyDescent="0.25">
      <c r="A1442" s="615"/>
      <c r="B1442" s="616"/>
      <c r="C1442" s="617"/>
      <c r="D1442" s="617"/>
      <c r="E1442" s="617"/>
      <c r="F1442" s="1083"/>
      <c r="G1442" s="1084"/>
      <c r="H1442" s="1069"/>
      <c r="I1442" s="618"/>
      <c r="J1442" s="619"/>
      <c r="K1442" s="618"/>
      <c r="L1442" s="620"/>
      <c r="M1442" s="621"/>
      <c r="N1442" s="620"/>
    </row>
    <row r="1443" spans="1:14" ht="11.25" customHeight="1" x14ac:dyDescent="0.25">
      <c r="A1443" s="615"/>
      <c r="B1443" s="616"/>
      <c r="C1443" s="617"/>
      <c r="D1443" s="617"/>
      <c r="E1443" s="617"/>
      <c r="F1443" s="1083"/>
      <c r="G1443" s="1084"/>
      <c r="H1443" s="1069"/>
      <c r="I1443" s="618"/>
      <c r="J1443" s="619"/>
      <c r="K1443" s="618"/>
      <c r="L1443" s="620"/>
      <c r="M1443" s="621"/>
      <c r="N1443" s="620"/>
    </row>
    <row r="1444" spans="1:14" ht="11.25" customHeight="1" x14ac:dyDescent="0.25">
      <c r="A1444" s="615"/>
      <c r="B1444" s="616"/>
      <c r="C1444" s="617"/>
      <c r="D1444" s="617"/>
      <c r="E1444" s="617"/>
      <c r="F1444" s="1083"/>
      <c r="G1444" s="1084"/>
      <c r="H1444" s="1069"/>
      <c r="I1444" s="618"/>
      <c r="J1444" s="619"/>
      <c r="K1444" s="618"/>
      <c r="L1444" s="620"/>
      <c r="M1444" s="621"/>
      <c r="N1444" s="620"/>
    </row>
    <row r="1445" spans="1:14" ht="11.25" customHeight="1" x14ac:dyDescent="0.25">
      <c r="A1445" s="615"/>
      <c r="B1445" s="616"/>
      <c r="C1445" s="617"/>
      <c r="D1445" s="617"/>
      <c r="E1445" s="617"/>
      <c r="F1445" s="1083"/>
      <c r="G1445" s="1084"/>
      <c r="H1445" s="1069"/>
      <c r="I1445" s="618"/>
      <c r="J1445" s="619"/>
      <c r="K1445" s="618"/>
      <c r="L1445" s="620"/>
      <c r="M1445" s="621"/>
      <c r="N1445" s="620"/>
    </row>
    <row r="1446" spans="1:14" ht="11.25" customHeight="1" x14ac:dyDescent="0.25">
      <c r="A1446" s="615"/>
      <c r="B1446" s="616"/>
      <c r="C1446" s="617"/>
      <c r="D1446" s="617"/>
      <c r="E1446" s="617"/>
      <c r="F1446" s="1083"/>
      <c r="G1446" s="1084"/>
      <c r="H1446" s="1069"/>
      <c r="I1446" s="618"/>
      <c r="J1446" s="619"/>
      <c r="K1446" s="618"/>
      <c r="L1446" s="620"/>
      <c r="M1446" s="621"/>
      <c r="N1446" s="620"/>
    </row>
    <row r="1447" spans="1:14" ht="11.25" customHeight="1" x14ac:dyDescent="0.25">
      <c r="A1447" s="615"/>
      <c r="B1447" s="616"/>
      <c r="C1447" s="617"/>
      <c r="D1447" s="617"/>
      <c r="E1447" s="617"/>
      <c r="F1447" s="1083"/>
      <c r="G1447" s="1084"/>
      <c r="H1447" s="1069"/>
      <c r="I1447" s="618"/>
      <c r="J1447" s="619"/>
      <c r="K1447" s="618"/>
      <c r="L1447" s="620"/>
      <c r="M1447" s="621"/>
      <c r="N1447" s="620"/>
    </row>
    <row r="1448" spans="1:14" ht="11.25" customHeight="1" x14ac:dyDescent="0.25">
      <c r="A1448" s="615"/>
      <c r="B1448" s="616"/>
      <c r="C1448" s="617"/>
      <c r="D1448" s="617"/>
      <c r="E1448" s="617"/>
      <c r="F1448" s="1083"/>
      <c r="G1448" s="1084"/>
      <c r="H1448" s="1069"/>
      <c r="I1448" s="618"/>
      <c r="J1448" s="619"/>
      <c r="K1448" s="618"/>
      <c r="L1448" s="620"/>
      <c r="M1448" s="621"/>
      <c r="N1448" s="620"/>
    </row>
    <row r="1449" spans="1:14" ht="11.25" customHeight="1" x14ac:dyDescent="0.25">
      <c r="A1449" s="615"/>
      <c r="B1449" s="616"/>
      <c r="C1449" s="617"/>
      <c r="D1449" s="617"/>
      <c r="E1449" s="617"/>
      <c r="F1449" s="1083"/>
      <c r="G1449" s="1084"/>
      <c r="H1449" s="1069"/>
      <c r="I1449" s="618"/>
      <c r="J1449" s="619"/>
      <c r="K1449" s="618"/>
      <c r="L1449" s="620"/>
      <c r="M1449" s="621"/>
      <c r="N1449" s="620"/>
    </row>
    <row r="1450" spans="1:14" ht="11.25" customHeight="1" x14ac:dyDescent="0.25">
      <c r="A1450" s="615"/>
      <c r="B1450" s="616"/>
      <c r="C1450" s="617"/>
      <c r="D1450" s="617"/>
      <c r="E1450" s="617"/>
      <c r="F1450" s="1083"/>
      <c r="G1450" s="1084"/>
      <c r="H1450" s="1069"/>
      <c r="I1450" s="618"/>
      <c r="J1450" s="619"/>
      <c r="K1450" s="618"/>
      <c r="L1450" s="620"/>
      <c r="M1450" s="621"/>
      <c r="N1450" s="620"/>
    </row>
    <row r="1451" spans="1:14" ht="11.25" customHeight="1" x14ac:dyDescent="0.25">
      <c r="A1451" s="615"/>
      <c r="B1451" s="616"/>
      <c r="C1451" s="617"/>
      <c r="D1451" s="617"/>
      <c r="E1451" s="617"/>
      <c r="F1451" s="1083"/>
      <c r="G1451" s="1084"/>
      <c r="H1451" s="1069"/>
      <c r="I1451" s="618"/>
      <c r="J1451" s="619"/>
      <c r="K1451" s="618"/>
      <c r="L1451" s="620"/>
      <c r="M1451" s="621"/>
      <c r="N1451" s="620"/>
    </row>
    <row r="1452" spans="1:14" ht="11.25" customHeight="1" x14ac:dyDescent="0.25">
      <c r="A1452" s="615"/>
      <c r="B1452" s="616"/>
      <c r="C1452" s="617"/>
      <c r="D1452" s="617"/>
      <c r="E1452" s="617"/>
      <c r="F1452" s="1083"/>
      <c r="G1452" s="1084"/>
      <c r="H1452" s="1069"/>
      <c r="I1452" s="618"/>
      <c r="J1452" s="619"/>
      <c r="K1452" s="618"/>
      <c r="L1452" s="620"/>
      <c r="M1452" s="621"/>
      <c r="N1452" s="620"/>
    </row>
    <row r="1453" spans="1:14" ht="11.25" customHeight="1" x14ac:dyDescent="0.25">
      <c r="A1453" s="615"/>
      <c r="B1453" s="616"/>
      <c r="C1453" s="617"/>
      <c r="D1453" s="617"/>
      <c r="E1453" s="617"/>
      <c r="F1453" s="1083"/>
      <c r="G1453" s="1084"/>
      <c r="H1453" s="1069"/>
      <c r="I1453" s="618"/>
      <c r="J1453" s="619"/>
      <c r="K1453" s="618"/>
      <c r="L1453" s="620"/>
      <c r="M1453" s="621"/>
      <c r="N1453" s="620"/>
    </row>
    <row r="1454" spans="1:14" ht="11.25" customHeight="1" x14ac:dyDescent="0.25">
      <c r="A1454" s="615"/>
      <c r="B1454" s="616"/>
      <c r="C1454" s="617"/>
      <c r="D1454" s="617"/>
      <c r="E1454" s="617"/>
      <c r="F1454" s="1083"/>
      <c r="G1454" s="1084"/>
      <c r="H1454" s="1069"/>
      <c r="I1454" s="618"/>
      <c r="J1454" s="619"/>
      <c r="K1454" s="618"/>
      <c r="L1454" s="620"/>
      <c r="M1454" s="621"/>
      <c r="N1454" s="620"/>
    </row>
    <row r="1455" spans="1:14" ht="11.25" customHeight="1" x14ac:dyDescent="0.25">
      <c r="A1455" s="615"/>
      <c r="B1455" s="616"/>
      <c r="C1455" s="617"/>
      <c r="D1455" s="617"/>
      <c r="E1455" s="617"/>
      <c r="F1455" s="1083"/>
      <c r="G1455" s="1084"/>
      <c r="H1455" s="1069"/>
      <c r="I1455" s="618"/>
      <c r="J1455" s="619"/>
      <c r="K1455" s="618"/>
      <c r="L1455" s="620"/>
      <c r="M1455" s="621"/>
      <c r="N1455" s="620"/>
    </row>
    <row r="1456" spans="1:14" ht="11.25" customHeight="1" x14ac:dyDescent="0.25">
      <c r="A1456" s="615"/>
      <c r="B1456" s="616"/>
      <c r="C1456" s="617"/>
      <c r="D1456" s="617"/>
      <c r="E1456" s="617"/>
      <c r="F1456" s="1083"/>
      <c r="G1456" s="1084"/>
      <c r="H1456" s="1069"/>
      <c r="I1456" s="618"/>
      <c r="J1456" s="619"/>
      <c r="K1456" s="618"/>
      <c r="L1456" s="620"/>
      <c r="M1456" s="621"/>
      <c r="N1456" s="620"/>
    </row>
    <row r="1457" spans="1:14" ht="11.25" customHeight="1" x14ac:dyDescent="0.25">
      <c r="A1457" s="615"/>
      <c r="B1457" s="616"/>
      <c r="C1457" s="617"/>
      <c r="D1457" s="617"/>
      <c r="E1457" s="617"/>
      <c r="F1457" s="1083"/>
      <c r="G1457" s="1084"/>
      <c r="H1457" s="1069"/>
      <c r="I1457" s="618"/>
      <c r="J1457" s="619"/>
      <c r="K1457" s="618"/>
      <c r="L1457" s="620"/>
      <c r="M1457" s="621"/>
      <c r="N1457" s="620"/>
    </row>
    <row r="1458" spans="1:14" ht="11.25" customHeight="1" x14ac:dyDescent="0.25">
      <c r="A1458" s="615"/>
      <c r="B1458" s="616"/>
      <c r="C1458" s="617"/>
      <c r="D1458" s="617"/>
      <c r="E1458" s="617"/>
      <c r="F1458" s="1083"/>
      <c r="G1458" s="1084"/>
      <c r="H1458" s="1069"/>
      <c r="I1458" s="618"/>
      <c r="J1458" s="619"/>
      <c r="K1458" s="618"/>
      <c r="L1458" s="620"/>
      <c r="M1458" s="621"/>
      <c r="N1458" s="620"/>
    </row>
    <row r="1459" spans="1:14" ht="11.25" customHeight="1" x14ac:dyDescent="0.25">
      <c r="A1459" s="615"/>
      <c r="B1459" s="616"/>
      <c r="C1459" s="617"/>
      <c r="D1459" s="617"/>
      <c r="E1459" s="617"/>
      <c r="F1459" s="1083"/>
      <c r="G1459" s="1084"/>
      <c r="H1459" s="1069"/>
      <c r="I1459" s="618"/>
      <c r="J1459" s="619"/>
      <c r="K1459" s="618"/>
      <c r="L1459" s="620"/>
      <c r="M1459" s="621"/>
      <c r="N1459" s="620"/>
    </row>
    <row r="1460" spans="1:14" ht="11.25" customHeight="1" x14ac:dyDescent="0.25">
      <c r="A1460" s="615"/>
      <c r="B1460" s="616"/>
      <c r="C1460" s="617"/>
      <c r="D1460" s="617"/>
      <c r="E1460" s="617"/>
      <c r="F1460" s="1083"/>
      <c r="G1460" s="1084"/>
      <c r="H1460" s="1069"/>
      <c r="I1460" s="618"/>
      <c r="J1460" s="619"/>
      <c r="K1460" s="618"/>
      <c r="L1460" s="620"/>
      <c r="M1460" s="621"/>
      <c r="N1460" s="620"/>
    </row>
    <row r="1461" spans="1:14" ht="11.25" customHeight="1" x14ac:dyDescent="0.25">
      <c r="A1461" s="615"/>
      <c r="B1461" s="616"/>
      <c r="C1461" s="617"/>
      <c r="D1461" s="617"/>
      <c r="E1461" s="617"/>
      <c r="F1461" s="1083"/>
      <c r="G1461" s="1084"/>
      <c r="H1461" s="1069"/>
      <c r="I1461" s="618"/>
      <c r="J1461" s="619"/>
      <c r="K1461" s="618"/>
      <c r="L1461" s="620"/>
      <c r="M1461" s="621"/>
      <c r="N1461" s="620"/>
    </row>
    <row r="1462" spans="1:14" ht="11.25" customHeight="1" x14ac:dyDescent="0.25">
      <c r="A1462" s="615"/>
      <c r="B1462" s="616"/>
      <c r="C1462" s="617"/>
      <c r="D1462" s="617"/>
      <c r="E1462" s="617"/>
      <c r="F1462" s="1083"/>
      <c r="G1462" s="1084"/>
      <c r="H1462" s="1069"/>
      <c r="I1462" s="618"/>
      <c r="J1462" s="619"/>
      <c r="K1462" s="618"/>
      <c r="L1462" s="620"/>
      <c r="M1462" s="621"/>
      <c r="N1462" s="620"/>
    </row>
    <row r="1463" spans="1:14" ht="11.25" customHeight="1" x14ac:dyDescent="0.25">
      <c r="A1463" s="615"/>
      <c r="B1463" s="616"/>
      <c r="C1463" s="617"/>
      <c r="D1463" s="617"/>
      <c r="E1463" s="617"/>
      <c r="F1463" s="1083"/>
      <c r="G1463" s="1084"/>
      <c r="H1463" s="1069"/>
      <c r="I1463" s="618"/>
      <c r="J1463" s="619"/>
      <c r="K1463" s="618"/>
      <c r="L1463" s="620"/>
      <c r="M1463" s="621"/>
      <c r="N1463" s="620"/>
    </row>
    <row r="1464" spans="1:14" ht="11.25" customHeight="1" x14ac:dyDescent="0.25">
      <c r="A1464" s="615"/>
      <c r="B1464" s="616"/>
      <c r="C1464" s="617"/>
      <c r="D1464" s="617"/>
      <c r="E1464" s="617"/>
      <c r="F1464" s="1083"/>
      <c r="G1464" s="1084"/>
      <c r="H1464" s="1069"/>
      <c r="I1464" s="618"/>
      <c r="J1464" s="619"/>
      <c r="K1464" s="618"/>
      <c r="L1464" s="620"/>
      <c r="M1464" s="621"/>
      <c r="N1464" s="620"/>
    </row>
    <row r="1465" spans="1:14" ht="11.25" customHeight="1" x14ac:dyDescent="0.25">
      <c r="A1465" s="615"/>
      <c r="B1465" s="616"/>
      <c r="C1465" s="617"/>
      <c r="D1465" s="617"/>
      <c r="E1465" s="617"/>
      <c r="F1465" s="1083"/>
      <c r="G1465" s="1084"/>
      <c r="H1465" s="1069"/>
      <c r="I1465" s="618"/>
      <c r="J1465" s="619"/>
      <c r="K1465" s="618"/>
      <c r="L1465" s="620"/>
      <c r="M1465" s="621"/>
      <c r="N1465" s="620"/>
    </row>
    <row r="1466" spans="1:14" ht="11.25" customHeight="1" x14ac:dyDescent="0.25">
      <c r="A1466" s="615"/>
      <c r="B1466" s="616"/>
      <c r="C1466" s="617"/>
      <c r="D1466" s="617"/>
      <c r="E1466" s="617"/>
      <c r="F1466" s="1083"/>
      <c r="G1466" s="1084"/>
      <c r="H1466" s="1069"/>
      <c r="I1466" s="618"/>
      <c r="J1466" s="619"/>
      <c r="K1466" s="618"/>
      <c r="L1466" s="620"/>
      <c r="M1466" s="621"/>
      <c r="N1466" s="620"/>
    </row>
    <row r="1467" spans="1:14" ht="11.25" customHeight="1" x14ac:dyDescent="0.25">
      <c r="A1467" s="615"/>
      <c r="B1467" s="616"/>
      <c r="C1467" s="617"/>
      <c r="D1467" s="617"/>
      <c r="E1467" s="617"/>
      <c r="F1467" s="1083"/>
      <c r="G1467" s="1084"/>
      <c r="H1467" s="1069"/>
      <c r="I1467" s="618"/>
      <c r="J1467" s="619"/>
      <c r="K1467" s="618"/>
      <c r="L1467" s="620"/>
      <c r="M1467" s="621"/>
      <c r="N1467" s="620"/>
    </row>
    <row r="1468" spans="1:14" ht="11.25" customHeight="1" x14ac:dyDescent="0.25">
      <c r="A1468" s="615"/>
      <c r="B1468" s="616"/>
      <c r="C1468" s="617"/>
      <c r="D1468" s="617"/>
      <c r="E1468" s="617"/>
      <c r="F1468" s="1083"/>
      <c r="G1468" s="1084"/>
      <c r="H1468" s="1069"/>
      <c r="I1468" s="618"/>
      <c r="J1468" s="619"/>
      <c r="K1468" s="618"/>
      <c r="L1468" s="620"/>
      <c r="M1468" s="621"/>
      <c r="N1468" s="620"/>
    </row>
    <row r="1469" spans="1:14" ht="11.25" customHeight="1" x14ac:dyDescent="0.25">
      <c r="A1469" s="615"/>
      <c r="B1469" s="616"/>
      <c r="C1469" s="617"/>
      <c r="D1469" s="617"/>
      <c r="E1469" s="617"/>
      <c r="F1469" s="1083"/>
      <c r="G1469" s="1084"/>
      <c r="H1469" s="1069"/>
      <c r="I1469" s="618"/>
      <c r="J1469" s="619"/>
      <c r="K1469" s="618"/>
      <c r="L1469" s="620"/>
      <c r="M1469" s="621"/>
      <c r="N1469" s="620"/>
    </row>
    <row r="1470" spans="1:14" ht="11.25" customHeight="1" x14ac:dyDescent="0.25">
      <c r="A1470" s="615"/>
      <c r="B1470" s="616"/>
      <c r="C1470" s="617"/>
      <c r="D1470" s="617"/>
      <c r="E1470" s="617"/>
      <c r="F1470" s="1083"/>
      <c r="G1470" s="1084"/>
      <c r="H1470" s="1069"/>
      <c r="I1470" s="618"/>
      <c r="J1470" s="619"/>
      <c r="K1470" s="618"/>
      <c r="L1470" s="620"/>
      <c r="M1470" s="621"/>
      <c r="N1470" s="620"/>
    </row>
    <row r="1471" spans="1:14" ht="11.25" customHeight="1" x14ac:dyDescent="0.25">
      <c r="A1471" s="615"/>
      <c r="B1471" s="616"/>
      <c r="C1471" s="617"/>
      <c r="D1471" s="617"/>
      <c r="E1471" s="617"/>
      <c r="F1471" s="1083"/>
      <c r="G1471" s="1084"/>
      <c r="H1471" s="1069"/>
      <c r="I1471" s="618"/>
      <c r="J1471" s="619"/>
      <c r="K1471" s="618"/>
      <c r="L1471" s="620"/>
      <c r="M1471" s="621"/>
      <c r="N1471" s="620"/>
    </row>
    <row r="1472" spans="1:14" ht="11.25" customHeight="1" x14ac:dyDescent="0.25">
      <c r="A1472" s="615"/>
      <c r="B1472" s="616"/>
      <c r="C1472" s="617"/>
      <c r="D1472" s="617"/>
      <c r="E1472" s="617"/>
      <c r="F1472" s="1083"/>
      <c r="G1472" s="1084"/>
      <c r="H1472" s="1069"/>
      <c r="I1472" s="618"/>
      <c r="J1472" s="619"/>
      <c r="K1472" s="618"/>
      <c r="L1472" s="620"/>
      <c r="M1472" s="621"/>
      <c r="N1472" s="620"/>
    </row>
    <row r="1473" spans="1:14" ht="11.25" customHeight="1" x14ac:dyDescent="0.25">
      <c r="A1473" s="615"/>
      <c r="B1473" s="616"/>
      <c r="C1473" s="617"/>
      <c r="D1473" s="617"/>
      <c r="E1473" s="617"/>
      <c r="F1473" s="1083"/>
      <c r="G1473" s="1084"/>
      <c r="H1473" s="1069"/>
      <c r="I1473" s="618"/>
      <c r="J1473" s="619"/>
      <c r="K1473" s="618"/>
      <c r="L1473" s="620"/>
      <c r="M1473" s="621"/>
      <c r="N1473" s="620"/>
    </row>
    <row r="1474" spans="1:14" ht="11.25" customHeight="1" x14ac:dyDescent="0.25">
      <c r="A1474" s="615"/>
      <c r="B1474" s="616"/>
      <c r="C1474" s="617"/>
      <c r="D1474" s="617"/>
      <c r="E1474" s="617"/>
      <c r="F1474" s="1083"/>
      <c r="G1474" s="1084"/>
      <c r="H1474" s="1069"/>
      <c r="I1474" s="618"/>
      <c r="J1474" s="619"/>
      <c r="K1474" s="618"/>
      <c r="L1474" s="620"/>
      <c r="M1474" s="621"/>
      <c r="N1474" s="620"/>
    </row>
    <row r="1475" spans="1:14" ht="11.25" customHeight="1" x14ac:dyDescent="0.25">
      <c r="A1475" s="615"/>
      <c r="B1475" s="616"/>
      <c r="C1475" s="617"/>
      <c r="D1475" s="617"/>
      <c r="E1475" s="617"/>
      <c r="F1475" s="1083"/>
      <c r="G1475" s="1084"/>
      <c r="H1475" s="1069"/>
      <c r="I1475" s="618"/>
      <c r="J1475" s="619"/>
      <c r="K1475" s="618"/>
      <c r="L1475" s="620"/>
      <c r="M1475" s="621"/>
      <c r="N1475" s="620"/>
    </row>
    <row r="1476" spans="1:14" ht="11.25" customHeight="1" x14ac:dyDescent="0.25">
      <c r="A1476" s="615"/>
      <c r="B1476" s="616"/>
      <c r="C1476" s="617"/>
      <c r="D1476" s="617"/>
      <c r="E1476" s="617"/>
      <c r="F1476" s="1083"/>
      <c r="G1476" s="1084"/>
      <c r="H1476" s="1069"/>
      <c r="I1476" s="618"/>
      <c r="J1476" s="619"/>
      <c r="K1476" s="618"/>
      <c r="L1476" s="620"/>
      <c r="M1476" s="621"/>
      <c r="N1476" s="620"/>
    </row>
    <row r="1477" spans="1:14" ht="11.25" customHeight="1" x14ac:dyDescent="0.25">
      <c r="A1477" s="615"/>
      <c r="B1477" s="616"/>
      <c r="C1477" s="617"/>
      <c r="D1477" s="617"/>
      <c r="E1477" s="617"/>
      <c r="F1477" s="1083"/>
      <c r="G1477" s="1084"/>
      <c r="H1477" s="1069"/>
      <c r="I1477" s="618"/>
      <c r="J1477" s="619"/>
      <c r="K1477" s="618"/>
      <c r="L1477" s="620"/>
      <c r="M1477" s="621"/>
      <c r="N1477" s="620"/>
    </row>
    <row r="1478" spans="1:14" ht="11.25" customHeight="1" x14ac:dyDescent="0.25">
      <c r="A1478" s="615"/>
      <c r="B1478" s="616"/>
      <c r="C1478" s="617"/>
      <c r="D1478" s="617"/>
      <c r="E1478" s="617"/>
      <c r="F1478" s="1083"/>
      <c r="G1478" s="1084"/>
      <c r="H1478" s="1069"/>
      <c r="I1478" s="618"/>
      <c r="J1478" s="619"/>
      <c r="K1478" s="618"/>
      <c r="L1478" s="620"/>
      <c r="M1478" s="621"/>
      <c r="N1478" s="620"/>
    </row>
    <row r="1479" spans="1:14" ht="11.25" customHeight="1" x14ac:dyDescent="0.25">
      <c r="A1479" s="615"/>
      <c r="B1479" s="616"/>
      <c r="C1479" s="617"/>
      <c r="D1479" s="617"/>
      <c r="E1479" s="617"/>
      <c r="F1479" s="1083"/>
      <c r="G1479" s="1084"/>
      <c r="H1479" s="1069"/>
      <c r="I1479" s="618"/>
      <c r="J1479" s="619"/>
      <c r="K1479" s="618"/>
      <c r="L1479" s="620"/>
      <c r="M1479" s="621"/>
      <c r="N1479" s="620"/>
    </row>
    <row r="1480" spans="1:14" ht="11.25" customHeight="1" x14ac:dyDescent="0.25">
      <c r="A1480" s="615"/>
      <c r="B1480" s="616"/>
      <c r="C1480" s="617"/>
      <c r="D1480" s="617"/>
      <c r="E1480" s="617"/>
      <c r="F1480" s="1083"/>
      <c r="G1480" s="1084"/>
      <c r="H1480" s="1069"/>
      <c r="I1480" s="618"/>
      <c r="J1480" s="619"/>
      <c r="K1480" s="618"/>
      <c r="L1480" s="620"/>
      <c r="M1480" s="621"/>
      <c r="N1480" s="620"/>
    </row>
    <row r="1481" spans="1:14" ht="11.25" customHeight="1" x14ac:dyDescent="0.25">
      <c r="A1481" s="615"/>
      <c r="B1481" s="616"/>
      <c r="C1481" s="617"/>
      <c r="D1481" s="617"/>
      <c r="E1481" s="617"/>
      <c r="F1481" s="1083"/>
      <c r="G1481" s="1084"/>
      <c r="H1481" s="1069"/>
      <c r="I1481" s="618"/>
      <c r="J1481" s="619"/>
      <c r="K1481" s="618"/>
      <c r="L1481" s="620"/>
      <c r="M1481" s="621"/>
      <c r="N1481" s="620"/>
    </row>
    <row r="1482" spans="1:14" ht="11.25" customHeight="1" x14ac:dyDescent="0.25">
      <c r="A1482" s="615"/>
      <c r="B1482" s="616"/>
      <c r="C1482" s="617"/>
      <c r="D1482" s="617"/>
      <c r="E1482" s="617"/>
      <c r="F1482" s="1083"/>
      <c r="G1482" s="1084"/>
      <c r="H1482" s="1069"/>
      <c r="I1482" s="618"/>
      <c r="J1482" s="619"/>
      <c r="K1482" s="618"/>
      <c r="L1482" s="620"/>
      <c r="M1482" s="621"/>
      <c r="N1482" s="620"/>
    </row>
    <row r="1483" spans="1:14" ht="11.25" customHeight="1" x14ac:dyDescent="0.25">
      <c r="A1483" s="615"/>
      <c r="B1483" s="616"/>
      <c r="C1483" s="617"/>
      <c r="D1483" s="617"/>
      <c r="E1483" s="617"/>
      <c r="F1483" s="1083"/>
      <c r="G1483" s="1084"/>
      <c r="H1483" s="1069"/>
      <c r="I1483" s="618"/>
      <c r="J1483" s="619"/>
      <c r="K1483" s="618"/>
      <c r="L1483" s="620"/>
      <c r="M1483" s="621"/>
      <c r="N1483" s="620"/>
    </row>
    <row r="1484" spans="1:14" ht="11.25" customHeight="1" x14ac:dyDescent="0.25">
      <c r="A1484" s="615"/>
      <c r="B1484" s="616"/>
      <c r="C1484" s="617"/>
      <c r="D1484" s="617"/>
      <c r="E1484" s="617"/>
      <c r="F1484" s="1083"/>
      <c r="G1484" s="1084"/>
      <c r="H1484" s="1069"/>
      <c r="I1484" s="618"/>
      <c r="J1484" s="619"/>
      <c r="K1484" s="618"/>
      <c r="L1484" s="620"/>
      <c r="M1484" s="621"/>
      <c r="N1484" s="620"/>
    </row>
    <row r="1485" spans="1:14" ht="11.25" customHeight="1" x14ac:dyDescent="0.25">
      <c r="A1485" s="615"/>
      <c r="B1485" s="616"/>
      <c r="C1485" s="617"/>
      <c r="D1485" s="617"/>
      <c r="E1485" s="617"/>
      <c r="F1485" s="1083"/>
      <c r="G1485" s="1084"/>
      <c r="H1485" s="1069"/>
      <c r="I1485" s="618"/>
      <c r="J1485" s="619"/>
      <c r="K1485" s="618"/>
      <c r="L1485" s="620"/>
      <c r="M1485" s="621"/>
      <c r="N1485" s="620"/>
    </row>
    <row r="1486" spans="1:14" ht="11.25" customHeight="1" x14ac:dyDescent="0.25">
      <c r="A1486" s="615"/>
      <c r="B1486" s="616"/>
      <c r="C1486" s="617"/>
      <c r="D1486" s="617"/>
      <c r="E1486" s="617"/>
      <c r="F1486" s="1083"/>
      <c r="G1486" s="1084"/>
      <c r="H1486" s="1069"/>
      <c r="I1486" s="618"/>
      <c r="J1486" s="619"/>
      <c r="K1486" s="618"/>
      <c r="L1486" s="620"/>
      <c r="M1486" s="621"/>
      <c r="N1486" s="620"/>
    </row>
    <row r="1487" spans="1:14" ht="11.25" customHeight="1" x14ac:dyDescent="0.25">
      <c r="A1487" s="615"/>
      <c r="B1487" s="616"/>
      <c r="C1487" s="617"/>
      <c r="D1487" s="617"/>
      <c r="E1487" s="617"/>
      <c r="F1487" s="1083"/>
      <c r="G1487" s="1084"/>
      <c r="H1487" s="1069"/>
      <c r="I1487" s="618"/>
      <c r="J1487" s="619"/>
      <c r="K1487" s="618"/>
      <c r="L1487" s="620"/>
      <c r="M1487" s="621"/>
      <c r="N1487" s="620"/>
    </row>
    <row r="1488" spans="1:14" ht="11.25" customHeight="1" x14ac:dyDescent="0.25">
      <c r="A1488" s="615"/>
      <c r="B1488" s="616"/>
      <c r="C1488" s="617"/>
      <c r="D1488" s="617"/>
      <c r="E1488" s="617"/>
      <c r="F1488" s="1083"/>
      <c r="G1488" s="1084"/>
      <c r="H1488" s="1069"/>
      <c r="I1488" s="618"/>
      <c r="J1488" s="619"/>
      <c r="K1488" s="618"/>
      <c r="L1488" s="620"/>
      <c r="M1488" s="621"/>
      <c r="N1488" s="620"/>
    </row>
    <row r="1489" spans="1:14" ht="11.25" customHeight="1" x14ac:dyDescent="0.25">
      <c r="A1489" s="615"/>
      <c r="B1489" s="616"/>
      <c r="C1489" s="617"/>
      <c r="D1489" s="617"/>
      <c r="E1489" s="617"/>
      <c r="F1489" s="1083"/>
      <c r="G1489" s="1084"/>
      <c r="H1489" s="1069"/>
      <c r="I1489" s="618"/>
      <c r="J1489" s="619"/>
      <c r="K1489" s="618"/>
      <c r="L1489" s="620"/>
      <c r="M1489" s="621"/>
      <c r="N1489" s="620"/>
    </row>
    <row r="1490" spans="1:14" ht="11.25" customHeight="1" x14ac:dyDescent="0.25">
      <c r="A1490" s="615"/>
      <c r="B1490" s="616"/>
      <c r="C1490" s="617"/>
      <c r="D1490" s="617"/>
      <c r="E1490" s="617"/>
      <c r="F1490" s="1083"/>
      <c r="G1490" s="1084"/>
      <c r="H1490" s="1069"/>
      <c r="I1490" s="618"/>
      <c r="J1490" s="619"/>
      <c r="K1490" s="618"/>
      <c r="L1490" s="620"/>
      <c r="M1490" s="621"/>
      <c r="N1490" s="620"/>
    </row>
    <row r="1491" spans="1:14" ht="11.25" customHeight="1" x14ac:dyDescent="0.25">
      <c r="A1491" s="615"/>
      <c r="B1491" s="616"/>
      <c r="C1491" s="617"/>
      <c r="D1491" s="617"/>
      <c r="E1491" s="617"/>
      <c r="F1491" s="1083"/>
      <c r="G1491" s="1084"/>
      <c r="H1491" s="1069"/>
      <c r="I1491" s="618"/>
      <c r="J1491" s="619"/>
      <c r="K1491" s="618"/>
      <c r="L1491" s="620"/>
      <c r="M1491" s="621"/>
      <c r="N1491" s="620"/>
    </row>
    <row r="1492" spans="1:14" ht="11.25" customHeight="1" x14ac:dyDescent="0.25">
      <c r="A1492" s="615"/>
      <c r="B1492" s="616"/>
      <c r="C1492" s="617"/>
      <c r="D1492" s="617"/>
      <c r="E1492" s="617"/>
      <c r="F1492" s="1083"/>
      <c r="G1492" s="1084"/>
      <c r="H1492" s="1069"/>
      <c r="I1492" s="618"/>
      <c r="J1492" s="619"/>
      <c r="K1492" s="618"/>
      <c r="L1492" s="620"/>
      <c r="M1492" s="621"/>
      <c r="N1492" s="620"/>
    </row>
    <row r="1493" spans="1:14" ht="11.25" customHeight="1" x14ac:dyDescent="0.25">
      <c r="A1493" s="615"/>
      <c r="B1493" s="616"/>
      <c r="C1493" s="617"/>
      <c r="D1493" s="617"/>
      <c r="E1493" s="617"/>
      <c r="F1493" s="1083"/>
      <c r="G1493" s="1084"/>
      <c r="H1493" s="1069"/>
      <c r="I1493" s="618"/>
      <c r="J1493" s="619"/>
      <c r="K1493" s="618"/>
      <c r="L1493" s="620"/>
      <c r="M1493" s="621"/>
      <c r="N1493" s="620"/>
    </row>
    <row r="1494" spans="1:14" ht="11.25" customHeight="1" x14ac:dyDescent="0.25">
      <c r="A1494" s="615"/>
      <c r="B1494" s="616"/>
      <c r="C1494" s="617"/>
      <c r="D1494" s="617"/>
      <c r="E1494" s="617"/>
      <c r="F1494" s="1083"/>
      <c r="G1494" s="1084"/>
      <c r="H1494" s="1069"/>
      <c r="I1494" s="618"/>
      <c r="J1494" s="619"/>
      <c r="K1494" s="618"/>
      <c r="L1494" s="620"/>
      <c r="M1494" s="621"/>
      <c r="N1494" s="620"/>
    </row>
    <row r="1495" spans="1:14" ht="11.25" customHeight="1" x14ac:dyDescent="0.25">
      <c r="A1495" s="615"/>
      <c r="B1495" s="616"/>
      <c r="C1495" s="617"/>
      <c r="D1495" s="617"/>
      <c r="E1495" s="617"/>
      <c r="F1495" s="1083"/>
      <c r="G1495" s="1084"/>
      <c r="H1495" s="1069"/>
      <c r="I1495" s="618"/>
      <c r="J1495" s="619"/>
      <c r="K1495" s="618"/>
      <c r="L1495" s="620"/>
      <c r="M1495" s="621"/>
      <c r="N1495" s="620"/>
    </row>
    <row r="1496" spans="1:14" ht="11.25" customHeight="1" x14ac:dyDescent="0.25">
      <c r="A1496" s="615"/>
      <c r="B1496" s="616"/>
      <c r="C1496" s="617"/>
      <c r="D1496" s="617"/>
      <c r="E1496" s="617"/>
      <c r="F1496" s="1083"/>
      <c r="G1496" s="1084"/>
      <c r="H1496" s="1069"/>
      <c r="I1496" s="618"/>
      <c r="J1496" s="619"/>
      <c r="K1496" s="618"/>
      <c r="L1496" s="620"/>
      <c r="M1496" s="621"/>
      <c r="N1496" s="620"/>
    </row>
    <row r="1497" spans="1:14" ht="11.25" customHeight="1" x14ac:dyDescent="0.25">
      <c r="A1497" s="615"/>
      <c r="B1497" s="616"/>
      <c r="C1497" s="617"/>
      <c r="D1497" s="617"/>
      <c r="E1497" s="617"/>
      <c r="F1497" s="1083"/>
      <c r="G1497" s="1084"/>
      <c r="H1497" s="1069"/>
      <c r="I1497" s="618"/>
      <c r="J1497" s="619"/>
      <c r="K1497" s="618"/>
      <c r="L1497" s="620"/>
      <c r="M1497" s="621"/>
      <c r="N1497" s="620"/>
    </row>
    <row r="1498" spans="1:14" ht="11.25" customHeight="1" x14ac:dyDescent="0.25">
      <c r="A1498" s="615"/>
      <c r="B1498" s="616"/>
      <c r="C1498" s="617"/>
      <c r="D1498" s="617"/>
      <c r="E1498" s="617"/>
      <c r="F1498" s="1083"/>
      <c r="G1498" s="1084"/>
      <c r="H1498" s="1069"/>
      <c r="I1498" s="618"/>
      <c r="J1498" s="619"/>
      <c r="K1498" s="618"/>
      <c r="L1498" s="620"/>
      <c r="M1498" s="621"/>
      <c r="N1498" s="620"/>
    </row>
    <row r="1499" spans="1:14" ht="11.25" customHeight="1" x14ac:dyDescent="0.25">
      <c r="A1499" s="615"/>
      <c r="B1499" s="616"/>
      <c r="C1499" s="617"/>
      <c r="D1499" s="617"/>
      <c r="E1499" s="617"/>
      <c r="F1499" s="1083"/>
      <c r="G1499" s="1084"/>
      <c r="H1499" s="1069"/>
      <c r="I1499" s="618"/>
      <c r="J1499" s="619"/>
      <c r="K1499" s="618"/>
      <c r="L1499" s="620"/>
      <c r="M1499" s="621"/>
      <c r="N1499" s="620"/>
    </row>
    <row r="1500" spans="1:14" ht="11.25" customHeight="1" x14ac:dyDescent="0.25">
      <c r="A1500" s="615"/>
      <c r="B1500" s="616"/>
      <c r="C1500" s="617"/>
      <c r="D1500" s="617"/>
      <c r="E1500" s="617"/>
      <c r="F1500" s="1083"/>
      <c r="G1500" s="1084"/>
      <c r="H1500" s="1069"/>
      <c r="I1500" s="618"/>
      <c r="J1500" s="619"/>
      <c r="K1500" s="618"/>
      <c r="L1500" s="620"/>
      <c r="M1500" s="621"/>
      <c r="N1500" s="620"/>
    </row>
    <row r="1501" spans="1:14" ht="11.25" customHeight="1" x14ac:dyDescent="0.25">
      <c r="A1501" s="615"/>
      <c r="B1501" s="616"/>
      <c r="C1501" s="617"/>
      <c r="D1501" s="617"/>
      <c r="E1501" s="617"/>
      <c r="F1501" s="1083"/>
      <c r="G1501" s="1084"/>
      <c r="H1501" s="1069"/>
      <c r="I1501" s="618"/>
      <c r="J1501" s="619"/>
      <c r="K1501" s="618"/>
      <c r="L1501" s="620"/>
      <c r="M1501" s="621"/>
      <c r="N1501" s="620"/>
    </row>
    <row r="1502" spans="1:14" ht="11.25" customHeight="1" x14ac:dyDescent="0.25">
      <c r="A1502" s="615"/>
      <c r="B1502" s="616"/>
      <c r="C1502" s="617"/>
      <c r="D1502" s="617"/>
      <c r="E1502" s="617"/>
      <c r="F1502" s="1083"/>
      <c r="G1502" s="1084"/>
      <c r="H1502" s="1069"/>
      <c r="I1502" s="618"/>
      <c r="J1502" s="619"/>
      <c r="K1502" s="618"/>
      <c r="L1502" s="620"/>
      <c r="M1502" s="621"/>
      <c r="N1502" s="620"/>
    </row>
    <row r="1503" spans="1:14" ht="11.25" customHeight="1" x14ac:dyDescent="0.25">
      <c r="A1503" s="615"/>
      <c r="B1503" s="616"/>
      <c r="C1503" s="617"/>
      <c r="D1503" s="617"/>
      <c r="E1503" s="617"/>
      <c r="F1503" s="1083"/>
      <c r="G1503" s="1084"/>
      <c r="H1503" s="1069"/>
      <c r="I1503" s="618"/>
      <c r="J1503" s="619"/>
      <c r="K1503" s="618"/>
      <c r="L1503" s="620"/>
      <c r="M1503" s="621"/>
      <c r="N1503" s="620"/>
    </row>
    <row r="1504" spans="1:14" ht="11.25" customHeight="1" x14ac:dyDescent="0.25">
      <c r="A1504" s="615"/>
      <c r="B1504" s="616"/>
      <c r="C1504" s="617"/>
      <c r="D1504" s="617"/>
      <c r="E1504" s="617"/>
      <c r="F1504" s="1083"/>
      <c r="G1504" s="1084"/>
      <c r="H1504" s="1069"/>
      <c r="I1504" s="618"/>
      <c r="J1504" s="619"/>
      <c r="K1504" s="618"/>
      <c r="L1504" s="620"/>
      <c r="M1504" s="621"/>
      <c r="N1504" s="620"/>
    </row>
    <row r="1505" spans="1:14" ht="11.25" customHeight="1" x14ac:dyDescent="0.25">
      <c r="A1505" s="615"/>
      <c r="B1505" s="616"/>
      <c r="C1505" s="617"/>
      <c r="D1505" s="617"/>
      <c r="E1505" s="617"/>
      <c r="F1505" s="1083"/>
      <c r="G1505" s="1084"/>
      <c r="H1505" s="1069"/>
      <c r="I1505" s="618"/>
      <c r="J1505" s="619"/>
      <c r="K1505" s="618"/>
      <c r="L1505" s="620"/>
      <c r="M1505" s="621"/>
      <c r="N1505" s="620"/>
    </row>
    <row r="1506" spans="1:14" ht="11.25" customHeight="1" x14ac:dyDescent="0.25">
      <c r="A1506" s="615"/>
      <c r="B1506" s="616"/>
      <c r="C1506" s="617"/>
      <c r="D1506" s="617"/>
      <c r="E1506" s="617"/>
      <c r="F1506" s="1083"/>
      <c r="G1506" s="1084"/>
      <c r="H1506" s="1069"/>
      <c r="I1506" s="618"/>
      <c r="J1506" s="619"/>
      <c r="K1506" s="618"/>
      <c r="L1506" s="620"/>
      <c r="M1506" s="621"/>
      <c r="N1506" s="620"/>
    </row>
    <row r="1507" spans="1:14" ht="11.25" customHeight="1" x14ac:dyDescent="0.25">
      <c r="A1507" s="615"/>
      <c r="B1507" s="616"/>
      <c r="C1507" s="617"/>
      <c r="D1507" s="617"/>
      <c r="E1507" s="617"/>
      <c r="F1507" s="1083"/>
      <c r="G1507" s="1084"/>
      <c r="H1507" s="1069"/>
      <c r="I1507" s="618"/>
      <c r="J1507" s="619"/>
      <c r="K1507" s="618"/>
      <c r="L1507" s="620"/>
      <c r="M1507" s="621"/>
      <c r="N1507" s="620"/>
    </row>
    <row r="1508" spans="1:14" ht="11.25" customHeight="1" x14ac:dyDescent="0.25">
      <c r="A1508" s="615"/>
      <c r="B1508" s="616"/>
      <c r="C1508" s="617"/>
      <c r="D1508" s="617"/>
      <c r="E1508" s="617"/>
      <c r="F1508" s="1083"/>
      <c r="G1508" s="1084"/>
      <c r="H1508" s="1069"/>
      <c r="I1508" s="618"/>
      <c r="J1508" s="619"/>
      <c r="K1508" s="618"/>
      <c r="L1508" s="620"/>
      <c r="M1508" s="621"/>
      <c r="N1508" s="620"/>
    </row>
    <row r="1509" spans="1:14" ht="11.25" customHeight="1" x14ac:dyDescent="0.25">
      <c r="A1509" s="615"/>
      <c r="B1509" s="616"/>
      <c r="C1509" s="617"/>
      <c r="D1509" s="617"/>
      <c r="E1509" s="617"/>
      <c r="F1509" s="1083"/>
      <c r="G1509" s="1084"/>
      <c r="H1509" s="1069"/>
      <c r="I1509" s="618"/>
      <c r="J1509" s="619"/>
      <c r="K1509" s="618"/>
      <c r="L1509" s="620"/>
      <c r="M1509" s="621"/>
      <c r="N1509" s="620"/>
    </row>
    <row r="1510" spans="1:14" ht="11.25" customHeight="1" x14ac:dyDescent="0.25">
      <c r="A1510" s="615"/>
      <c r="B1510" s="616"/>
      <c r="C1510" s="617"/>
      <c r="D1510" s="617"/>
      <c r="E1510" s="617"/>
      <c r="F1510" s="1083"/>
      <c r="G1510" s="1084"/>
      <c r="H1510" s="1069"/>
      <c r="I1510" s="618"/>
      <c r="J1510" s="619"/>
      <c r="K1510" s="618"/>
      <c r="L1510" s="620"/>
      <c r="M1510" s="621"/>
      <c r="N1510" s="620"/>
    </row>
    <row r="1511" spans="1:14" ht="11.25" customHeight="1" x14ac:dyDescent="0.25">
      <c r="A1511" s="615"/>
      <c r="B1511" s="616"/>
      <c r="C1511" s="617"/>
      <c r="D1511" s="617"/>
      <c r="E1511" s="617"/>
      <c r="F1511" s="1083"/>
      <c r="G1511" s="1084"/>
      <c r="H1511" s="1069"/>
      <c r="I1511" s="618"/>
      <c r="J1511" s="619"/>
      <c r="K1511" s="618"/>
      <c r="L1511" s="620"/>
      <c r="M1511" s="621"/>
      <c r="N1511" s="620"/>
    </row>
    <row r="1512" spans="1:14" ht="11.25" customHeight="1" x14ac:dyDescent="0.25">
      <c r="A1512" s="615"/>
      <c r="B1512" s="616"/>
      <c r="C1512" s="617"/>
      <c r="D1512" s="617"/>
      <c r="E1512" s="617"/>
      <c r="F1512" s="1083"/>
      <c r="G1512" s="1084"/>
      <c r="H1512" s="1069"/>
      <c r="I1512" s="618"/>
      <c r="J1512" s="619"/>
      <c r="K1512" s="618"/>
      <c r="L1512" s="620"/>
      <c r="M1512" s="621"/>
      <c r="N1512" s="620"/>
    </row>
    <row r="1513" spans="1:14" ht="11.25" customHeight="1" x14ac:dyDescent="0.25">
      <c r="A1513" s="615"/>
      <c r="B1513" s="616"/>
      <c r="C1513" s="617"/>
      <c r="D1513" s="617"/>
      <c r="E1513" s="617"/>
      <c r="F1513" s="1083"/>
      <c r="G1513" s="1084"/>
      <c r="H1513" s="1069"/>
      <c r="I1513" s="618"/>
      <c r="J1513" s="619"/>
      <c r="K1513" s="618"/>
      <c r="L1513" s="620"/>
      <c r="M1513" s="621"/>
      <c r="N1513" s="620"/>
    </row>
    <row r="1514" spans="1:14" ht="11.25" customHeight="1" x14ac:dyDescent="0.25">
      <c r="A1514" s="615"/>
      <c r="B1514" s="616"/>
      <c r="C1514" s="617"/>
      <c r="D1514" s="617"/>
      <c r="E1514" s="617"/>
      <c r="F1514" s="1083"/>
      <c r="G1514" s="1084"/>
      <c r="H1514" s="1069"/>
      <c r="I1514" s="618"/>
      <c r="J1514" s="619"/>
      <c r="K1514" s="618"/>
      <c r="L1514" s="620"/>
      <c r="M1514" s="621"/>
      <c r="N1514" s="620"/>
    </row>
    <row r="1515" spans="1:14" ht="11.25" customHeight="1" x14ac:dyDescent="0.25">
      <c r="A1515" s="615"/>
      <c r="B1515" s="616"/>
      <c r="C1515" s="617"/>
      <c r="D1515" s="617"/>
      <c r="E1515" s="617"/>
      <c r="F1515" s="1083"/>
      <c r="G1515" s="1084"/>
      <c r="H1515" s="1069"/>
      <c r="I1515" s="618"/>
      <c r="J1515" s="619"/>
      <c r="K1515" s="618"/>
      <c r="L1515" s="620"/>
      <c r="M1515" s="621"/>
      <c r="N1515" s="620"/>
    </row>
    <row r="1516" spans="1:14" ht="11.25" customHeight="1" x14ac:dyDescent="0.25">
      <c r="A1516" s="615"/>
      <c r="B1516" s="616"/>
      <c r="C1516" s="617"/>
      <c r="D1516" s="617"/>
      <c r="E1516" s="617"/>
      <c r="F1516" s="1083"/>
      <c r="G1516" s="1084"/>
      <c r="H1516" s="1069"/>
      <c r="I1516" s="618"/>
      <c r="J1516" s="619"/>
      <c r="K1516" s="618"/>
      <c r="L1516" s="620"/>
      <c r="M1516" s="621"/>
      <c r="N1516" s="620"/>
    </row>
    <row r="1517" spans="1:14" ht="11.25" customHeight="1" x14ac:dyDescent="0.25">
      <c r="A1517" s="615"/>
      <c r="B1517" s="616"/>
      <c r="C1517" s="617"/>
      <c r="D1517" s="617"/>
      <c r="E1517" s="617"/>
      <c r="F1517" s="1083"/>
      <c r="G1517" s="1084"/>
      <c r="H1517" s="1069"/>
      <c r="I1517" s="618"/>
      <c r="J1517" s="619"/>
      <c r="K1517" s="618"/>
      <c r="L1517" s="620"/>
      <c r="M1517" s="621"/>
      <c r="N1517" s="620"/>
    </row>
    <row r="1518" spans="1:14" ht="11.25" customHeight="1" x14ac:dyDescent="0.25">
      <c r="A1518" s="615"/>
      <c r="B1518" s="616"/>
      <c r="C1518" s="617"/>
      <c r="D1518" s="617"/>
      <c r="E1518" s="617"/>
      <c r="F1518" s="1083"/>
      <c r="G1518" s="1084"/>
      <c r="H1518" s="1069"/>
      <c r="I1518" s="618"/>
      <c r="J1518" s="619"/>
      <c r="K1518" s="618"/>
      <c r="L1518" s="620"/>
      <c r="M1518" s="621"/>
      <c r="N1518" s="620"/>
    </row>
    <row r="1519" spans="1:14" ht="11.25" customHeight="1" x14ac:dyDescent="0.25">
      <c r="A1519" s="615"/>
      <c r="B1519" s="616"/>
      <c r="C1519" s="617"/>
      <c r="D1519" s="617"/>
      <c r="E1519" s="617"/>
      <c r="F1519" s="1083"/>
      <c r="G1519" s="1084"/>
      <c r="H1519" s="1069"/>
      <c r="I1519" s="618"/>
      <c r="J1519" s="619"/>
      <c r="K1519" s="618"/>
      <c r="L1519" s="620"/>
      <c r="M1519" s="621"/>
      <c r="N1519" s="620"/>
    </row>
    <row r="1520" spans="1:14" ht="11.25" customHeight="1" x14ac:dyDescent="0.25">
      <c r="A1520" s="615"/>
      <c r="B1520" s="616"/>
      <c r="C1520" s="617"/>
      <c r="D1520" s="617"/>
      <c r="E1520" s="617"/>
      <c r="F1520" s="1083"/>
      <c r="G1520" s="1084"/>
      <c r="H1520" s="1069"/>
      <c r="I1520" s="618"/>
      <c r="J1520" s="619"/>
      <c r="K1520" s="618"/>
      <c r="L1520" s="620"/>
      <c r="M1520" s="621"/>
      <c r="N1520" s="620"/>
    </row>
    <row r="1521" spans="1:14" ht="11.25" customHeight="1" x14ac:dyDescent="0.25">
      <c r="A1521" s="615"/>
      <c r="B1521" s="616"/>
      <c r="C1521" s="617"/>
      <c r="D1521" s="617"/>
      <c r="E1521" s="617"/>
      <c r="F1521" s="1083"/>
      <c r="G1521" s="1084"/>
      <c r="H1521" s="1069"/>
      <c r="I1521" s="618"/>
      <c r="J1521" s="619"/>
      <c r="K1521" s="618"/>
      <c r="L1521" s="620"/>
      <c r="M1521" s="621"/>
      <c r="N1521" s="620"/>
    </row>
    <row r="1522" spans="1:14" ht="11.25" customHeight="1" x14ac:dyDescent="0.25">
      <c r="A1522" s="615"/>
      <c r="B1522" s="616"/>
      <c r="C1522" s="617"/>
      <c r="D1522" s="617"/>
      <c r="E1522" s="617"/>
      <c r="F1522" s="1083"/>
      <c r="G1522" s="1084"/>
      <c r="H1522" s="1069"/>
      <c r="I1522" s="618"/>
      <c r="J1522" s="619"/>
      <c r="K1522" s="618"/>
      <c r="L1522" s="620"/>
      <c r="M1522" s="621"/>
      <c r="N1522" s="620"/>
    </row>
    <row r="1523" spans="1:14" ht="11.25" customHeight="1" x14ac:dyDescent="0.25">
      <c r="A1523" s="615"/>
      <c r="B1523" s="616"/>
      <c r="C1523" s="617"/>
      <c r="D1523" s="617"/>
      <c r="E1523" s="617"/>
      <c r="F1523" s="1083"/>
      <c r="G1523" s="1084"/>
      <c r="H1523" s="1069"/>
      <c r="I1523" s="618"/>
      <c r="J1523" s="619"/>
      <c r="K1523" s="618"/>
      <c r="L1523" s="620"/>
      <c r="M1523" s="621"/>
      <c r="N1523" s="620"/>
    </row>
    <row r="1524" spans="1:14" ht="11.25" customHeight="1" x14ac:dyDescent="0.25">
      <c r="A1524" s="615"/>
      <c r="B1524" s="616"/>
      <c r="C1524" s="617"/>
      <c r="D1524" s="617"/>
      <c r="E1524" s="617"/>
      <c r="F1524" s="1083"/>
      <c r="G1524" s="1084"/>
      <c r="H1524" s="1069"/>
      <c r="I1524" s="618"/>
      <c r="J1524" s="619"/>
      <c r="K1524" s="618"/>
      <c r="L1524" s="620"/>
      <c r="M1524" s="621"/>
      <c r="N1524" s="620"/>
    </row>
    <row r="1525" spans="1:14" ht="11.25" customHeight="1" x14ac:dyDescent="0.25">
      <c r="A1525" s="615"/>
      <c r="B1525" s="616"/>
      <c r="C1525" s="617"/>
      <c r="D1525" s="617"/>
      <c r="E1525" s="617"/>
      <c r="F1525" s="1083"/>
      <c r="G1525" s="1084"/>
      <c r="H1525" s="1069"/>
      <c r="I1525" s="618"/>
      <c r="J1525" s="619"/>
      <c r="K1525" s="618"/>
      <c r="L1525" s="620"/>
      <c r="M1525" s="621"/>
      <c r="N1525" s="620"/>
    </row>
    <row r="1526" spans="1:14" ht="11.25" customHeight="1" x14ac:dyDescent="0.25">
      <c r="A1526" s="615"/>
      <c r="B1526" s="616"/>
      <c r="C1526" s="617"/>
      <c r="D1526" s="617"/>
      <c r="E1526" s="617"/>
      <c r="F1526" s="1083"/>
      <c r="G1526" s="1084"/>
      <c r="H1526" s="1069"/>
      <c r="I1526" s="618"/>
      <c r="J1526" s="619"/>
      <c r="K1526" s="618"/>
      <c r="L1526" s="620"/>
      <c r="M1526" s="621"/>
      <c r="N1526" s="620"/>
    </row>
    <row r="1527" spans="1:14" ht="11.25" customHeight="1" x14ac:dyDescent="0.25">
      <c r="A1527" s="615"/>
      <c r="B1527" s="616"/>
      <c r="C1527" s="617"/>
      <c r="D1527" s="617"/>
      <c r="E1527" s="617"/>
      <c r="F1527" s="1083"/>
      <c r="G1527" s="1084"/>
      <c r="H1527" s="1069"/>
      <c r="I1527" s="618"/>
      <c r="J1527" s="619"/>
      <c r="K1527" s="618"/>
      <c r="L1527" s="620"/>
      <c r="M1527" s="621"/>
      <c r="N1527" s="620"/>
    </row>
    <row r="1528" spans="1:14" ht="11.25" customHeight="1" x14ac:dyDescent="0.25">
      <c r="A1528" s="615"/>
      <c r="B1528" s="616"/>
      <c r="C1528" s="617"/>
      <c r="D1528" s="617"/>
      <c r="E1528" s="617"/>
      <c r="F1528" s="1083"/>
      <c r="G1528" s="1084"/>
      <c r="H1528" s="1069"/>
      <c r="I1528" s="618"/>
      <c r="J1528" s="619"/>
      <c r="K1528" s="618"/>
      <c r="L1528" s="620"/>
      <c r="M1528" s="621"/>
      <c r="N1528" s="620"/>
    </row>
    <row r="1529" spans="1:14" ht="11.25" customHeight="1" x14ac:dyDescent="0.25">
      <c r="A1529" s="615"/>
      <c r="B1529" s="616"/>
      <c r="C1529" s="617"/>
      <c r="D1529" s="617"/>
      <c r="E1529" s="617"/>
      <c r="F1529" s="1083"/>
      <c r="G1529" s="1084"/>
      <c r="H1529" s="1069"/>
      <c r="I1529" s="618"/>
      <c r="J1529" s="619"/>
      <c r="K1529" s="618"/>
      <c r="L1529" s="620"/>
      <c r="M1529" s="621"/>
      <c r="N1529" s="620"/>
    </row>
    <row r="1530" spans="1:14" ht="11.25" customHeight="1" x14ac:dyDescent="0.25">
      <c r="A1530" s="615"/>
      <c r="B1530" s="616"/>
      <c r="C1530" s="617"/>
      <c r="D1530" s="617"/>
      <c r="E1530" s="617"/>
      <c r="F1530" s="1083"/>
      <c r="G1530" s="1084"/>
      <c r="H1530" s="1069"/>
      <c r="I1530" s="618"/>
      <c r="J1530" s="619"/>
      <c r="K1530" s="618"/>
      <c r="L1530" s="620"/>
      <c r="M1530" s="621"/>
      <c r="N1530" s="620"/>
    </row>
    <row r="1531" spans="1:14" ht="11.25" customHeight="1" x14ac:dyDescent="0.25">
      <c r="A1531" s="615"/>
      <c r="B1531" s="616"/>
      <c r="C1531" s="617"/>
      <c r="D1531" s="617"/>
      <c r="E1531" s="617"/>
      <c r="F1531" s="1083"/>
      <c r="G1531" s="1084"/>
      <c r="H1531" s="1069"/>
      <c r="I1531" s="618"/>
      <c r="J1531" s="619"/>
      <c r="K1531" s="618"/>
      <c r="L1531" s="620"/>
      <c r="M1531" s="621"/>
      <c r="N1531" s="620"/>
    </row>
    <row r="1532" spans="1:14" ht="11.25" customHeight="1" x14ac:dyDescent="0.25">
      <c r="A1532" s="615"/>
      <c r="B1532" s="616"/>
      <c r="C1532" s="617"/>
      <c r="D1532" s="617"/>
      <c r="E1532" s="617"/>
      <c r="F1532" s="1083"/>
      <c r="G1532" s="1084"/>
      <c r="H1532" s="1069"/>
      <c r="I1532" s="618"/>
      <c r="J1532" s="619"/>
      <c r="K1532" s="618"/>
      <c r="L1532" s="620"/>
      <c r="M1532" s="621"/>
      <c r="N1532" s="620"/>
    </row>
    <row r="1533" spans="1:14" ht="11.25" customHeight="1" x14ac:dyDescent="0.25">
      <c r="A1533" s="615"/>
      <c r="B1533" s="616"/>
      <c r="C1533" s="617"/>
      <c r="D1533" s="617"/>
      <c r="E1533" s="617"/>
      <c r="F1533" s="1083"/>
      <c r="G1533" s="1084"/>
      <c r="H1533" s="1069"/>
      <c r="I1533" s="618"/>
      <c r="J1533" s="619"/>
      <c r="K1533" s="618"/>
      <c r="L1533" s="620"/>
      <c r="M1533" s="621"/>
      <c r="N1533" s="620"/>
    </row>
    <row r="1534" spans="1:14" ht="11.25" customHeight="1" x14ac:dyDescent="0.25">
      <c r="A1534" s="615"/>
      <c r="B1534" s="616"/>
      <c r="C1534" s="617"/>
      <c r="D1534" s="617"/>
      <c r="E1534" s="617"/>
      <c r="F1534" s="1083"/>
      <c r="G1534" s="1084"/>
      <c r="H1534" s="1069"/>
      <c r="I1534" s="618"/>
      <c r="J1534" s="619"/>
      <c r="K1534" s="618"/>
      <c r="L1534" s="620"/>
      <c r="M1534" s="621"/>
      <c r="N1534" s="620"/>
    </row>
    <row r="1535" spans="1:14" ht="11.25" customHeight="1" x14ac:dyDescent="0.25">
      <c r="A1535" s="615"/>
      <c r="B1535" s="616"/>
      <c r="C1535" s="617"/>
      <c r="D1535" s="617"/>
      <c r="E1535" s="617"/>
      <c r="F1535" s="1083"/>
      <c r="G1535" s="1084"/>
      <c r="H1535" s="1069"/>
      <c r="I1535" s="618"/>
      <c r="J1535" s="619"/>
      <c r="K1535" s="618"/>
      <c r="L1535" s="620"/>
      <c r="M1535" s="621"/>
      <c r="N1535" s="620"/>
    </row>
    <row r="1536" spans="1:14" ht="11.25" customHeight="1" x14ac:dyDescent="0.25">
      <c r="A1536" s="615"/>
      <c r="B1536" s="616"/>
      <c r="C1536" s="617"/>
      <c r="D1536" s="617"/>
      <c r="E1536" s="617"/>
      <c r="F1536" s="1083"/>
      <c r="G1536" s="1084"/>
      <c r="H1536" s="1069"/>
      <c r="I1536" s="618"/>
      <c r="J1536" s="619"/>
      <c r="K1536" s="618"/>
      <c r="L1536" s="620"/>
      <c r="M1536" s="621"/>
      <c r="N1536" s="620"/>
    </row>
    <row r="1537" spans="1:14" ht="11.25" customHeight="1" x14ac:dyDescent="0.25">
      <c r="A1537" s="615"/>
      <c r="B1537" s="616"/>
      <c r="C1537" s="617"/>
      <c r="D1537" s="617"/>
      <c r="E1537" s="617"/>
      <c r="F1537" s="1083"/>
      <c r="G1537" s="1084"/>
      <c r="H1537" s="1069"/>
      <c r="I1537" s="618"/>
      <c r="J1537" s="619"/>
      <c r="K1537" s="618"/>
      <c r="L1537" s="620"/>
      <c r="M1537" s="621"/>
      <c r="N1537" s="620"/>
    </row>
    <row r="1538" spans="1:14" ht="11.25" customHeight="1" x14ac:dyDescent="0.25">
      <c r="A1538" s="615"/>
      <c r="B1538" s="616"/>
      <c r="C1538" s="617"/>
      <c r="D1538" s="617"/>
      <c r="E1538" s="617"/>
      <c r="F1538" s="1083"/>
      <c r="G1538" s="1084"/>
      <c r="H1538" s="1069"/>
      <c r="I1538" s="618"/>
      <c r="J1538" s="619"/>
      <c r="K1538" s="618"/>
      <c r="L1538" s="620"/>
      <c r="M1538" s="621"/>
      <c r="N1538" s="620"/>
    </row>
    <row r="1539" spans="1:14" ht="11.25" customHeight="1" x14ac:dyDescent="0.25">
      <c r="A1539" s="615"/>
      <c r="B1539" s="616"/>
      <c r="C1539" s="617"/>
      <c r="D1539" s="617"/>
      <c r="E1539" s="617"/>
      <c r="F1539" s="1083"/>
      <c r="G1539" s="1084"/>
      <c r="H1539" s="1069"/>
      <c r="I1539" s="618"/>
      <c r="J1539" s="619"/>
      <c r="K1539" s="618"/>
      <c r="L1539" s="620"/>
      <c r="M1539" s="621"/>
      <c r="N1539" s="620"/>
    </row>
    <row r="1540" spans="1:14" ht="11.25" customHeight="1" x14ac:dyDescent="0.25">
      <c r="A1540" s="615"/>
      <c r="B1540" s="616"/>
      <c r="C1540" s="617"/>
      <c r="D1540" s="617"/>
      <c r="E1540" s="617"/>
      <c r="F1540" s="1083"/>
      <c r="G1540" s="1084"/>
      <c r="H1540" s="1069"/>
      <c r="I1540" s="618"/>
      <c r="J1540" s="619"/>
      <c r="K1540" s="618"/>
      <c r="L1540" s="620"/>
      <c r="M1540" s="621"/>
      <c r="N1540" s="620"/>
    </row>
    <row r="1541" spans="1:14" ht="11.25" customHeight="1" x14ac:dyDescent="0.25">
      <c r="A1541" s="615"/>
      <c r="B1541" s="616"/>
      <c r="C1541" s="617"/>
      <c r="D1541" s="617"/>
      <c r="E1541" s="617"/>
      <c r="F1541" s="1083"/>
      <c r="G1541" s="1084"/>
      <c r="H1541" s="1069"/>
      <c r="I1541" s="618"/>
      <c r="J1541" s="619"/>
      <c r="K1541" s="618"/>
      <c r="L1541" s="620"/>
      <c r="M1541" s="621"/>
      <c r="N1541" s="620"/>
    </row>
    <row r="1542" spans="1:14" ht="11.25" customHeight="1" x14ac:dyDescent="0.25">
      <c r="A1542" s="615"/>
      <c r="B1542" s="616"/>
      <c r="C1542" s="617"/>
      <c r="D1542" s="617"/>
      <c r="E1542" s="617"/>
      <c r="F1542" s="1083"/>
      <c r="G1542" s="1084"/>
      <c r="H1542" s="1069"/>
      <c r="I1542" s="618"/>
      <c r="J1542" s="619"/>
      <c r="K1542" s="618"/>
      <c r="L1542" s="620"/>
      <c r="M1542" s="621"/>
      <c r="N1542" s="620"/>
    </row>
    <row r="1543" spans="1:14" ht="11.25" customHeight="1" x14ac:dyDescent="0.25">
      <c r="A1543" s="615"/>
      <c r="B1543" s="616"/>
      <c r="C1543" s="617"/>
      <c r="D1543" s="617"/>
      <c r="E1543" s="617"/>
      <c r="F1543" s="1083"/>
      <c r="G1543" s="1084"/>
      <c r="H1543" s="1069"/>
      <c r="I1543" s="618"/>
      <c r="J1543" s="619"/>
      <c r="K1543" s="618"/>
      <c r="L1543" s="620"/>
      <c r="M1543" s="621"/>
      <c r="N1543" s="620"/>
    </row>
    <row r="1544" spans="1:14" ht="11.25" customHeight="1" x14ac:dyDescent="0.25">
      <c r="A1544" s="615"/>
      <c r="B1544" s="616"/>
      <c r="C1544" s="617"/>
      <c r="D1544" s="617"/>
      <c r="E1544" s="617"/>
      <c r="F1544" s="1083"/>
      <c r="G1544" s="1084"/>
      <c r="H1544" s="1069"/>
      <c r="I1544" s="618"/>
      <c r="J1544" s="619"/>
      <c r="K1544" s="618"/>
      <c r="L1544" s="620"/>
      <c r="M1544" s="621"/>
      <c r="N1544" s="620"/>
    </row>
    <row r="1545" spans="1:14" ht="11.25" customHeight="1" x14ac:dyDescent="0.25">
      <c r="A1545" s="615"/>
      <c r="B1545" s="616"/>
      <c r="C1545" s="617"/>
      <c r="D1545" s="617"/>
      <c r="E1545" s="617"/>
      <c r="F1545" s="1083"/>
      <c r="G1545" s="1084"/>
      <c r="H1545" s="1069"/>
      <c r="I1545" s="618"/>
      <c r="J1545" s="619"/>
      <c r="K1545" s="618"/>
      <c r="L1545" s="620"/>
      <c r="M1545" s="621"/>
      <c r="N1545" s="620"/>
    </row>
    <row r="1546" spans="1:14" ht="11.25" customHeight="1" x14ac:dyDescent="0.25">
      <c r="A1546" s="615"/>
      <c r="B1546" s="616"/>
      <c r="C1546" s="617"/>
      <c r="D1546" s="617"/>
      <c r="E1546" s="617"/>
      <c r="F1546" s="1083"/>
      <c r="G1546" s="1084"/>
      <c r="H1546" s="1069"/>
      <c r="I1546" s="618"/>
      <c r="J1546" s="619"/>
      <c r="K1546" s="618"/>
      <c r="L1546" s="620"/>
      <c r="M1546" s="621"/>
      <c r="N1546" s="620"/>
    </row>
    <row r="1547" spans="1:14" ht="11.25" customHeight="1" x14ac:dyDescent="0.25">
      <c r="A1547" s="615"/>
      <c r="B1547" s="616"/>
      <c r="C1547" s="617"/>
      <c r="D1547" s="617"/>
      <c r="E1547" s="617"/>
      <c r="F1547" s="1083"/>
      <c r="G1547" s="1084"/>
      <c r="H1547" s="1069"/>
      <c r="I1547" s="618"/>
      <c r="J1547" s="619"/>
      <c r="K1547" s="618"/>
      <c r="L1547" s="620"/>
      <c r="M1547" s="621"/>
      <c r="N1547" s="620"/>
    </row>
    <row r="1548" spans="1:14" ht="11.25" customHeight="1" x14ac:dyDescent="0.25">
      <c r="A1548" s="615"/>
      <c r="B1548" s="616"/>
      <c r="C1548" s="617"/>
      <c r="D1548" s="617"/>
      <c r="E1548" s="617"/>
      <c r="F1548" s="1083"/>
      <c r="G1548" s="1084"/>
      <c r="H1548" s="1069"/>
      <c r="I1548" s="618"/>
      <c r="J1548" s="619"/>
      <c r="K1548" s="618"/>
      <c r="L1548" s="620"/>
      <c r="M1548" s="621"/>
      <c r="N1548" s="620"/>
    </row>
    <row r="1549" spans="1:14" ht="11.25" customHeight="1" x14ac:dyDescent="0.25">
      <c r="A1549" s="615"/>
      <c r="B1549" s="616"/>
      <c r="C1549" s="617"/>
      <c r="D1549" s="617"/>
      <c r="E1549" s="617"/>
      <c r="F1549" s="1083"/>
      <c r="G1549" s="1084"/>
      <c r="H1549" s="1069"/>
      <c r="I1549" s="618"/>
      <c r="J1549" s="619"/>
      <c r="K1549" s="618"/>
      <c r="L1549" s="620"/>
      <c r="M1549" s="621"/>
      <c r="N1549" s="620"/>
    </row>
    <row r="1550" spans="1:14" ht="11.25" customHeight="1" x14ac:dyDescent="0.25">
      <c r="A1550" s="615"/>
      <c r="B1550" s="616"/>
      <c r="C1550" s="617"/>
      <c r="D1550" s="617"/>
      <c r="E1550" s="617"/>
      <c r="F1550" s="1083"/>
      <c r="G1550" s="1084"/>
      <c r="H1550" s="1069"/>
      <c r="I1550" s="618"/>
      <c r="J1550" s="619"/>
      <c r="K1550" s="618"/>
      <c r="L1550" s="620"/>
      <c r="M1550" s="621"/>
      <c r="N1550" s="620"/>
    </row>
    <row r="1551" spans="1:14" ht="11.25" customHeight="1" x14ac:dyDescent="0.25">
      <c r="A1551" s="615"/>
      <c r="B1551" s="616"/>
      <c r="C1551" s="617"/>
      <c r="D1551" s="617"/>
      <c r="E1551" s="617"/>
      <c r="F1551" s="1083"/>
      <c r="G1551" s="1084"/>
      <c r="H1551" s="1069"/>
      <c r="I1551" s="618"/>
      <c r="J1551" s="619"/>
      <c r="K1551" s="618"/>
      <c r="L1551" s="620"/>
      <c r="M1551" s="621"/>
      <c r="N1551" s="620"/>
    </row>
    <row r="1552" spans="1:14" ht="11.25" customHeight="1" x14ac:dyDescent="0.25">
      <c r="A1552" s="615"/>
      <c r="B1552" s="616"/>
      <c r="C1552" s="617"/>
      <c r="D1552" s="617"/>
      <c r="E1552" s="617"/>
      <c r="F1552" s="1083"/>
      <c r="G1552" s="1084"/>
      <c r="H1552" s="1069"/>
      <c r="I1552" s="618"/>
      <c r="J1552" s="619"/>
      <c r="K1552" s="618"/>
      <c r="L1552" s="620"/>
      <c r="M1552" s="621"/>
      <c r="N1552" s="620"/>
    </row>
    <row r="1553" spans="1:14" ht="11.25" customHeight="1" x14ac:dyDescent="0.25">
      <c r="A1553" s="615"/>
      <c r="B1553" s="616"/>
      <c r="C1553" s="617"/>
      <c r="D1553" s="617"/>
      <c r="E1553" s="617"/>
      <c r="F1553" s="1083"/>
      <c r="G1553" s="1084"/>
      <c r="H1553" s="1069"/>
      <c r="I1553" s="618"/>
      <c r="J1553" s="619"/>
      <c r="K1553" s="618"/>
      <c r="L1553" s="620"/>
      <c r="M1553" s="621"/>
      <c r="N1553" s="620"/>
    </row>
    <row r="1554" spans="1:14" ht="11.25" customHeight="1" x14ac:dyDescent="0.25">
      <c r="A1554" s="615"/>
      <c r="B1554" s="616"/>
      <c r="C1554" s="617"/>
      <c r="D1554" s="617"/>
      <c r="E1554" s="617"/>
      <c r="F1554" s="1083"/>
      <c r="G1554" s="1084"/>
      <c r="H1554" s="1069"/>
      <c r="I1554" s="618"/>
      <c r="J1554" s="619"/>
      <c r="K1554" s="618"/>
      <c r="L1554" s="620"/>
      <c r="M1554" s="621"/>
      <c r="N1554" s="620"/>
    </row>
    <row r="1555" spans="1:14" ht="11.25" customHeight="1" x14ac:dyDescent="0.25">
      <c r="A1555" s="615"/>
      <c r="B1555" s="616"/>
      <c r="C1555" s="617"/>
      <c r="D1555" s="617"/>
      <c r="E1555" s="617"/>
      <c r="F1555" s="1083"/>
      <c r="G1555" s="1084"/>
      <c r="H1555" s="1069"/>
      <c r="I1555" s="618"/>
      <c r="J1555" s="619"/>
      <c r="K1555" s="618"/>
      <c r="L1555" s="620"/>
      <c r="M1555" s="621"/>
      <c r="N1555" s="620"/>
    </row>
    <row r="1556" spans="1:14" ht="11.25" customHeight="1" x14ac:dyDescent="0.25">
      <c r="A1556" s="615"/>
      <c r="B1556" s="616"/>
      <c r="C1556" s="617"/>
      <c r="D1556" s="617"/>
      <c r="E1556" s="617"/>
      <c r="F1556" s="1083"/>
      <c r="G1556" s="1084"/>
      <c r="H1556" s="1069"/>
      <c r="I1556" s="618"/>
      <c r="J1556" s="619"/>
      <c r="K1556" s="618"/>
      <c r="L1556" s="620"/>
      <c r="M1556" s="621"/>
      <c r="N1556" s="620"/>
    </row>
    <row r="1557" spans="1:14" ht="11.25" customHeight="1" x14ac:dyDescent="0.25">
      <c r="A1557" s="615"/>
      <c r="B1557" s="616"/>
      <c r="C1557" s="617"/>
      <c r="D1557" s="617"/>
      <c r="E1557" s="617"/>
      <c r="F1557" s="1083"/>
      <c r="G1557" s="1084"/>
      <c r="H1557" s="1069"/>
      <c r="I1557" s="618"/>
      <c r="J1557" s="619"/>
      <c r="K1557" s="618"/>
      <c r="L1557" s="620"/>
      <c r="M1557" s="621"/>
      <c r="N1557" s="620"/>
    </row>
    <row r="1558" spans="1:14" ht="11.25" customHeight="1" x14ac:dyDescent="0.25">
      <c r="A1558" s="615"/>
      <c r="B1558" s="616"/>
      <c r="C1558" s="617"/>
      <c r="D1558" s="617"/>
      <c r="E1558" s="617"/>
      <c r="F1558" s="1083"/>
      <c r="G1558" s="1084"/>
      <c r="H1558" s="1069"/>
      <c r="I1558" s="618"/>
      <c r="J1558" s="619"/>
      <c r="K1558" s="618"/>
      <c r="L1558" s="620"/>
      <c r="M1558" s="621"/>
      <c r="N1558" s="620"/>
    </row>
    <row r="1559" spans="1:14" ht="11.25" customHeight="1" x14ac:dyDescent="0.25">
      <c r="A1559" s="615"/>
      <c r="B1559" s="616"/>
      <c r="C1559" s="617"/>
      <c r="D1559" s="617"/>
      <c r="E1559" s="617"/>
      <c r="F1559" s="1083"/>
      <c r="G1559" s="1084"/>
      <c r="H1559" s="1069"/>
      <c r="I1559" s="618"/>
      <c r="J1559" s="619"/>
      <c r="K1559" s="618"/>
      <c r="L1559" s="620"/>
      <c r="M1559" s="621"/>
      <c r="N1559" s="620"/>
    </row>
    <row r="1560" spans="1:14" ht="11.25" customHeight="1" x14ac:dyDescent="0.25">
      <c r="A1560" s="615"/>
      <c r="B1560" s="616"/>
      <c r="C1560" s="617"/>
      <c r="D1560" s="617"/>
      <c r="E1560" s="617"/>
      <c r="F1560" s="1083"/>
      <c r="G1560" s="1084"/>
      <c r="H1560" s="1069"/>
      <c r="I1560" s="618"/>
      <c r="J1560" s="619"/>
      <c r="K1560" s="618"/>
      <c r="L1560" s="620"/>
      <c r="M1560" s="621"/>
      <c r="N1560" s="620"/>
    </row>
    <row r="1561" spans="1:14" ht="11.25" customHeight="1" x14ac:dyDescent="0.25">
      <c r="A1561" s="615"/>
      <c r="B1561" s="616"/>
      <c r="C1561" s="617"/>
      <c r="D1561" s="617"/>
      <c r="E1561" s="617"/>
      <c r="F1561" s="1083"/>
      <c r="G1561" s="1084"/>
      <c r="H1561" s="1069"/>
      <c r="I1561" s="618"/>
      <c r="J1561" s="619"/>
      <c r="K1561" s="618"/>
      <c r="L1561" s="620"/>
      <c r="M1561" s="621"/>
      <c r="N1561" s="620"/>
    </row>
    <row r="1562" spans="1:14" ht="11.25" customHeight="1" x14ac:dyDescent="0.25">
      <c r="A1562" s="615"/>
      <c r="B1562" s="616"/>
      <c r="C1562" s="617"/>
      <c r="D1562" s="617"/>
      <c r="E1562" s="617"/>
      <c r="F1562" s="1083"/>
      <c r="G1562" s="1084"/>
      <c r="H1562" s="1069"/>
      <c r="I1562" s="618"/>
      <c r="J1562" s="619"/>
      <c r="K1562" s="618"/>
      <c r="L1562" s="620"/>
      <c r="M1562" s="621"/>
      <c r="N1562" s="620"/>
    </row>
    <row r="1563" spans="1:14" ht="11.25" customHeight="1" x14ac:dyDescent="0.25">
      <c r="A1563" s="615"/>
      <c r="B1563" s="616"/>
      <c r="C1563" s="617"/>
      <c r="D1563" s="617"/>
      <c r="E1563" s="617"/>
      <c r="F1563" s="1083"/>
      <c r="G1563" s="1084"/>
      <c r="H1563" s="1069"/>
      <c r="I1563" s="618"/>
      <c r="J1563" s="619"/>
      <c r="K1563" s="618"/>
      <c r="L1563" s="620"/>
      <c r="M1563" s="621"/>
      <c r="N1563" s="620"/>
    </row>
    <row r="1564" spans="1:14" ht="11.25" customHeight="1" x14ac:dyDescent="0.25">
      <c r="A1564" s="615"/>
      <c r="B1564" s="616"/>
      <c r="C1564" s="617"/>
      <c r="D1564" s="617"/>
      <c r="E1564" s="617"/>
      <c r="F1564" s="1083"/>
      <c r="G1564" s="1084"/>
      <c r="H1564" s="1069"/>
      <c r="I1564" s="618"/>
      <c r="J1564" s="619"/>
      <c r="K1564" s="618"/>
      <c r="L1564" s="620"/>
      <c r="M1564" s="621"/>
      <c r="N1564" s="620"/>
    </row>
    <row r="1565" spans="1:14" ht="11.25" customHeight="1" x14ac:dyDescent="0.25">
      <c r="A1565" s="615"/>
      <c r="B1565" s="616"/>
      <c r="C1565" s="617"/>
      <c r="D1565" s="617"/>
      <c r="E1565" s="617"/>
      <c r="F1565" s="1083"/>
      <c r="G1565" s="1084"/>
      <c r="H1565" s="1069"/>
      <c r="I1565" s="618"/>
      <c r="J1565" s="619"/>
      <c r="K1565" s="618"/>
      <c r="L1565" s="620"/>
      <c r="M1565" s="621"/>
      <c r="N1565" s="620"/>
    </row>
    <row r="1566" spans="1:14" ht="11.25" customHeight="1" x14ac:dyDescent="0.25">
      <c r="A1566" s="615"/>
      <c r="B1566" s="616"/>
      <c r="C1566" s="617"/>
      <c r="D1566" s="617"/>
      <c r="E1566" s="617"/>
      <c r="F1566" s="1083"/>
      <c r="G1566" s="1084"/>
      <c r="H1566" s="1069"/>
      <c r="I1566" s="618"/>
      <c r="J1566" s="619"/>
      <c r="K1566" s="618"/>
      <c r="L1566" s="620"/>
      <c r="M1566" s="621"/>
      <c r="N1566" s="620"/>
    </row>
    <row r="1567" spans="1:14" ht="11.25" customHeight="1" x14ac:dyDescent="0.25">
      <c r="A1567" s="615"/>
      <c r="B1567" s="616"/>
      <c r="C1567" s="617"/>
      <c r="D1567" s="617"/>
      <c r="E1567" s="617"/>
      <c r="F1567" s="1083"/>
      <c r="G1567" s="1084"/>
      <c r="H1567" s="1069"/>
      <c r="I1567" s="618"/>
      <c r="J1567" s="619"/>
      <c r="K1567" s="618"/>
      <c r="L1567" s="620"/>
      <c r="M1567" s="621"/>
      <c r="N1567" s="620"/>
    </row>
    <row r="1568" spans="1:14" ht="11.25" customHeight="1" x14ac:dyDescent="0.25">
      <c r="A1568" s="615"/>
      <c r="B1568" s="616"/>
      <c r="C1568" s="617"/>
      <c r="D1568" s="617"/>
      <c r="E1568" s="617"/>
      <c r="F1568" s="1083"/>
      <c r="G1568" s="1084"/>
      <c r="H1568" s="1069"/>
      <c r="I1568" s="618"/>
      <c r="J1568" s="619"/>
      <c r="K1568" s="618"/>
      <c r="L1568" s="620"/>
      <c r="M1568" s="621"/>
      <c r="N1568" s="620"/>
    </row>
    <row r="1569" spans="1:14" ht="11.25" customHeight="1" x14ac:dyDescent="0.25">
      <c r="A1569" s="615"/>
      <c r="B1569" s="616"/>
      <c r="C1569" s="617"/>
      <c r="D1569" s="617"/>
      <c r="E1569" s="617"/>
      <c r="F1569" s="1083"/>
      <c r="G1569" s="1084"/>
      <c r="H1569" s="1069"/>
      <c r="I1569" s="618"/>
      <c r="J1569" s="619"/>
      <c r="K1569" s="618"/>
      <c r="L1569" s="620"/>
      <c r="M1569" s="621"/>
      <c r="N1569" s="620"/>
    </row>
    <row r="1570" spans="1:14" ht="11.25" customHeight="1" x14ac:dyDescent="0.25">
      <c r="A1570" s="615"/>
      <c r="B1570" s="616"/>
      <c r="C1570" s="617"/>
      <c r="D1570" s="617"/>
      <c r="E1570" s="617"/>
      <c r="F1570" s="1083"/>
      <c r="G1570" s="1084"/>
      <c r="H1570" s="1069"/>
      <c r="I1570" s="618"/>
      <c r="J1570" s="619"/>
      <c r="K1570" s="618"/>
      <c r="L1570" s="620"/>
      <c r="M1570" s="621"/>
      <c r="N1570" s="620"/>
    </row>
    <row r="1571" spans="1:14" ht="11.25" customHeight="1" x14ac:dyDescent="0.25">
      <c r="A1571" s="615"/>
      <c r="B1571" s="616"/>
      <c r="C1571" s="617"/>
      <c r="D1571" s="617"/>
      <c r="E1571" s="617"/>
      <c r="F1571" s="1083"/>
      <c r="G1571" s="1084"/>
      <c r="H1571" s="1069"/>
      <c r="I1571" s="618"/>
      <c r="J1571" s="619"/>
      <c r="K1571" s="618"/>
      <c r="L1571" s="620"/>
      <c r="M1571" s="621"/>
      <c r="N1571" s="620"/>
    </row>
    <row r="1572" spans="1:14" ht="11.25" customHeight="1" x14ac:dyDescent="0.25">
      <c r="A1572" s="615"/>
      <c r="B1572" s="616"/>
      <c r="C1572" s="617"/>
      <c r="D1572" s="617"/>
      <c r="E1572" s="617"/>
      <c r="F1572" s="1083"/>
      <c r="G1572" s="1084"/>
      <c r="H1572" s="1069"/>
      <c r="I1572" s="618"/>
      <c r="J1572" s="619"/>
      <c r="K1572" s="618"/>
      <c r="L1572" s="620"/>
      <c r="M1572" s="621"/>
      <c r="N1572" s="620"/>
    </row>
    <row r="1573" spans="1:14" ht="11.25" customHeight="1" x14ac:dyDescent="0.25">
      <c r="A1573" s="615"/>
      <c r="B1573" s="616"/>
      <c r="C1573" s="617"/>
      <c r="D1573" s="617"/>
      <c r="E1573" s="617"/>
      <c r="F1573" s="1083"/>
      <c r="G1573" s="1084"/>
      <c r="H1573" s="1069"/>
      <c r="I1573" s="618"/>
      <c r="J1573" s="619"/>
      <c r="K1573" s="618"/>
      <c r="L1573" s="620"/>
      <c r="M1573" s="621"/>
      <c r="N1573" s="620"/>
    </row>
    <row r="1574" spans="1:14" ht="11.25" customHeight="1" x14ac:dyDescent="0.25">
      <c r="A1574" s="615"/>
      <c r="B1574" s="616"/>
      <c r="C1574" s="617"/>
      <c r="D1574" s="617"/>
      <c r="E1574" s="617"/>
      <c r="F1574" s="1083"/>
      <c r="G1574" s="1084"/>
      <c r="H1574" s="1069"/>
      <c r="I1574" s="618"/>
      <c r="J1574" s="619"/>
      <c r="K1574" s="618"/>
      <c r="L1574" s="620"/>
      <c r="M1574" s="621"/>
      <c r="N1574" s="620"/>
    </row>
    <row r="1575" spans="1:14" ht="11.25" customHeight="1" x14ac:dyDescent="0.25">
      <c r="A1575" s="615"/>
      <c r="B1575" s="616"/>
      <c r="C1575" s="617"/>
      <c r="D1575" s="617"/>
      <c r="E1575" s="617"/>
      <c r="F1575" s="1083"/>
      <c r="G1575" s="1084"/>
      <c r="H1575" s="1069"/>
      <c r="I1575" s="618"/>
      <c r="J1575" s="619"/>
      <c r="K1575" s="618"/>
      <c r="L1575" s="620"/>
      <c r="M1575" s="621"/>
      <c r="N1575" s="620"/>
    </row>
    <row r="1576" spans="1:14" ht="11.25" customHeight="1" x14ac:dyDescent="0.25">
      <c r="A1576" s="615"/>
      <c r="B1576" s="616"/>
      <c r="C1576" s="617"/>
      <c r="D1576" s="617"/>
      <c r="E1576" s="617"/>
      <c r="F1576" s="1083"/>
      <c r="G1576" s="1084"/>
      <c r="H1576" s="1069"/>
      <c r="I1576" s="618"/>
      <c r="J1576" s="619"/>
      <c r="K1576" s="618"/>
      <c r="L1576" s="620"/>
      <c r="M1576" s="621"/>
      <c r="N1576" s="620"/>
    </row>
    <row r="1577" spans="1:14" ht="11.25" customHeight="1" x14ac:dyDescent="0.25">
      <c r="A1577" s="615"/>
      <c r="B1577" s="616"/>
      <c r="C1577" s="617"/>
      <c r="D1577" s="617"/>
      <c r="E1577" s="617"/>
      <c r="F1577" s="1083"/>
      <c r="G1577" s="1084"/>
      <c r="H1577" s="1069"/>
      <c r="I1577" s="618"/>
      <c r="J1577" s="619"/>
      <c r="K1577" s="618"/>
      <c r="L1577" s="620"/>
      <c r="M1577" s="621"/>
      <c r="N1577" s="620"/>
    </row>
    <row r="1578" spans="1:14" ht="11.25" customHeight="1" x14ac:dyDescent="0.25">
      <c r="A1578" s="615"/>
      <c r="B1578" s="616"/>
      <c r="C1578" s="617"/>
      <c r="D1578" s="617"/>
      <c r="E1578" s="617"/>
      <c r="F1578" s="1083"/>
      <c r="G1578" s="1084"/>
      <c r="H1578" s="1069"/>
      <c r="I1578" s="618"/>
      <c r="J1578" s="619"/>
      <c r="K1578" s="618"/>
      <c r="L1578" s="620"/>
      <c r="M1578" s="621"/>
      <c r="N1578" s="620"/>
    </row>
    <row r="1579" spans="1:14" ht="11.25" customHeight="1" x14ac:dyDescent="0.25">
      <c r="A1579" s="615"/>
      <c r="B1579" s="616"/>
      <c r="C1579" s="617"/>
      <c r="D1579" s="617"/>
      <c r="E1579" s="617"/>
      <c r="F1579" s="1083"/>
      <c r="G1579" s="1084"/>
      <c r="H1579" s="1069"/>
      <c r="I1579" s="618"/>
      <c r="J1579" s="619"/>
      <c r="K1579" s="618"/>
      <c r="L1579" s="620"/>
      <c r="M1579" s="621"/>
      <c r="N1579" s="620"/>
    </row>
    <row r="1580" spans="1:14" ht="11.25" customHeight="1" x14ac:dyDescent="0.25">
      <c r="A1580" s="615"/>
      <c r="B1580" s="616"/>
      <c r="C1580" s="617"/>
      <c r="D1580" s="617"/>
      <c r="E1580" s="617"/>
      <c r="F1580" s="1083"/>
      <c r="G1580" s="1084"/>
      <c r="H1580" s="1069"/>
      <c r="I1580" s="618"/>
      <c r="J1580" s="619"/>
      <c r="K1580" s="618"/>
      <c r="L1580" s="620"/>
      <c r="M1580" s="621"/>
      <c r="N1580" s="620"/>
    </row>
    <row r="1581" spans="1:14" ht="11.25" customHeight="1" x14ac:dyDescent="0.25">
      <c r="A1581" s="615"/>
      <c r="B1581" s="616"/>
      <c r="C1581" s="617"/>
      <c r="D1581" s="617"/>
      <c r="E1581" s="617"/>
      <c r="F1581" s="1083"/>
      <c r="G1581" s="1084"/>
      <c r="H1581" s="1069"/>
      <c r="I1581" s="618"/>
      <c r="J1581" s="619"/>
      <c r="K1581" s="618"/>
      <c r="L1581" s="620"/>
      <c r="M1581" s="621"/>
      <c r="N1581" s="620"/>
    </row>
    <row r="1582" spans="1:14" ht="11.25" customHeight="1" x14ac:dyDescent="0.25">
      <c r="A1582" s="615"/>
      <c r="B1582" s="616"/>
      <c r="C1582" s="617"/>
      <c r="D1582" s="617"/>
      <c r="E1582" s="617"/>
      <c r="F1582" s="1083"/>
      <c r="G1582" s="1084"/>
      <c r="H1582" s="1069"/>
      <c r="I1582" s="618"/>
      <c r="J1582" s="619"/>
      <c r="K1582" s="618"/>
      <c r="L1582" s="620"/>
      <c r="M1582" s="621"/>
      <c r="N1582" s="620"/>
    </row>
    <row r="1583" spans="1:14" ht="11.25" customHeight="1" x14ac:dyDescent="0.25">
      <c r="A1583" s="615"/>
      <c r="B1583" s="616"/>
      <c r="C1583" s="617"/>
      <c r="D1583" s="617"/>
      <c r="E1583" s="617"/>
      <c r="F1583" s="1083"/>
      <c r="G1583" s="1084"/>
      <c r="H1583" s="1069"/>
      <c r="I1583" s="618"/>
      <c r="J1583" s="619"/>
      <c r="K1583" s="618"/>
      <c r="L1583" s="620"/>
      <c r="M1583" s="621"/>
      <c r="N1583" s="620"/>
    </row>
    <row r="1584" spans="1:14" ht="11.25" customHeight="1" x14ac:dyDescent="0.25">
      <c r="A1584" s="615"/>
      <c r="B1584" s="616"/>
      <c r="C1584" s="617"/>
      <c r="D1584" s="617"/>
      <c r="E1584" s="617"/>
      <c r="F1584" s="1083"/>
      <c r="G1584" s="1084"/>
      <c r="H1584" s="1069"/>
      <c r="I1584" s="618"/>
      <c r="J1584" s="619"/>
      <c r="K1584" s="618"/>
      <c r="L1584" s="620"/>
      <c r="M1584" s="621"/>
      <c r="N1584" s="620"/>
    </row>
    <row r="1585" spans="1:14" ht="11.25" customHeight="1" x14ac:dyDescent="0.25">
      <c r="A1585" s="615"/>
      <c r="B1585" s="616"/>
      <c r="C1585" s="617"/>
      <c r="D1585" s="617"/>
      <c r="E1585" s="617"/>
      <c r="F1585" s="1083"/>
      <c r="G1585" s="1084"/>
      <c r="H1585" s="1069"/>
      <c r="I1585" s="618"/>
      <c r="J1585" s="619"/>
      <c r="K1585" s="618"/>
      <c r="L1585" s="620"/>
      <c r="M1585" s="621"/>
      <c r="N1585" s="620"/>
    </row>
    <row r="1586" spans="1:14" ht="11.25" customHeight="1" x14ac:dyDescent="0.25">
      <c r="A1586" s="615"/>
      <c r="B1586" s="616"/>
      <c r="C1586" s="617"/>
      <c r="D1586" s="617"/>
      <c r="E1586" s="617"/>
      <c r="F1586" s="1083"/>
      <c r="G1586" s="1084"/>
      <c r="H1586" s="1069"/>
      <c r="I1586" s="618"/>
      <c r="J1586" s="619"/>
      <c r="K1586" s="618"/>
      <c r="L1586" s="620"/>
      <c r="M1586" s="621"/>
      <c r="N1586" s="620"/>
    </row>
    <row r="1587" spans="1:14" ht="11.25" customHeight="1" x14ac:dyDescent="0.25">
      <c r="A1587" s="615"/>
      <c r="B1587" s="616"/>
      <c r="C1587" s="617"/>
      <c r="D1587" s="617"/>
      <c r="E1587" s="617"/>
      <c r="F1587" s="1083"/>
      <c r="G1587" s="1084"/>
      <c r="H1587" s="1069"/>
      <c r="I1587" s="618"/>
      <c r="J1587" s="619"/>
      <c r="K1587" s="618"/>
      <c r="L1587" s="620"/>
      <c r="M1587" s="621"/>
      <c r="N1587" s="620"/>
    </row>
    <row r="1588" spans="1:14" ht="11.25" customHeight="1" x14ac:dyDescent="0.25">
      <c r="A1588" s="615"/>
      <c r="B1588" s="616"/>
      <c r="C1588" s="617"/>
      <c r="D1588" s="617"/>
      <c r="E1588" s="617"/>
      <c r="F1588" s="1083"/>
      <c r="G1588" s="1084"/>
      <c r="H1588" s="1069"/>
      <c r="I1588" s="618"/>
      <c r="J1588" s="619"/>
      <c r="K1588" s="618"/>
      <c r="L1588" s="620"/>
      <c r="M1588" s="621"/>
      <c r="N1588" s="620"/>
    </row>
    <row r="1589" spans="1:14" ht="11.25" customHeight="1" x14ac:dyDescent="0.25">
      <c r="A1589" s="615"/>
      <c r="B1589" s="616"/>
      <c r="C1589" s="617"/>
      <c r="D1589" s="617"/>
      <c r="E1589" s="617"/>
      <c r="F1589" s="1083"/>
      <c r="G1589" s="1084"/>
      <c r="H1589" s="1069"/>
      <c r="I1589" s="618"/>
      <c r="J1589" s="619"/>
      <c r="K1589" s="618"/>
      <c r="L1589" s="620"/>
      <c r="M1589" s="621"/>
      <c r="N1589" s="620"/>
    </row>
    <row r="1590" spans="1:14" ht="11.25" customHeight="1" x14ac:dyDescent="0.25">
      <c r="A1590" s="615"/>
      <c r="B1590" s="616"/>
      <c r="C1590" s="617"/>
      <c r="D1590" s="617"/>
      <c r="E1590" s="617"/>
      <c r="F1590" s="1083"/>
      <c r="G1590" s="1084"/>
      <c r="H1590" s="1069"/>
      <c r="I1590" s="618"/>
      <c r="J1590" s="619"/>
      <c r="K1590" s="618"/>
      <c r="L1590" s="620"/>
      <c r="M1590" s="621"/>
      <c r="N1590" s="620"/>
    </row>
    <row r="1591" spans="1:14" ht="11.25" customHeight="1" x14ac:dyDescent="0.25">
      <c r="A1591" s="615"/>
      <c r="B1591" s="616"/>
      <c r="C1591" s="617"/>
      <c r="D1591" s="617"/>
      <c r="E1591" s="617"/>
      <c r="F1591" s="1083"/>
      <c r="G1591" s="1084"/>
      <c r="H1591" s="1069"/>
      <c r="I1591" s="618"/>
      <c r="J1591" s="619"/>
      <c r="K1591" s="618"/>
      <c r="L1591" s="620"/>
      <c r="M1591" s="621"/>
      <c r="N1591" s="620"/>
    </row>
    <row r="1592" spans="1:14" ht="11.25" customHeight="1" x14ac:dyDescent="0.25">
      <c r="A1592" s="615"/>
      <c r="B1592" s="616"/>
      <c r="C1592" s="617"/>
      <c r="D1592" s="617"/>
      <c r="E1592" s="617"/>
      <c r="F1592" s="1083"/>
      <c r="G1592" s="1084"/>
      <c r="H1592" s="1069"/>
      <c r="I1592" s="618"/>
      <c r="J1592" s="619"/>
      <c r="K1592" s="618"/>
      <c r="L1592" s="620"/>
      <c r="M1592" s="621"/>
      <c r="N1592" s="620"/>
    </row>
    <row r="1593" spans="1:14" ht="11.25" customHeight="1" x14ac:dyDescent="0.25">
      <c r="A1593" s="615"/>
      <c r="B1593" s="616"/>
      <c r="C1593" s="617"/>
      <c r="D1593" s="617"/>
      <c r="E1593" s="617"/>
      <c r="F1593" s="1083"/>
      <c r="G1593" s="1084"/>
      <c r="H1593" s="1069"/>
      <c r="I1593" s="618"/>
      <c r="J1593" s="619"/>
      <c r="K1593" s="618"/>
      <c r="L1593" s="620"/>
      <c r="M1593" s="621"/>
      <c r="N1593" s="620"/>
    </row>
    <row r="1594" spans="1:14" ht="11.25" customHeight="1" x14ac:dyDescent="0.25">
      <c r="A1594" s="615"/>
      <c r="B1594" s="616"/>
      <c r="C1594" s="617"/>
      <c r="D1594" s="617"/>
      <c r="E1594" s="617"/>
      <c r="F1594" s="1083"/>
      <c r="G1594" s="1084"/>
      <c r="H1594" s="1069"/>
      <c r="I1594" s="618"/>
      <c r="J1594" s="619"/>
      <c r="K1594" s="618"/>
      <c r="L1594" s="620"/>
      <c r="M1594" s="621"/>
      <c r="N1594" s="620"/>
    </row>
    <row r="1595" spans="1:14" ht="11.25" customHeight="1" x14ac:dyDescent="0.25">
      <c r="A1595" s="615"/>
      <c r="B1595" s="616"/>
      <c r="C1595" s="617"/>
      <c r="D1595" s="617"/>
      <c r="E1595" s="617"/>
      <c r="F1595" s="1083"/>
      <c r="G1595" s="1084"/>
      <c r="H1595" s="1069"/>
      <c r="I1595" s="618"/>
      <c r="J1595" s="619"/>
      <c r="K1595" s="618"/>
      <c r="L1595" s="620"/>
      <c r="M1595" s="621"/>
      <c r="N1595" s="620"/>
    </row>
    <row r="1596" spans="1:14" ht="11.25" customHeight="1" x14ac:dyDescent="0.25">
      <c r="A1596" s="615"/>
      <c r="B1596" s="616"/>
      <c r="C1596" s="617"/>
      <c r="D1596" s="617"/>
      <c r="E1596" s="617"/>
      <c r="F1596" s="1083"/>
      <c r="G1596" s="1084"/>
      <c r="H1596" s="1069"/>
      <c r="I1596" s="618"/>
      <c r="J1596" s="619"/>
      <c r="K1596" s="618"/>
      <c r="L1596" s="620"/>
      <c r="M1596" s="621"/>
      <c r="N1596" s="620"/>
    </row>
    <row r="1597" spans="1:14" ht="11.25" customHeight="1" x14ac:dyDescent="0.25">
      <c r="A1597" s="615"/>
      <c r="B1597" s="616"/>
      <c r="C1597" s="617"/>
      <c r="D1597" s="617"/>
      <c r="E1597" s="617"/>
      <c r="F1597" s="1083"/>
      <c r="G1597" s="1084"/>
      <c r="H1597" s="1069"/>
      <c r="I1597" s="618"/>
      <c r="J1597" s="619"/>
      <c r="K1597" s="618"/>
      <c r="L1597" s="620"/>
      <c r="M1597" s="621"/>
      <c r="N1597" s="620"/>
    </row>
    <row r="1598" spans="1:14" ht="11.25" customHeight="1" x14ac:dyDescent="0.25">
      <c r="A1598" s="615"/>
      <c r="B1598" s="616"/>
      <c r="C1598" s="617"/>
      <c r="D1598" s="617"/>
      <c r="E1598" s="617"/>
      <c r="F1598" s="1083"/>
      <c r="G1598" s="1084"/>
      <c r="H1598" s="1069"/>
      <c r="I1598" s="618"/>
      <c r="J1598" s="619"/>
      <c r="K1598" s="618"/>
      <c r="L1598" s="620"/>
      <c r="M1598" s="621"/>
      <c r="N1598" s="620"/>
    </row>
    <row r="1599" spans="1:14" ht="11.25" customHeight="1" x14ac:dyDescent="0.25">
      <c r="A1599" s="615"/>
      <c r="B1599" s="616"/>
      <c r="C1599" s="617"/>
      <c r="D1599" s="617"/>
      <c r="E1599" s="617"/>
      <c r="F1599" s="1083"/>
      <c r="G1599" s="1084"/>
      <c r="H1599" s="1069"/>
      <c r="I1599" s="618"/>
      <c r="J1599" s="619"/>
      <c r="K1599" s="618"/>
      <c r="L1599" s="620"/>
      <c r="M1599" s="621"/>
      <c r="N1599" s="620"/>
    </row>
    <row r="1600" spans="1:14" ht="11.25" customHeight="1" x14ac:dyDescent="0.25">
      <c r="A1600" s="615"/>
      <c r="B1600" s="616"/>
      <c r="C1600" s="617"/>
      <c r="D1600" s="617"/>
      <c r="E1600" s="617"/>
      <c r="F1600" s="1083"/>
      <c r="G1600" s="1084"/>
      <c r="H1600" s="1069"/>
      <c r="I1600" s="618"/>
      <c r="J1600" s="619"/>
      <c r="K1600" s="618"/>
      <c r="L1600" s="620"/>
      <c r="M1600" s="621"/>
      <c r="N1600" s="620"/>
    </row>
    <row r="1601" spans="1:14" ht="11.25" customHeight="1" x14ac:dyDescent="0.25">
      <c r="A1601" s="615"/>
      <c r="B1601" s="616"/>
      <c r="C1601" s="617"/>
      <c r="D1601" s="617"/>
      <c r="E1601" s="617"/>
      <c r="F1601" s="1083"/>
      <c r="G1601" s="1084"/>
      <c r="H1601" s="1069"/>
      <c r="I1601" s="618"/>
      <c r="J1601" s="619"/>
      <c r="K1601" s="618"/>
      <c r="L1601" s="620"/>
      <c r="M1601" s="621"/>
      <c r="N1601" s="620"/>
    </row>
    <row r="1602" spans="1:14" ht="11.25" customHeight="1" x14ac:dyDescent="0.25">
      <c r="A1602" s="615"/>
      <c r="B1602" s="616"/>
      <c r="C1602" s="617"/>
      <c r="D1602" s="617"/>
      <c r="E1602" s="617"/>
      <c r="F1602" s="1083"/>
      <c r="G1602" s="1084"/>
      <c r="H1602" s="1069"/>
      <c r="I1602" s="618"/>
      <c r="J1602" s="619"/>
      <c r="K1602" s="618"/>
      <c r="L1602" s="620"/>
      <c r="M1602" s="621"/>
      <c r="N1602" s="620"/>
    </row>
    <row r="1603" spans="1:14" ht="11.25" customHeight="1" x14ac:dyDescent="0.25">
      <c r="A1603" s="615"/>
      <c r="B1603" s="616"/>
      <c r="C1603" s="617"/>
      <c r="D1603" s="617"/>
      <c r="E1603" s="617"/>
      <c r="F1603" s="1083"/>
      <c r="G1603" s="1084"/>
      <c r="H1603" s="1069"/>
      <c r="I1603" s="618"/>
      <c r="J1603" s="619"/>
      <c r="K1603" s="618"/>
      <c r="L1603" s="620"/>
      <c r="M1603" s="621"/>
      <c r="N1603" s="620"/>
    </row>
    <row r="1604" spans="1:14" ht="11.25" customHeight="1" x14ac:dyDescent="0.25">
      <c r="A1604" s="615"/>
      <c r="B1604" s="616"/>
      <c r="C1604" s="617"/>
      <c r="D1604" s="617"/>
      <c r="E1604" s="617"/>
      <c r="F1604" s="1083"/>
      <c r="G1604" s="1084"/>
      <c r="H1604" s="1069"/>
      <c r="I1604" s="618"/>
      <c r="J1604" s="619"/>
      <c r="K1604" s="618"/>
      <c r="L1604" s="620"/>
      <c r="M1604" s="621"/>
      <c r="N1604" s="620"/>
    </row>
    <row r="1605" spans="1:14" ht="11.25" customHeight="1" x14ac:dyDescent="0.25">
      <c r="A1605" s="615"/>
      <c r="B1605" s="616"/>
      <c r="C1605" s="617"/>
      <c r="D1605" s="617"/>
      <c r="E1605" s="617"/>
      <c r="F1605" s="1083"/>
      <c r="G1605" s="1084"/>
      <c r="H1605" s="1069"/>
      <c r="I1605" s="618"/>
      <c r="J1605" s="619"/>
      <c r="K1605" s="618"/>
      <c r="L1605" s="620"/>
      <c r="M1605" s="621"/>
      <c r="N1605" s="620"/>
    </row>
    <row r="1606" spans="1:14" ht="11.25" customHeight="1" x14ac:dyDescent="0.25">
      <c r="A1606" s="615"/>
      <c r="B1606" s="616"/>
      <c r="C1606" s="617"/>
      <c r="D1606" s="617"/>
      <c r="E1606" s="617"/>
      <c r="F1606" s="1083"/>
      <c r="G1606" s="1084"/>
      <c r="H1606" s="1069"/>
      <c r="I1606" s="618"/>
      <c r="J1606" s="619"/>
      <c r="K1606" s="618"/>
      <c r="L1606" s="620"/>
      <c r="M1606" s="621"/>
      <c r="N1606" s="620"/>
    </row>
    <row r="1607" spans="1:14" ht="11.25" customHeight="1" x14ac:dyDescent="0.25">
      <c r="A1607" s="615"/>
      <c r="B1607" s="616"/>
      <c r="C1607" s="617"/>
      <c r="D1607" s="617"/>
      <c r="E1607" s="617"/>
      <c r="F1607" s="1083"/>
      <c r="G1607" s="1084"/>
      <c r="H1607" s="1069"/>
      <c r="I1607" s="618"/>
      <c r="J1607" s="619"/>
      <c r="K1607" s="618"/>
      <c r="L1607" s="620"/>
      <c r="M1607" s="621"/>
      <c r="N1607" s="620"/>
    </row>
    <row r="1608" spans="1:14" ht="11.25" customHeight="1" x14ac:dyDescent="0.25">
      <c r="A1608" s="615"/>
      <c r="B1608" s="616"/>
      <c r="C1608" s="617"/>
      <c r="D1608" s="617"/>
      <c r="E1608" s="617"/>
      <c r="F1608" s="1083"/>
      <c r="G1608" s="1084"/>
      <c r="H1608" s="1069"/>
      <c r="I1608" s="618"/>
      <c r="J1608" s="619"/>
      <c r="K1608" s="618"/>
      <c r="L1608" s="620"/>
      <c r="M1608" s="621"/>
      <c r="N1608" s="620"/>
    </row>
    <row r="1609" spans="1:14" ht="11.25" customHeight="1" x14ac:dyDescent="0.25">
      <c r="A1609" s="615"/>
      <c r="B1609" s="616"/>
      <c r="C1609" s="617"/>
      <c r="D1609" s="617"/>
      <c r="E1609" s="617"/>
      <c r="F1609" s="1083"/>
      <c r="G1609" s="1084"/>
      <c r="H1609" s="1069"/>
      <c r="I1609" s="618"/>
      <c r="J1609" s="619"/>
      <c r="K1609" s="618"/>
      <c r="L1609" s="620"/>
      <c r="M1609" s="621"/>
      <c r="N1609" s="620"/>
    </row>
    <row r="1610" spans="1:14" ht="11.25" customHeight="1" x14ac:dyDescent="0.25">
      <c r="A1610" s="615"/>
      <c r="B1610" s="616"/>
      <c r="C1610" s="617"/>
      <c r="D1610" s="617"/>
      <c r="E1610" s="617"/>
      <c r="F1610" s="1083"/>
      <c r="G1610" s="1084"/>
      <c r="H1610" s="1069"/>
      <c r="I1610" s="618"/>
      <c r="J1610" s="619"/>
      <c r="K1610" s="618"/>
      <c r="L1610" s="620"/>
      <c r="M1610" s="621"/>
      <c r="N1610" s="620"/>
    </row>
    <row r="1611" spans="1:14" ht="11.25" customHeight="1" x14ac:dyDescent="0.25">
      <c r="A1611" s="615"/>
      <c r="B1611" s="616"/>
      <c r="C1611" s="617"/>
      <c r="D1611" s="617"/>
      <c r="E1611" s="617"/>
      <c r="F1611" s="1083"/>
      <c r="G1611" s="1084"/>
      <c r="H1611" s="1069"/>
      <c r="I1611" s="618"/>
      <c r="J1611" s="619"/>
      <c r="K1611" s="618"/>
      <c r="L1611" s="620"/>
      <c r="M1611" s="621"/>
      <c r="N1611" s="620"/>
    </row>
    <row r="1612" spans="1:14" ht="11.25" customHeight="1" x14ac:dyDescent="0.25">
      <c r="A1612" s="615"/>
      <c r="B1612" s="616"/>
      <c r="C1612" s="617"/>
      <c r="D1612" s="617"/>
      <c r="E1612" s="617"/>
      <c r="F1612" s="1083"/>
      <c r="G1612" s="1084"/>
      <c r="H1612" s="1069"/>
      <c r="I1612" s="618"/>
      <c r="J1612" s="619"/>
      <c r="K1612" s="618"/>
      <c r="L1612" s="620"/>
      <c r="M1612" s="621"/>
      <c r="N1612" s="620"/>
    </row>
    <row r="1613" spans="1:14" ht="11.25" customHeight="1" x14ac:dyDescent="0.25">
      <c r="A1613" s="615"/>
      <c r="B1613" s="616"/>
      <c r="C1613" s="617"/>
      <c r="D1613" s="617"/>
      <c r="E1613" s="617"/>
      <c r="F1613" s="1083"/>
      <c r="G1613" s="1084"/>
      <c r="H1613" s="1069"/>
      <c r="I1613" s="618"/>
      <c r="J1613" s="619"/>
      <c r="K1613" s="618"/>
      <c r="L1613" s="620"/>
      <c r="M1613" s="621"/>
      <c r="N1613" s="620"/>
    </row>
    <row r="1614" spans="1:14" ht="11.25" customHeight="1" x14ac:dyDescent="0.25">
      <c r="A1614" s="615"/>
      <c r="B1614" s="616"/>
      <c r="C1614" s="617"/>
      <c r="D1614" s="617"/>
      <c r="E1614" s="617"/>
      <c r="F1614" s="1083"/>
      <c r="G1614" s="1084"/>
      <c r="H1614" s="1069"/>
      <c r="I1614" s="618"/>
      <c r="J1614" s="619"/>
      <c r="K1614" s="618"/>
      <c r="L1614" s="620"/>
      <c r="M1614" s="621"/>
      <c r="N1614" s="620"/>
    </row>
    <row r="1615" spans="1:14" ht="11.25" customHeight="1" x14ac:dyDescent="0.25">
      <c r="A1615" s="615"/>
      <c r="B1615" s="616"/>
      <c r="C1615" s="617"/>
      <c r="D1615" s="617"/>
      <c r="E1615" s="617"/>
      <c r="F1615" s="1083"/>
      <c r="G1615" s="1084"/>
      <c r="H1615" s="1069"/>
      <c r="I1615" s="618"/>
      <c r="J1615" s="619"/>
      <c r="K1615" s="618"/>
      <c r="L1615" s="620"/>
      <c r="M1615" s="621"/>
      <c r="N1615" s="620"/>
    </row>
    <row r="1616" spans="1:14" ht="11.25" customHeight="1" x14ac:dyDescent="0.25">
      <c r="A1616" s="615"/>
      <c r="B1616" s="616"/>
      <c r="C1616" s="617"/>
      <c r="D1616" s="617"/>
      <c r="E1616" s="617"/>
      <c r="F1616" s="1083"/>
      <c r="G1616" s="1084"/>
      <c r="H1616" s="1069"/>
      <c r="I1616" s="618"/>
      <c r="J1616" s="619"/>
      <c r="K1616" s="618"/>
      <c r="L1616" s="620"/>
      <c r="M1616" s="621"/>
      <c r="N1616" s="620"/>
    </row>
    <row r="1617" spans="1:14" ht="11.25" customHeight="1" x14ac:dyDescent="0.25">
      <c r="A1617" s="615"/>
      <c r="B1617" s="616"/>
      <c r="C1617" s="617"/>
      <c r="D1617" s="617"/>
      <c r="E1617" s="617"/>
      <c r="F1617" s="1083"/>
      <c r="G1617" s="1084"/>
      <c r="H1617" s="1069"/>
      <c r="I1617" s="618"/>
      <c r="J1617" s="619"/>
      <c r="K1617" s="618"/>
      <c r="L1617" s="620"/>
      <c r="M1617" s="621"/>
      <c r="N1617" s="620"/>
    </row>
    <row r="1618" spans="1:14" ht="11.25" customHeight="1" x14ac:dyDescent="0.25">
      <c r="A1618" s="615"/>
      <c r="B1618" s="616"/>
      <c r="C1618" s="617"/>
      <c r="D1618" s="617"/>
      <c r="E1618" s="617"/>
      <c r="F1618" s="1083"/>
      <c r="G1618" s="1084"/>
      <c r="H1618" s="1069"/>
      <c r="I1618" s="618"/>
      <c r="J1618" s="619"/>
      <c r="K1618" s="618"/>
      <c r="L1618" s="620"/>
      <c r="M1618" s="621"/>
      <c r="N1618" s="620"/>
    </row>
    <row r="1619" spans="1:14" ht="11.25" customHeight="1" x14ac:dyDescent="0.25">
      <c r="A1619" s="615"/>
      <c r="B1619" s="616"/>
      <c r="C1619" s="617"/>
      <c r="D1619" s="617"/>
      <c r="E1619" s="617"/>
      <c r="F1619" s="1083"/>
      <c r="G1619" s="1084"/>
      <c r="H1619" s="1069"/>
      <c r="I1619" s="618"/>
      <c r="J1619" s="619"/>
      <c r="K1619" s="618"/>
      <c r="L1619" s="620"/>
      <c r="M1619" s="621"/>
      <c r="N1619" s="620"/>
    </row>
    <row r="1620" spans="1:14" ht="11.25" customHeight="1" x14ac:dyDescent="0.25">
      <c r="A1620" s="615"/>
      <c r="B1620" s="616"/>
      <c r="C1620" s="617"/>
      <c r="D1620" s="617"/>
      <c r="E1620" s="617"/>
      <c r="F1620" s="1083"/>
      <c r="G1620" s="1084"/>
      <c r="H1620" s="1069"/>
      <c r="I1620" s="618"/>
      <c r="J1620" s="619"/>
      <c r="K1620" s="618"/>
      <c r="L1620" s="620"/>
      <c r="M1620" s="621"/>
      <c r="N1620" s="620"/>
    </row>
    <row r="1621" spans="1:14" ht="11.25" customHeight="1" x14ac:dyDescent="0.25">
      <c r="A1621" s="615"/>
      <c r="B1621" s="616"/>
      <c r="C1621" s="617"/>
      <c r="D1621" s="617"/>
      <c r="E1621" s="617"/>
      <c r="F1621" s="1083"/>
      <c r="G1621" s="1084"/>
      <c r="H1621" s="1069"/>
      <c r="I1621" s="618"/>
      <c r="J1621" s="619"/>
      <c r="K1621" s="618"/>
      <c r="L1621" s="620"/>
      <c r="M1621" s="621"/>
      <c r="N1621" s="620"/>
    </row>
    <row r="1622" spans="1:14" ht="11.25" customHeight="1" x14ac:dyDescent="0.25">
      <c r="A1622" s="615"/>
      <c r="B1622" s="616"/>
      <c r="C1622" s="617"/>
      <c r="D1622" s="617"/>
      <c r="E1622" s="617"/>
      <c r="F1622" s="1083"/>
      <c r="G1622" s="1084"/>
      <c r="H1622" s="1069"/>
      <c r="I1622" s="618"/>
      <c r="J1622" s="619"/>
      <c r="K1622" s="618"/>
      <c r="L1622" s="620"/>
      <c r="M1622" s="621"/>
      <c r="N1622" s="620"/>
    </row>
    <row r="1623" spans="1:14" ht="11.25" customHeight="1" x14ac:dyDescent="0.25">
      <c r="A1623" s="615"/>
      <c r="B1623" s="616"/>
      <c r="C1623" s="617"/>
      <c r="D1623" s="617"/>
      <c r="E1623" s="617"/>
      <c r="F1623" s="1083"/>
      <c r="G1623" s="1084"/>
      <c r="H1623" s="1069"/>
      <c r="I1623" s="618"/>
      <c r="J1623" s="619"/>
      <c r="K1623" s="618"/>
      <c r="L1623" s="620"/>
      <c r="M1623" s="621"/>
      <c r="N1623" s="620"/>
    </row>
    <row r="1624" spans="1:14" ht="11.25" customHeight="1" x14ac:dyDescent="0.25">
      <c r="A1624" s="615"/>
      <c r="B1624" s="616"/>
      <c r="C1624" s="617"/>
      <c r="D1624" s="617"/>
      <c r="E1624" s="617"/>
      <c r="F1624" s="1083"/>
      <c r="G1624" s="1084"/>
      <c r="H1624" s="1069"/>
      <c r="I1624" s="618"/>
      <c r="J1624" s="619"/>
      <c r="K1624" s="618"/>
      <c r="L1624" s="620"/>
      <c r="M1624" s="621"/>
      <c r="N1624" s="620"/>
    </row>
    <row r="1625" spans="1:14" ht="11.25" customHeight="1" x14ac:dyDescent="0.25">
      <c r="A1625" s="615"/>
      <c r="B1625" s="616"/>
      <c r="C1625" s="617"/>
      <c r="D1625" s="617"/>
      <c r="E1625" s="617"/>
      <c r="F1625" s="1083"/>
      <c r="G1625" s="1084"/>
      <c r="H1625" s="1069"/>
      <c r="I1625" s="618"/>
      <c r="J1625" s="619"/>
      <c r="K1625" s="618"/>
      <c r="L1625" s="620"/>
      <c r="M1625" s="621"/>
      <c r="N1625" s="620"/>
    </row>
    <row r="1626" spans="1:14" ht="11.25" customHeight="1" x14ac:dyDescent="0.25">
      <c r="A1626" s="615"/>
      <c r="B1626" s="616"/>
      <c r="C1626" s="617"/>
      <c r="D1626" s="617"/>
      <c r="E1626" s="617"/>
      <c r="F1626" s="1083"/>
      <c r="G1626" s="1084"/>
      <c r="H1626" s="1069"/>
      <c r="I1626" s="618"/>
      <c r="J1626" s="619"/>
      <c r="K1626" s="618"/>
      <c r="L1626" s="620"/>
      <c r="M1626" s="621"/>
      <c r="N1626" s="620"/>
    </row>
    <row r="1627" spans="1:14" ht="11.25" customHeight="1" x14ac:dyDescent="0.25">
      <c r="A1627" s="615"/>
      <c r="B1627" s="616"/>
      <c r="C1627" s="617"/>
      <c r="D1627" s="617"/>
      <c r="E1627" s="617"/>
      <c r="F1627" s="1083"/>
      <c r="G1627" s="1084"/>
      <c r="H1627" s="1069"/>
      <c r="I1627" s="618"/>
      <c r="J1627" s="619"/>
      <c r="K1627" s="618"/>
      <c r="L1627" s="620"/>
      <c r="M1627" s="621"/>
      <c r="N1627" s="620"/>
    </row>
    <row r="1628" spans="1:14" ht="11.25" customHeight="1" x14ac:dyDescent="0.25">
      <c r="A1628" s="615"/>
      <c r="B1628" s="616"/>
      <c r="C1628" s="617"/>
      <c r="D1628" s="617"/>
      <c r="E1628" s="617"/>
      <c r="F1628" s="1083"/>
      <c r="G1628" s="1084"/>
      <c r="H1628" s="1069"/>
      <c r="I1628" s="618"/>
      <c r="J1628" s="619"/>
      <c r="K1628" s="618"/>
      <c r="L1628" s="620"/>
      <c r="M1628" s="621"/>
      <c r="N1628" s="620"/>
    </row>
    <row r="1629" spans="1:14" ht="11.25" customHeight="1" x14ac:dyDescent="0.25">
      <c r="A1629" s="615"/>
      <c r="B1629" s="616"/>
      <c r="C1629" s="617"/>
      <c r="D1629" s="617"/>
      <c r="E1629" s="617"/>
      <c r="F1629" s="1083"/>
      <c r="G1629" s="1084"/>
      <c r="H1629" s="1069"/>
      <c r="I1629" s="618"/>
      <c r="J1629" s="619"/>
      <c r="K1629" s="618"/>
      <c r="L1629" s="620"/>
      <c r="M1629" s="621"/>
      <c r="N1629" s="620"/>
    </row>
    <row r="1630" spans="1:14" ht="11.25" customHeight="1" x14ac:dyDescent="0.25">
      <c r="A1630" s="615"/>
      <c r="B1630" s="616"/>
      <c r="C1630" s="617"/>
      <c r="D1630" s="617"/>
      <c r="E1630" s="617"/>
      <c r="F1630" s="1083"/>
      <c r="G1630" s="1084"/>
      <c r="H1630" s="1069"/>
      <c r="I1630" s="618"/>
      <c r="J1630" s="619"/>
      <c r="K1630" s="618"/>
      <c r="L1630" s="620"/>
      <c r="M1630" s="621"/>
      <c r="N1630" s="620"/>
    </row>
    <row r="1631" spans="1:14" ht="11.25" customHeight="1" x14ac:dyDescent="0.25">
      <c r="A1631" s="615"/>
      <c r="B1631" s="616"/>
      <c r="C1631" s="617"/>
      <c r="D1631" s="617"/>
      <c r="E1631" s="617"/>
      <c r="F1631" s="1083"/>
      <c r="G1631" s="1084"/>
      <c r="H1631" s="1069"/>
      <c r="I1631" s="618"/>
      <c r="J1631" s="619"/>
      <c r="K1631" s="618"/>
      <c r="L1631" s="620"/>
      <c r="M1631" s="621"/>
      <c r="N1631" s="620"/>
    </row>
    <row r="1632" spans="1:14" ht="11.25" customHeight="1" x14ac:dyDescent="0.25">
      <c r="A1632" s="615"/>
      <c r="B1632" s="616"/>
      <c r="C1632" s="617"/>
      <c r="D1632" s="617"/>
      <c r="E1632" s="617"/>
      <c r="F1632" s="1083"/>
      <c r="G1632" s="1084"/>
      <c r="H1632" s="1069"/>
      <c r="I1632" s="618"/>
      <c r="J1632" s="619"/>
      <c r="K1632" s="618"/>
      <c r="L1632" s="620"/>
      <c r="M1632" s="621"/>
      <c r="N1632" s="620"/>
    </row>
    <row r="1633" spans="1:14" ht="11.25" customHeight="1" x14ac:dyDescent="0.25">
      <c r="A1633" s="615"/>
      <c r="B1633" s="616"/>
      <c r="C1633" s="617"/>
      <c r="D1633" s="617"/>
      <c r="E1633" s="617"/>
      <c r="F1633" s="1083"/>
      <c r="G1633" s="1084"/>
      <c r="H1633" s="1069"/>
      <c r="I1633" s="618"/>
      <c r="J1633" s="619"/>
      <c r="K1633" s="618"/>
      <c r="L1633" s="620"/>
      <c r="M1633" s="621"/>
      <c r="N1633" s="620"/>
    </row>
    <row r="1634" spans="1:14" ht="11.25" customHeight="1" x14ac:dyDescent="0.25">
      <c r="A1634" s="615"/>
      <c r="B1634" s="616"/>
      <c r="C1634" s="617"/>
      <c r="D1634" s="617"/>
      <c r="E1634" s="617"/>
      <c r="F1634" s="1083"/>
      <c r="G1634" s="1084"/>
      <c r="H1634" s="1069"/>
      <c r="I1634" s="618"/>
      <c r="J1634" s="619"/>
      <c r="K1634" s="618"/>
      <c r="L1634" s="620"/>
      <c r="M1634" s="621"/>
      <c r="N1634" s="620"/>
    </row>
    <row r="1635" spans="1:14" ht="11.25" customHeight="1" x14ac:dyDescent="0.25">
      <c r="A1635" s="615"/>
      <c r="B1635" s="616"/>
      <c r="C1635" s="617"/>
      <c r="D1635" s="617"/>
      <c r="E1635" s="617"/>
      <c r="F1635" s="1083"/>
      <c r="G1635" s="1084"/>
      <c r="H1635" s="1069"/>
      <c r="I1635" s="618"/>
      <c r="J1635" s="619"/>
      <c r="K1635" s="618"/>
      <c r="L1635" s="620"/>
      <c r="M1635" s="621"/>
      <c r="N1635" s="620"/>
    </row>
    <row r="1636" spans="1:14" ht="11.25" customHeight="1" x14ac:dyDescent="0.25">
      <c r="A1636" s="615"/>
      <c r="B1636" s="616"/>
      <c r="C1636" s="617"/>
      <c r="D1636" s="617"/>
      <c r="E1636" s="617"/>
      <c r="F1636" s="1083"/>
      <c r="G1636" s="1084"/>
      <c r="H1636" s="1069"/>
      <c r="I1636" s="618"/>
      <c r="J1636" s="619"/>
      <c r="K1636" s="618"/>
      <c r="L1636" s="620"/>
      <c r="M1636" s="621"/>
      <c r="N1636" s="620"/>
    </row>
    <row r="1637" spans="1:14" ht="11.25" customHeight="1" x14ac:dyDescent="0.25">
      <c r="A1637" s="615"/>
      <c r="B1637" s="616"/>
      <c r="C1637" s="617"/>
      <c r="D1637" s="617"/>
      <c r="E1637" s="617"/>
      <c r="F1637" s="1083"/>
      <c r="G1637" s="1084"/>
      <c r="H1637" s="1069"/>
      <c r="I1637" s="618"/>
      <c r="J1637" s="619"/>
      <c r="K1637" s="618"/>
      <c r="L1637" s="620"/>
      <c r="M1637" s="621"/>
      <c r="N1637" s="620"/>
    </row>
    <row r="1638" spans="1:14" ht="11.25" customHeight="1" x14ac:dyDescent="0.25">
      <c r="A1638" s="615"/>
      <c r="B1638" s="616"/>
      <c r="C1638" s="617"/>
      <c r="D1638" s="617"/>
      <c r="E1638" s="617"/>
      <c r="F1638" s="1083"/>
      <c r="G1638" s="1084"/>
      <c r="H1638" s="1069"/>
      <c r="I1638" s="618"/>
      <c r="J1638" s="619"/>
      <c r="K1638" s="618"/>
      <c r="L1638" s="620"/>
      <c r="M1638" s="621"/>
      <c r="N1638" s="620"/>
    </row>
    <row r="1639" spans="1:14" ht="11.25" customHeight="1" x14ac:dyDescent="0.25">
      <c r="A1639" s="615"/>
      <c r="B1639" s="616"/>
      <c r="C1639" s="617"/>
      <c r="D1639" s="617"/>
      <c r="E1639" s="617"/>
      <c r="F1639" s="1083"/>
      <c r="G1639" s="1084"/>
      <c r="H1639" s="1069"/>
      <c r="I1639" s="618"/>
      <c r="J1639" s="619"/>
      <c r="K1639" s="618"/>
      <c r="L1639" s="620"/>
      <c r="M1639" s="621"/>
      <c r="N1639" s="620"/>
    </row>
    <row r="1640" spans="1:14" ht="11.25" customHeight="1" x14ac:dyDescent="0.25">
      <c r="A1640" s="615"/>
      <c r="B1640" s="616"/>
      <c r="C1640" s="617"/>
      <c r="D1640" s="617"/>
      <c r="E1640" s="617"/>
      <c r="F1640" s="1083"/>
      <c r="G1640" s="1084"/>
      <c r="H1640" s="1069"/>
      <c r="I1640" s="618"/>
      <c r="J1640" s="619"/>
      <c r="K1640" s="618"/>
      <c r="L1640" s="620"/>
      <c r="M1640" s="621"/>
      <c r="N1640" s="620"/>
    </row>
    <row r="1641" spans="1:14" ht="11.25" customHeight="1" x14ac:dyDescent="0.25">
      <c r="A1641" s="615"/>
      <c r="B1641" s="616"/>
      <c r="C1641" s="617"/>
      <c r="D1641" s="617"/>
      <c r="E1641" s="617"/>
      <c r="F1641" s="1083"/>
      <c r="G1641" s="1084"/>
      <c r="H1641" s="1069"/>
      <c r="I1641" s="618"/>
      <c r="J1641" s="619"/>
      <c r="K1641" s="618"/>
      <c r="L1641" s="620"/>
      <c r="M1641" s="621"/>
      <c r="N1641" s="620"/>
    </row>
    <row r="1642" spans="1:14" ht="11.25" customHeight="1" x14ac:dyDescent="0.25">
      <c r="A1642" s="615"/>
      <c r="B1642" s="616"/>
      <c r="C1642" s="617"/>
      <c r="D1642" s="617"/>
      <c r="E1642" s="617"/>
      <c r="F1642" s="1083"/>
      <c r="G1642" s="1084"/>
      <c r="H1642" s="1069"/>
      <c r="I1642" s="618"/>
      <c r="J1642" s="619"/>
      <c r="K1642" s="618"/>
      <c r="L1642" s="620"/>
      <c r="M1642" s="621"/>
      <c r="N1642" s="620"/>
    </row>
    <row r="1643" spans="1:14" ht="11.25" customHeight="1" x14ac:dyDescent="0.25">
      <c r="A1643" s="615"/>
      <c r="B1643" s="616"/>
      <c r="C1643" s="617"/>
      <c r="D1643" s="617"/>
      <c r="E1643" s="617"/>
      <c r="F1643" s="1083"/>
      <c r="G1643" s="1084"/>
      <c r="H1643" s="1069"/>
      <c r="I1643" s="618"/>
      <c r="J1643" s="619"/>
      <c r="K1643" s="618"/>
      <c r="L1643" s="620"/>
      <c r="M1643" s="621"/>
      <c r="N1643" s="620"/>
    </row>
    <row r="1644" spans="1:14" ht="11.25" customHeight="1" x14ac:dyDescent="0.25">
      <c r="A1644" s="615"/>
      <c r="B1644" s="616"/>
      <c r="C1644" s="617"/>
      <c r="D1644" s="617"/>
      <c r="E1644" s="617"/>
      <c r="F1644" s="1083"/>
      <c r="G1644" s="1084"/>
      <c r="H1644" s="1069"/>
      <c r="I1644" s="618"/>
      <c r="J1644" s="619"/>
      <c r="K1644" s="618"/>
      <c r="L1644" s="620"/>
      <c r="M1644" s="621"/>
      <c r="N1644" s="620"/>
    </row>
    <row r="1645" spans="1:14" ht="11.25" customHeight="1" x14ac:dyDescent="0.25">
      <c r="A1645" s="615"/>
      <c r="B1645" s="616"/>
      <c r="C1645" s="617"/>
      <c r="D1645" s="617"/>
      <c r="E1645" s="617"/>
      <c r="F1645" s="1083"/>
      <c r="G1645" s="1084"/>
      <c r="H1645" s="1069"/>
      <c r="I1645" s="618"/>
      <c r="J1645" s="619"/>
      <c r="K1645" s="618"/>
      <c r="L1645" s="620"/>
      <c r="M1645" s="621"/>
      <c r="N1645" s="620"/>
    </row>
    <row r="1646" spans="1:14" ht="11.25" customHeight="1" x14ac:dyDescent="0.25">
      <c r="A1646" s="615"/>
      <c r="B1646" s="616"/>
      <c r="C1646" s="617"/>
      <c r="D1646" s="617"/>
      <c r="E1646" s="617"/>
      <c r="F1646" s="1083"/>
      <c r="G1646" s="1084"/>
      <c r="H1646" s="1069"/>
      <c r="I1646" s="618"/>
      <c r="J1646" s="619"/>
      <c r="K1646" s="618"/>
      <c r="L1646" s="620"/>
      <c r="M1646" s="621"/>
      <c r="N1646" s="620"/>
    </row>
    <row r="1647" spans="1:14" ht="11.25" customHeight="1" x14ac:dyDescent="0.25">
      <c r="A1647" s="615"/>
      <c r="B1647" s="616"/>
      <c r="C1647" s="617"/>
      <c r="D1647" s="617"/>
      <c r="E1647" s="617"/>
      <c r="F1647" s="1083"/>
      <c r="G1647" s="1084"/>
      <c r="H1647" s="1069"/>
      <c r="I1647" s="618"/>
      <c r="J1647" s="619"/>
      <c r="K1647" s="618"/>
      <c r="L1647" s="620"/>
      <c r="M1647" s="621"/>
      <c r="N1647" s="620"/>
    </row>
    <row r="1648" spans="1:14" ht="11.25" customHeight="1" x14ac:dyDescent="0.25">
      <c r="A1648" s="615"/>
      <c r="B1648" s="616"/>
      <c r="C1648" s="617"/>
      <c r="D1648" s="617"/>
      <c r="E1648" s="617"/>
      <c r="F1648" s="1083"/>
      <c r="G1648" s="1084"/>
      <c r="H1648" s="1069"/>
      <c r="I1648" s="618"/>
      <c r="J1648" s="619"/>
      <c r="K1648" s="618"/>
      <c r="L1648" s="620"/>
      <c r="M1648" s="621"/>
      <c r="N1648" s="620"/>
    </row>
    <row r="1649" spans="1:14" ht="11.25" customHeight="1" x14ac:dyDescent="0.25">
      <c r="A1649" s="615"/>
      <c r="B1649" s="616"/>
      <c r="C1649" s="617"/>
      <c r="D1649" s="617"/>
      <c r="E1649" s="617"/>
      <c r="F1649" s="1083"/>
      <c r="G1649" s="1084"/>
      <c r="H1649" s="1069"/>
      <c r="I1649" s="618"/>
      <c r="J1649" s="619"/>
      <c r="K1649" s="618"/>
      <c r="L1649" s="620"/>
      <c r="M1649" s="621"/>
      <c r="N1649" s="620"/>
    </row>
    <row r="1650" spans="1:14" ht="11.25" customHeight="1" x14ac:dyDescent="0.25">
      <c r="A1650" s="615"/>
      <c r="B1650" s="616"/>
      <c r="C1650" s="617"/>
      <c r="D1650" s="617"/>
      <c r="E1650" s="617"/>
      <c r="F1650" s="1083"/>
      <c r="G1650" s="1084"/>
      <c r="H1650" s="1069"/>
      <c r="I1650" s="618"/>
      <c r="J1650" s="619"/>
      <c r="K1650" s="618"/>
      <c r="L1650" s="620"/>
      <c r="M1650" s="621"/>
      <c r="N1650" s="620"/>
    </row>
    <row r="1651" spans="1:14" ht="11.25" customHeight="1" x14ac:dyDescent="0.25">
      <c r="A1651" s="615"/>
      <c r="B1651" s="616"/>
      <c r="C1651" s="617"/>
      <c r="D1651" s="617"/>
      <c r="E1651" s="617"/>
      <c r="F1651" s="1083"/>
      <c r="G1651" s="1084"/>
      <c r="H1651" s="1069"/>
      <c r="I1651" s="618"/>
      <c r="J1651" s="619"/>
      <c r="K1651" s="618"/>
      <c r="L1651" s="620"/>
      <c r="M1651" s="621"/>
      <c r="N1651" s="620"/>
    </row>
    <row r="1652" spans="1:14" ht="11.25" customHeight="1" x14ac:dyDescent="0.25">
      <c r="A1652" s="615"/>
      <c r="B1652" s="616"/>
      <c r="C1652" s="617"/>
      <c r="D1652" s="617"/>
      <c r="E1652" s="617"/>
      <c r="F1652" s="1083"/>
      <c r="G1652" s="1084"/>
      <c r="H1652" s="1069"/>
      <c r="I1652" s="618"/>
      <c r="J1652" s="619"/>
      <c r="K1652" s="618"/>
      <c r="L1652" s="620"/>
      <c r="M1652" s="621"/>
      <c r="N1652" s="620"/>
    </row>
    <row r="1653" spans="1:14" ht="11.25" customHeight="1" x14ac:dyDescent="0.25">
      <c r="A1653" s="615"/>
      <c r="B1653" s="616"/>
      <c r="C1653" s="617"/>
      <c r="D1653" s="617"/>
      <c r="E1653" s="617"/>
      <c r="F1653" s="1083"/>
      <c r="G1653" s="1084"/>
      <c r="H1653" s="1069"/>
      <c r="I1653" s="618"/>
      <c r="J1653" s="619"/>
      <c r="K1653" s="618"/>
      <c r="L1653" s="620"/>
      <c r="M1653" s="621"/>
      <c r="N1653" s="620"/>
    </row>
    <row r="1654" spans="1:14" ht="11.25" customHeight="1" x14ac:dyDescent="0.25">
      <c r="A1654" s="615"/>
      <c r="B1654" s="616"/>
      <c r="C1654" s="617"/>
      <c r="D1654" s="617"/>
      <c r="E1654" s="617"/>
      <c r="F1654" s="1083"/>
      <c r="G1654" s="1084"/>
      <c r="H1654" s="1069"/>
      <c r="I1654" s="618"/>
      <c r="J1654" s="619"/>
      <c r="K1654" s="618"/>
      <c r="L1654" s="620"/>
      <c r="M1654" s="621"/>
      <c r="N1654" s="620"/>
    </row>
    <row r="1655" spans="1:14" ht="11.25" customHeight="1" x14ac:dyDescent="0.25">
      <c r="A1655" s="615"/>
      <c r="B1655" s="616"/>
      <c r="C1655" s="617"/>
      <c r="D1655" s="617"/>
      <c r="E1655" s="617"/>
      <c r="F1655" s="1083"/>
      <c r="G1655" s="1084"/>
      <c r="H1655" s="1069"/>
      <c r="I1655" s="618"/>
      <c r="J1655" s="619"/>
      <c r="K1655" s="618"/>
      <c r="L1655" s="620"/>
      <c r="M1655" s="621"/>
      <c r="N1655" s="620"/>
    </row>
    <row r="1656" spans="1:14" ht="11.25" customHeight="1" x14ac:dyDescent="0.25">
      <c r="A1656" s="615"/>
      <c r="B1656" s="616"/>
      <c r="C1656" s="617"/>
      <c r="D1656" s="617"/>
      <c r="E1656" s="617"/>
      <c r="F1656" s="1083"/>
      <c r="G1656" s="1084"/>
      <c r="H1656" s="1069"/>
      <c r="I1656" s="618"/>
      <c r="J1656" s="619"/>
      <c r="K1656" s="618"/>
      <c r="L1656" s="620"/>
      <c r="M1656" s="621"/>
      <c r="N1656" s="620"/>
    </row>
    <row r="1657" spans="1:14" ht="11.25" customHeight="1" x14ac:dyDescent="0.25">
      <c r="A1657" s="615"/>
      <c r="B1657" s="616"/>
      <c r="C1657" s="617"/>
      <c r="D1657" s="617"/>
      <c r="E1657" s="617"/>
      <c r="F1657" s="1083"/>
      <c r="G1657" s="1084"/>
      <c r="H1657" s="1069"/>
      <c r="I1657" s="618"/>
      <c r="J1657" s="619"/>
      <c r="K1657" s="618"/>
      <c r="L1657" s="620"/>
      <c r="M1657" s="621"/>
      <c r="N1657" s="620"/>
    </row>
    <row r="1658" spans="1:14" ht="11.25" customHeight="1" x14ac:dyDescent="0.25">
      <c r="A1658" s="615"/>
      <c r="B1658" s="616"/>
      <c r="C1658" s="617"/>
      <c r="D1658" s="617"/>
      <c r="E1658" s="617"/>
      <c r="F1658" s="1083"/>
      <c r="G1658" s="1084"/>
      <c r="H1658" s="1069"/>
      <c r="I1658" s="618"/>
      <c r="J1658" s="619"/>
      <c r="K1658" s="618"/>
      <c r="L1658" s="620"/>
      <c r="M1658" s="621"/>
      <c r="N1658" s="620"/>
    </row>
    <row r="1659" spans="1:14" ht="11.25" customHeight="1" x14ac:dyDescent="0.25">
      <c r="A1659" s="615"/>
      <c r="B1659" s="616"/>
      <c r="C1659" s="617"/>
      <c r="D1659" s="617"/>
      <c r="E1659" s="617"/>
      <c r="F1659" s="1083"/>
      <c r="G1659" s="1084"/>
      <c r="H1659" s="1069"/>
      <c r="I1659" s="618"/>
      <c r="J1659" s="619"/>
      <c r="K1659" s="618"/>
      <c r="L1659" s="620"/>
      <c r="M1659" s="621"/>
      <c r="N1659" s="620"/>
    </row>
    <row r="1660" spans="1:14" ht="11.25" customHeight="1" x14ac:dyDescent="0.25">
      <c r="A1660" s="615"/>
      <c r="B1660" s="616"/>
      <c r="C1660" s="617"/>
      <c r="D1660" s="617"/>
      <c r="E1660" s="617"/>
      <c r="F1660" s="1083"/>
      <c r="G1660" s="1084"/>
      <c r="H1660" s="1069"/>
      <c r="I1660" s="618"/>
      <c r="J1660" s="619"/>
      <c r="K1660" s="618"/>
      <c r="L1660" s="620"/>
      <c r="M1660" s="621"/>
      <c r="N1660" s="620"/>
    </row>
    <row r="1661" spans="1:14" ht="11.25" customHeight="1" x14ac:dyDescent="0.25">
      <c r="A1661" s="615"/>
      <c r="B1661" s="616"/>
      <c r="C1661" s="617"/>
      <c r="D1661" s="617"/>
      <c r="E1661" s="617"/>
      <c r="F1661" s="1083"/>
      <c r="G1661" s="1084"/>
      <c r="H1661" s="1069"/>
      <c r="I1661" s="618"/>
      <c r="J1661" s="619"/>
      <c r="K1661" s="618"/>
      <c r="L1661" s="620"/>
      <c r="M1661" s="621"/>
      <c r="N1661" s="620"/>
    </row>
    <row r="1662" spans="1:14" ht="11.25" customHeight="1" x14ac:dyDescent="0.25">
      <c r="A1662" s="615"/>
      <c r="B1662" s="616"/>
      <c r="C1662" s="617"/>
      <c r="D1662" s="617"/>
      <c r="E1662" s="617"/>
      <c r="F1662" s="1083"/>
      <c r="G1662" s="1084"/>
      <c r="H1662" s="1069"/>
      <c r="I1662" s="618"/>
      <c r="J1662" s="619"/>
      <c r="K1662" s="618"/>
      <c r="L1662" s="620"/>
      <c r="M1662" s="621"/>
      <c r="N1662" s="620"/>
    </row>
    <row r="1663" spans="1:14" ht="11.25" customHeight="1" x14ac:dyDescent="0.25">
      <c r="A1663" s="615"/>
      <c r="B1663" s="616"/>
      <c r="C1663" s="617"/>
      <c r="D1663" s="617"/>
      <c r="E1663" s="617"/>
      <c r="F1663" s="1083"/>
      <c r="G1663" s="1084"/>
      <c r="H1663" s="1069"/>
      <c r="I1663" s="618"/>
      <c r="J1663" s="619"/>
      <c r="K1663" s="618"/>
      <c r="L1663" s="620"/>
      <c r="M1663" s="621"/>
      <c r="N1663" s="620"/>
    </row>
    <row r="1664" spans="1:14" ht="11.25" customHeight="1" x14ac:dyDescent="0.25">
      <c r="A1664" s="615"/>
      <c r="B1664" s="616"/>
      <c r="C1664" s="617"/>
      <c r="D1664" s="617"/>
      <c r="E1664" s="617"/>
      <c r="F1664" s="1083"/>
      <c r="G1664" s="1084"/>
      <c r="H1664" s="1069"/>
      <c r="I1664" s="618"/>
      <c r="J1664" s="619"/>
      <c r="K1664" s="618"/>
      <c r="L1664" s="620"/>
      <c r="M1664" s="621"/>
      <c r="N1664" s="620"/>
    </row>
    <row r="1665" spans="1:14" ht="11.25" customHeight="1" x14ac:dyDescent="0.25">
      <c r="A1665" s="615"/>
      <c r="B1665" s="616"/>
      <c r="C1665" s="617"/>
      <c r="D1665" s="617"/>
      <c r="E1665" s="617"/>
      <c r="F1665" s="1083"/>
      <c r="G1665" s="1084"/>
      <c r="H1665" s="1069"/>
      <c r="I1665" s="618"/>
      <c r="J1665" s="619"/>
      <c r="K1665" s="618"/>
      <c r="L1665" s="620"/>
      <c r="M1665" s="621"/>
      <c r="N1665" s="620"/>
    </row>
    <row r="1666" spans="1:14" ht="11.25" customHeight="1" x14ac:dyDescent="0.25">
      <c r="A1666" s="615"/>
      <c r="B1666" s="616"/>
      <c r="C1666" s="617"/>
      <c r="D1666" s="617"/>
      <c r="E1666" s="617"/>
      <c r="F1666" s="1083"/>
      <c r="G1666" s="1084"/>
      <c r="H1666" s="1069"/>
      <c r="I1666" s="618"/>
      <c r="J1666" s="619"/>
      <c r="K1666" s="618"/>
      <c r="L1666" s="620"/>
      <c r="M1666" s="621"/>
      <c r="N1666" s="620"/>
    </row>
    <row r="1667" spans="1:14" ht="11.25" customHeight="1" x14ac:dyDescent="0.25">
      <c r="A1667" s="615"/>
      <c r="B1667" s="616"/>
      <c r="C1667" s="617"/>
      <c r="D1667" s="617"/>
      <c r="E1667" s="617"/>
      <c r="F1667" s="1083"/>
      <c r="G1667" s="1084"/>
      <c r="H1667" s="1069"/>
      <c r="I1667" s="618"/>
      <c r="J1667" s="619"/>
      <c r="K1667" s="618"/>
      <c r="L1667" s="620"/>
      <c r="M1667" s="621"/>
      <c r="N1667" s="620"/>
    </row>
    <row r="1668" spans="1:14" ht="11.25" customHeight="1" x14ac:dyDescent="0.25">
      <c r="A1668" s="615"/>
      <c r="B1668" s="616"/>
      <c r="C1668" s="617"/>
      <c r="D1668" s="617"/>
      <c r="E1668" s="617"/>
      <c r="F1668" s="1083"/>
      <c r="G1668" s="1084"/>
      <c r="H1668" s="1069"/>
      <c r="I1668" s="618"/>
      <c r="J1668" s="619"/>
      <c r="K1668" s="618"/>
      <c r="L1668" s="620"/>
      <c r="M1668" s="621"/>
      <c r="N1668" s="620"/>
    </row>
    <row r="1669" spans="1:14" ht="11.25" customHeight="1" x14ac:dyDescent="0.25">
      <c r="A1669" s="615"/>
      <c r="B1669" s="616"/>
      <c r="C1669" s="617"/>
      <c r="D1669" s="617"/>
      <c r="E1669" s="617"/>
      <c r="F1669" s="1083"/>
      <c r="G1669" s="1084"/>
      <c r="H1669" s="1069"/>
      <c r="I1669" s="618"/>
      <c r="J1669" s="619"/>
      <c r="K1669" s="618"/>
      <c r="L1669" s="620"/>
      <c r="M1669" s="621"/>
      <c r="N1669" s="620"/>
    </row>
    <row r="1670" spans="1:14" ht="11.25" customHeight="1" x14ac:dyDescent="0.25">
      <c r="A1670" s="615"/>
      <c r="B1670" s="616"/>
      <c r="C1670" s="617"/>
      <c r="D1670" s="617"/>
      <c r="E1670" s="617"/>
      <c r="F1670" s="1083"/>
      <c r="G1670" s="1084"/>
      <c r="H1670" s="1069"/>
      <c r="I1670" s="618"/>
      <c r="J1670" s="619"/>
      <c r="K1670" s="618"/>
      <c r="L1670" s="620"/>
      <c r="M1670" s="621"/>
      <c r="N1670" s="620"/>
    </row>
    <row r="1671" spans="1:14" ht="11.25" customHeight="1" x14ac:dyDescent="0.25">
      <c r="A1671" s="615"/>
      <c r="B1671" s="616"/>
      <c r="C1671" s="617"/>
      <c r="D1671" s="617"/>
      <c r="E1671" s="617"/>
      <c r="F1671" s="1083"/>
      <c r="G1671" s="1084"/>
      <c r="H1671" s="1069"/>
      <c r="I1671" s="618"/>
      <c r="J1671" s="619"/>
      <c r="K1671" s="618"/>
      <c r="L1671" s="620"/>
      <c r="M1671" s="621"/>
      <c r="N1671" s="620"/>
    </row>
    <row r="1672" spans="1:14" ht="11.25" customHeight="1" x14ac:dyDescent="0.25">
      <c r="A1672" s="615"/>
      <c r="B1672" s="616"/>
      <c r="C1672" s="617"/>
      <c r="D1672" s="617"/>
      <c r="E1672" s="617"/>
      <c r="F1672" s="1083"/>
      <c r="G1672" s="1084"/>
      <c r="H1672" s="1069"/>
      <c r="I1672" s="618"/>
      <c r="J1672" s="619"/>
      <c r="K1672" s="618"/>
      <c r="L1672" s="620"/>
      <c r="M1672" s="621"/>
      <c r="N1672" s="620"/>
    </row>
    <row r="1673" spans="1:14" ht="11.25" customHeight="1" x14ac:dyDescent="0.25">
      <c r="A1673" s="615"/>
      <c r="B1673" s="616"/>
      <c r="C1673" s="617"/>
      <c r="D1673" s="617"/>
      <c r="E1673" s="617"/>
      <c r="F1673" s="1083"/>
      <c r="G1673" s="1084"/>
      <c r="H1673" s="1069"/>
      <c r="I1673" s="618"/>
      <c r="J1673" s="619"/>
      <c r="K1673" s="618"/>
      <c r="L1673" s="620"/>
      <c r="M1673" s="621"/>
      <c r="N1673" s="620"/>
    </row>
    <row r="1674" spans="1:14" ht="11.25" customHeight="1" x14ac:dyDescent="0.25">
      <c r="A1674" s="615"/>
      <c r="B1674" s="616"/>
      <c r="C1674" s="617"/>
      <c r="D1674" s="617"/>
      <c r="E1674" s="617"/>
      <c r="F1674" s="1083"/>
      <c r="G1674" s="1084"/>
      <c r="H1674" s="1069"/>
      <c r="I1674" s="618"/>
      <c r="J1674" s="619"/>
      <c r="K1674" s="618"/>
      <c r="L1674" s="620"/>
      <c r="M1674" s="621"/>
      <c r="N1674" s="620"/>
    </row>
    <row r="1675" spans="1:14" ht="11.25" customHeight="1" x14ac:dyDescent="0.25">
      <c r="A1675" s="615"/>
      <c r="B1675" s="616"/>
      <c r="C1675" s="617"/>
      <c r="D1675" s="617"/>
      <c r="E1675" s="617"/>
      <c r="F1675" s="1083"/>
      <c r="G1675" s="1084"/>
      <c r="H1675" s="1069"/>
      <c r="I1675" s="618"/>
      <c r="J1675" s="619"/>
      <c r="K1675" s="618"/>
      <c r="L1675" s="620"/>
      <c r="M1675" s="621"/>
      <c r="N1675" s="620"/>
    </row>
    <row r="1676" spans="1:14" ht="11.25" customHeight="1" x14ac:dyDescent="0.25">
      <c r="A1676" s="615"/>
      <c r="B1676" s="616"/>
      <c r="C1676" s="617"/>
      <c r="D1676" s="617"/>
      <c r="E1676" s="617"/>
      <c r="F1676" s="1083"/>
      <c r="G1676" s="1084"/>
      <c r="H1676" s="1069"/>
      <c r="I1676" s="618"/>
      <c r="J1676" s="619"/>
      <c r="K1676" s="618"/>
      <c r="L1676" s="620"/>
      <c r="M1676" s="621"/>
      <c r="N1676" s="620"/>
    </row>
    <row r="1677" spans="1:14" ht="11.25" customHeight="1" x14ac:dyDescent="0.25">
      <c r="A1677" s="615"/>
      <c r="B1677" s="616"/>
      <c r="C1677" s="617"/>
      <c r="D1677" s="617"/>
      <c r="E1677" s="617"/>
      <c r="F1677" s="1083"/>
      <c r="G1677" s="1084"/>
      <c r="H1677" s="1069"/>
      <c r="I1677" s="618"/>
      <c r="J1677" s="619"/>
      <c r="K1677" s="618"/>
      <c r="L1677" s="620"/>
      <c r="M1677" s="621"/>
      <c r="N1677" s="620"/>
    </row>
    <row r="1678" spans="1:14" ht="11.25" customHeight="1" x14ac:dyDescent="0.25">
      <c r="A1678" s="615"/>
      <c r="B1678" s="616"/>
      <c r="C1678" s="617"/>
      <c r="D1678" s="617"/>
      <c r="E1678" s="617"/>
      <c r="F1678" s="1083"/>
      <c r="G1678" s="1084"/>
      <c r="H1678" s="1069"/>
      <c r="I1678" s="618"/>
      <c r="J1678" s="619"/>
      <c r="K1678" s="618"/>
      <c r="L1678" s="620"/>
      <c r="M1678" s="621"/>
      <c r="N1678" s="620"/>
    </row>
    <row r="1679" spans="1:14" ht="11.25" customHeight="1" x14ac:dyDescent="0.25">
      <c r="A1679" s="615"/>
      <c r="B1679" s="616"/>
      <c r="C1679" s="617"/>
      <c r="D1679" s="617"/>
      <c r="E1679" s="617"/>
      <c r="F1679" s="1083"/>
      <c r="G1679" s="1084"/>
      <c r="H1679" s="1069"/>
      <c r="I1679" s="618"/>
      <c r="J1679" s="619"/>
      <c r="K1679" s="618"/>
      <c r="L1679" s="620"/>
      <c r="M1679" s="621"/>
      <c r="N1679" s="620"/>
    </row>
    <row r="1680" spans="1:14" ht="11.25" customHeight="1" x14ac:dyDescent="0.25">
      <c r="A1680" s="615"/>
      <c r="B1680" s="616"/>
      <c r="C1680" s="617"/>
      <c r="D1680" s="617"/>
      <c r="E1680" s="617"/>
      <c r="F1680" s="1083"/>
      <c r="G1680" s="1084"/>
      <c r="H1680" s="1069"/>
      <c r="I1680" s="618"/>
      <c r="J1680" s="619"/>
      <c r="K1680" s="618"/>
      <c r="L1680" s="620"/>
      <c r="M1680" s="621"/>
      <c r="N1680" s="620"/>
    </row>
    <row r="1681" spans="1:14" ht="11.25" customHeight="1" x14ac:dyDescent="0.25">
      <c r="A1681" s="615"/>
      <c r="B1681" s="616"/>
      <c r="C1681" s="617"/>
      <c r="D1681" s="617"/>
      <c r="E1681" s="617"/>
      <c r="F1681" s="1083"/>
      <c r="G1681" s="1084"/>
      <c r="H1681" s="1069"/>
      <c r="I1681" s="618"/>
      <c r="J1681" s="619"/>
      <c r="K1681" s="618"/>
      <c r="L1681" s="620"/>
      <c r="M1681" s="621"/>
      <c r="N1681" s="620"/>
    </row>
    <row r="1682" spans="1:14" ht="11.25" customHeight="1" x14ac:dyDescent="0.25">
      <c r="A1682" s="615"/>
      <c r="B1682" s="616"/>
      <c r="C1682" s="617"/>
      <c r="D1682" s="617"/>
      <c r="E1682" s="617"/>
      <c r="F1682" s="1083"/>
      <c r="G1682" s="1084"/>
      <c r="H1682" s="1069"/>
      <c r="I1682" s="618"/>
      <c r="J1682" s="619"/>
      <c r="K1682" s="618"/>
      <c r="L1682" s="620"/>
      <c r="M1682" s="621"/>
      <c r="N1682" s="620"/>
    </row>
    <row r="1683" spans="1:14" ht="11.25" customHeight="1" x14ac:dyDescent="0.25">
      <c r="A1683" s="615"/>
      <c r="B1683" s="616"/>
      <c r="C1683" s="617"/>
      <c r="D1683" s="617"/>
      <c r="E1683" s="617"/>
      <c r="F1683" s="1083"/>
      <c r="G1683" s="1084"/>
      <c r="H1683" s="1069"/>
      <c r="I1683" s="618"/>
      <c r="J1683" s="619"/>
      <c r="K1683" s="618"/>
      <c r="L1683" s="620"/>
      <c r="M1683" s="621"/>
      <c r="N1683" s="620"/>
    </row>
    <row r="1684" spans="1:14" ht="11.25" customHeight="1" x14ac:dyDescent="0.25">
      <c r="A1684" s="615"/>
      <c r="B1684" s="616"/>
      <c r="C1684" s="617"/>
      <c r="D1684" s="617"/>
      <c r="E1684" s="617"/>
      <c r="F1684" s="1083"/>
      <c r="G1684" s="1084"/>
      <c r="H1684" s="1069"/>
      <c r="I1684" s="618"/>
      <c r="J1684" s="619"/>
      <c r="K1684" s="618"/>
      <c r="L1684" s="620"/>
      <c r="M1684" s="621"/>
      <c r="N1684" s="620"/>
    </row>
    <row r="1685" spans="1:14" ht="11.25" customHeight="1" x14ac:dyDescent="0.25">
      <c r="A1685" s="615"/>
      <c r="B1685" s="616"/>
      <c r="C1685" s="617"/>
      <c r="D1685" s="617"/>
      <c r="E1685" s="617"/>
      <c r="F1685" s="1083"/>
      <c r="G1685" s="1084"/>
      <c r="H1685" s="1069"/>
      <c r="I1685" s="618"/>
      <c r="J1685" s="619"/>
      <c r="K1685" s="618"/>
      <c r="L1685" s="620"/>
      <c r="M1685" s="621"/>
      <c r="N1685" s="620"/>
    </row>
    <row r="1686" spans="1:14" ht="11.25" customHeight="1" x14ac:dyDescent="0.25">
      <c r="A1686" s="615"/>
      <c r="B1686" s="616"/>
      <c r="C1686" s="617"/>
      <c r="D1686" s="617"/>
      <c r="E1686" s="617"/>
      <c r="F1686" s="1083"/>
      <c r="G1686" s="1084"/>
      <c r="H1686" s="1069"/>
      <c r="I1686" s="618"/>
      <c r="J1686" s="619"/>
      <c r="K1686" s="618"/>
      <c r="L1686" s="620"/>
      <c r="M1686" s="621"/>
      <c r="N1686" s="620"/>
    </row>
    <row r="1687" spans="1:14" ht="11.25" customHeight="1" x14ac:dyDescent="0.25">
      <c r="A1687" s="615"/>
      <c r="B1687" s="616"/>
      <c r="C1687" s="617"/>
      <c r="D1687" s="617"/>
      <c r="E1687" s="617"/>
      <c r="F1687" s="1083"/>
      <c r="G1687" s="1084"/>
      <c r="H1687" s="1069"/>
      <c r="I1687" s="618"/>
      <c r="J1687" s="619"/>
      <c r="K1687" s="618"/>
      <c r="L1687" s="620"/>
      <c r="M1687" s="621"/>
      <c r="N1687" s="620"/>
    </row>
    <row r="1688" spans="1:14" ht="11.25" customHeight="1" x14ac:dyDescent="0.25">
      <c r="A1688" s="615"/>
      <c r="B1688" s="616"/>
      <c r="C1688" s="617"/>
      <c r="D1688" s="617"/>
      <c r="E1688" s="617"/>
      <c r="F1688" s="1083"/>
      <c r="G1688" s="1084"/>
      <c r="H1688" s="1069"/>
      <c r="I1688" s="618"/>
      <c r="J1688" s="619"/>
      <c r="K1688" s="618"/>
      <c r="L1688" s="620"/>
      <c r="M1688" s="621"/>
      <c r="N1688" s="620"/>
    </row>
    <row r="1689" spans="1:14" ht="11.25" customHeight="1" x14ac:dyDescent="0.25">
      <c r="A1689" s="615"/>
      <c r="B1689" s="616"/>
      <c r="C1689" s="617"/>
      <c r="D1689" s="617"/>
      <c r="E1689" s="617"/>
      <c r="F1689" s="1083"/>
      <c r="G1689" s="1084"/>
      <c r="H1689" s="1069"/>
      <c r="I1689" s="618"/>
      <c r="J1689" s="619"/>
      <c r="K1689" s="618"/>
      <c r="L1689" s="620"/>
      <c r="M1689" s="621"/>
      <c r="N1689" s="620"/>
    </row>
    <row r="1690" spans="1:14" ht="11.25" customHeight="1" x14ac:dyDescent="0.25">
      <c r="A1690" s="615"/>
      <c r="B1690" s="616"/>
      <c r="C1690" s="617"/>
      <c r="D1690" s="617"/>
      <c r="E1690" s="617"/>
      <c r="F1690" s="1083"/>
      <c r="G1690" s="1084"/>
      <c r="H1690" s="1069"/>
      <c r="I1690" s="618"/>
      <c r="J1690" s="619"/>
      <c r="K1690" s="618"/>
      <c r="L1690" s="620"/>
      <c r="M1690" s="621"/>
      <c r="N1690" s="620"/>
    </row>
    <row r="1691" spans="1:14" ht="11.25" customHeight="1" x14ac:dyDescent="0.25">
      <c r="A1691" s="615"/>
      <c r="B1691" s="616"/>
      <c r="C1691" s="617"/>
      <c r="D1691" s="617"/>
      <c r="E1691" s="617"/>
      <c r="F1691" s="1083"/>
      <c r="G1691" s="1084"/>
      <c r="H1691" s="1069"/>
      <c r="I1691" s="618"/>
      <c r="J1691" s="619"/>
      <c r="K1691" s="618"/>
      <c r="L1691" s="620"/>
      <c r="M1691" s="621"/>
      <c r="N1691" s="620"/>
    </row>
    <row r="1692" spans="1:14" ht="11.25" customHeight="1" x14ac:dyDescent="0.25">
      <c r="A1692" s="615"/>
      <c r="B1692" s="616"/>
      <c r="C1692" s="617"/>
      <c r="D1692" s="617"/>
      <c r="E1692" s="617"/>
      <c r="F1692" s="1083"/>
      <c r="G1692" s="1084"/>
      <c r="H1692" s="1069"/>
      <c r="I1692" s="618"/>
      <c r="J1692" s="619"/>
      <c r="K1692" s="618"/>
      <c r="L1692" s="620"/>
      <c r="M1692" s="621"/>
      <c r="N1692" s="620"/>
    </row>
    <row r="1693" spans="1:14" ht="11.25" customHeight="1" x14ac:dyDescent="0.25">
      <c r="A1693" s="615"/>
      <c r="B1693" s="616"/>
      <c r="C1693" s="617"/>
      <c r="D1693" s="617"/>
      <c r="E1693" s="617"/>
      <c r="F1693" s="1083"/>
      <c r="G1693" s="1084"/>
      <c r="H1693" s="1069"/>
      <c r="I1693" s="618"/>
      <c r="J1693" s="619"/>
      <c r="K1693" s="618"/>
      <c r="L1693" s="620"/>
      <c r="M1693" s="621"/>
      <c r="N1693" s="620"/>
    </row>
    <row r="1694" spans="1:14" ht="11.25" customHeight="1" x14ac:dyDescent="0.25">
      <c r="A1694" s="615"/>
      <c r="B1694" s="616"/>
      <c r="C1694" s="617"/>
      <c r="D1694" s="617"/>
      <c r="E1694" s="617"/>
      <c r="F1694" s="1083"/>
      <c r="G1694" s="1084"/>
      <c r="H1694" s="1069"/>
      <c r="I1694" s="618"/>
      <c r="J1694" s="619"/>
      <c r="K1694" s="618"/>
      <c r="L1694" s="620"/>
      <c r="M1694" s="621"/>
      <c r="N1694" s="620"/>
    </row>
    <row r="1695" spans="1:14" ht="11.25" customHeight="1" x14ac:dyDescent="0.25">
      <c r="A1695" s="615"/>
      <c r="B1695" s="616"/>
      <c r="C1695" s="617"/>
      <c r="D1695" s="617"/>
      <c r="E1695" s="617"/>
      <c r="F1695" s="1083"/>
      <c r="G1695" s="1084"/>
      <c r="H1695" s="1069"/>
      <c r="I1695" s="618"/>
      <c r="J1695" s="619"/>
      <c r="K1695" s="618"/>
      <c r="L1695" s="620"/>
      <c r="M1695" s="621"/>
      <c r="N1695" s="620"/>
    </row>
    <row r="1696" spans="1:14" ht="11.25" customHeight="1" x14ac:dyDescent="0.25">
      <c r="A1696" s="615"/>
      <c r="B1696" s="616"/>
      <c r="C1696" s="617"/>
      <c r="D1696" s="617"/>
      <c r="E1696" s="617"/>
      <c r="F1696" s="1083"/>
      <c r="G1696" s="1084"/>
      <c r="H1696" s="1069"/>
      <c r="I1696" s="618"/>
      <c r="J1696" s="619"/>
      <c r="K1696" s="618"/>
      <c r="L1696" s="620"/>
      <c r="M1696" s="621"/>
      <c r="N1696" s="620"/>
    </row>
    <row r="1697" spans="1:14" ht="11.25" customHeight="1" x14ac:dyDescent="0.25">
      <c r="A1697" s="615"/>
      <c r="B1697" s="616"/>
      <c r="C1697" s="617"/>
      <c r="D1697" s="617"/>
      <c r="E1697" s="617"/>
      <c r="F1697" s="1083"/>
      <c r="G1697" s="1084"/>
      <c r="H1697" s="1069"/>
      <c r="I1697" s="618"/>
      <c r="J1697" s="619"/>
      <c r="K1697" s="618"/>
      <c r="L1697" s="620"/>
      <c r="M1697" s="621"/>
      <c r="N1697" s="620"/>
    </row>
    <row r="1698" spans="1:14" ht="11.25" customHeight="1" x14ac:dyDescent="0.25">
      <c r="A1698" s="615"/>
      <c r="B1698" s="616"/>
      <c r="C1698" s="617"/>
      <c r="D1698" s="617"/>
      <c r="E1698" s="617"/>
      <c r="F1698" s="1083"/>
      <c r="G1698" s="1084"/>
      <c r="H1698" s="1069"/>
      <c r="I1698" s="618"/>
      <c r="J1698" s="619"/>
      <c r="K1698" s="618"/>
      <c r="L1698" s="620"/>
      <c r="M1698" s="621"/>
      <c r="N1698" s="620"/>
    </row>
    <row r="1699" spans="1:14" ht="11.25" customHeight="1" x14ac:dyDescent="0.25">
      <c r="A1699" s="615"/>
      <c r="B1699" s="616"/>
      <c r="C1699" s="617"/>
      <c r="D1699" s="617"/>
      <c r="E1699" s="617"/>
      <c r="F1699" s="1083"/>
      <c r="G1699" s="1084"/>
      <c r="H1699" s="1069"/>
      <c r="I1699" s="618"/>
      <c r="J1699" s="619"/>
      <c r="K1699" s="618"/>
      <c r="L1699" s="620"/>
      <c r="M1699" s="621"/>
      <c r="N1699" s="620"/>
    </row>
    <row r="1700" spans="1:14" ht="11.25" customHeight="1" x14ac:dyDescent="0.25">
      <c r="A1700" s="615"/>
      <c r="B1700" s="616"/>
      <c r="C1700" s="617"/>
      <c r="D1700" s="617"/>
      <c r="E1700" s="617"/>
      <c r="F1700" s="1083"/>
      <c r="G1700" s="1084"/>
      <c r="H1700" s="1069"/>
      <c r="I1700" s="618"/>
      <c r="J1700" s="619"/>
      <c r="K1700" s="618"/>
      <c r="L1700" s="620"/>
      <c r="M1700" s="621"/>
      <c r="N1700" s="620"/>
    </row>
    <row r="1701" spans="1:14" ht="11.25" customHeight="1" x14ac:dyDescent="0.25">
      <c r="A1701" s="615"/>
      <c r="B1701" s="616"/>
      <c r="C1701" s="617"/>
      <c r="D1701" s="617"/>
      <c r="E1701" s="617"/>
      <c r="F1701" s="1083"/>
      <c r="G1701" s="1084"/>
      <c r="H1701" s="1069"/>
      <c r="I1701" s="618"/>
      <c r="J1701" s="619"/>
      <c r="K1701" s="618"/>
      <c r="L1701" s="620"/>
      <c r="M1701" s="621"/>
      <c r="N1701" s="620"/>
    </row>
    <row r="1702" spans="1:14" ht="11.25" customHeight="1" x14ac:dyDescent="0.25">
      <c r="A1702" s="615"/>
      <c r="B1702" s="616"/>
      <c r="C1702" s="617"/>
      <c r="D1702" s="617"/>
      <c r="E1702" s="617"/>
      <c r="F1702" s="1083"/>
      <c r="G1702" s="1084"/>
      <c r="H1702" s="1069"/>
      <c r="I1702" s="618"/>
      <c r="J1702" s="619"/>
      <c r="K1702" s="618"/>
      <c r="L1702" s="620"/>
      <c r="M1702" s="621"/>
      <c r="N1702" s="620"/>
    </row>
    <row r="1703" spans="1:14" ht="11.25" customHeight="1" x14ac:dyDescent="0.25">
      <c r="A1703" s="615"/>
      <c r="B1703" s="616"/>
      <c r="C1703" s="617"/>
      <c r="D1703" s="617"/>
      <c r="E1703" s="617"/>
      <c r="F1703" s="1083"/>
      <c r="G1703" s="1084"/>
      <c r="H1703" s="1069"/>
      <c r="I1703" s="618"/>
      <c r="J1703" s="619"/>
      <c r="K1703" s="618"/>
      <c r="L1703" s="620"/>
      <c r="M1703" s="621"/>
      <c r="N1703" s="620"/>
    </row>
    <row r="1704" spans="1:14" ht="11.25" customHeight="1" x14ac:dyDescent="0.25">
      <c r="A1704" s="615"/>
      <c r="B1704" s="616"/>
      <c r="C1704" s="617"/>
      <c r="D1704" s="617"/>
      <c r="E1704" s="617"/>
      <c r="F1704" s="1083"/>
      <c r="G1704" s="1084"/>
      <c r="H1704" s="1069"/>
      <c r="I1704" s="618"/>
      <c r="J1704" s="619"/>
      <c r="K1704" s="618"/>
      <c r="L1704" s="620"/>
      <c r="M1704" s="621"/>
      <c r="N1704" s="620"/>
    </row>
    <row r="1705" spans="1:14" ht="11.25" customHeight="1" x14ac:dyDescent="0.25">
      <c r="A1705" s="615"/>
      <c r="B1705" s="616"/>
      <c r="C1705" s="617"/>
      <c r="D1705" s="617"/>
      <c r="E1705" s="617"/>
      <c r="F1705" s="1083"/>
      <c r="G1705" s="1084"/>
      <c r="H1705" s="1069"/>
      <c r="I1705" s="618"/>
      <c r="J1705" s="619"/>
      <c r="K1705" s="618"/>
      <c r="L1705" s="620"/>
      <c r="M1705" s="621"/>
      <c r="N1705" s="620"/>
    </row>
    <row r="1706" spans="1:14" ht="11.25" customHeight="1" x14ac:dyDescent="0.25">
      <c r="A1706" s="615"/>
      <c r="B1706" s="616"/>
      <c r="C1706" s="617"/>
      <c r="D1706" s="617"/>
      <c r="E1706" s="617"/>
      <c r="F1706" s="1083"/>
      <c r="G1706" s="1084"/>
      <c r="H1706" s="1069"/>
      <c r="I1706" s="618"/>
      <c r="J1706" s="619"/>
      <c r="K1706" s="618"/>
      <c r="L1706" s="620"/>
      <c r="M1706" s="621"/>
      <c r="N1706" s="620"/>
    </row>
    <row r="1707" spans="1:14" ht="11.25" customHeight="1" x14ac:dyDescent="0.25">
      <c r="A1707" s="615"/>
      <c r="B1707" s="616"/>
      <c r="C1707" s="617"/>
      <c r="D1707" s="617"/>
      <c r="E1707" s="617"/>
      <c r="F1707" s="1083"/>
      <c r="G1707" s="1084"/>
      <c r="H1707" s="1069"/>
      <c r="I1707" s="618"/>
      <c r="J1707" s="619"/>
      <c r="K1707" s="618"/>
      <c r="L1707" s="620"/>
      <c r="M1707" s="621"/>
      <c r="N1707" s="620"/>
    </row>
    <row r="1708" spans="1:14" ht="11.25" customHeight="1" x14ac:dyDescent="0.25">
      <c r="A1708" s="615"/>
      <c r="B1708" s="616"/>
      <c r="C1708" s="617"/>
      <c r="D1708" s="617"/>
      <c r="E1708" s="617"/>
      <c r="F1708" s="1083"/>
      <c r="G1708" s="1084"/>
      <c r="H1708" s="1069"/>
      <c r="I1708" s="618"/>
      <c r="J1708" s="619"/>
      <c r="K1708" s="618"/>
      <c r="L1708" s="620"/>
      <c r="M1708" s="621"/>
      <c r="N1708" s="620"/>
    </row>
    <row r="1709" spans="1:14" ht="11.25" customHeight="1" x14ac:dyDescent="0.25">
      <c r="A1709" s="615"/>
      <c r="B1709" s="616"/>
      <c r="C1709" s="617"/>
      <c r="D1709" s="617"/>
      <c r="E1709" s="617"/>
      <c r="F1709" s="1083"/>
      <c r="G1709" s="1084"/>
      <c r="H1709" s="1069"/>
      <c r="I1709" s="618"/>
      <c r="J1709" s="619"/>
      <c r="K1709" s="618"/>
      <c r="L1709" s="620"/>
      <c r="M1709" s="621"/>
      <c r="N1709" s="620"/>
    </row>
    <row r="1710" spans="1:14" ht="11.25" customHeight="1" x14ac:dyDescent="0.25">
      <c r="A1710" s="615"/>
      <c r="B1710" s="616"/>
      <c r="C1710" s="617"/>
      <c r="D1710" s="617"/>
      <c r="E1710" s="617"/>
      <c r="F1710" s="1083"/>
      <c r="G1710" s="1084"/>
      <c r="H1710" s="1069"/>
      <c r="I1710" s="618"/>
      <c r="J1710" s="619"/>
      <c r="K1710" s="618"/>
      <c r="L1710" s="620"/>
      <c r="M1710" s="621"/>
      <c r="N1710" s="620"/>
    </row>
    <row r="1711" spans="1:14" ht="11.25" customHeight="1" x14ac:dyDescent="0.25">
      <c r="A1711" s="615"/>
      <c r="B1711" s="616"/>
      <c r="C1711" s="617"/>
      <c r="D1711" s="617"/>
      <c r="E1711" s="617"/>
      <c r="F1711" s="1083"/>
      <c r="G1711" s="1084"/>
      <c r="H1711" s="1069"/>
      <c r="I1711" s="618"/>
      <c r="J1711" s="619"/>
      <c r="K1711" s="618"/>
      <c r="L1711" s="620"/>
      <c r="M1711" s="621"/>
      <c r="N1711" s="620"/>
    </row>
    <row r="1712" spans="1:14" ht="11.25" customHeight="1" x14ac:dyDescent="0.25">
      <c r="A1712" s="615"/>
      <c r="B1712" s="616"/>
      <c r="C1712" s="617"/>
      <c r="D1712" s="617"/>
      <c r="E1712" s="617"/>
      <c r="F1712" s="1083"/>
      <c r="G1712" s="1084"/>
      <c r="H1712" s="1069"/>
      <c r="I1712" s="618"/>
      <c r="J1712" s="619"/>
      <c r="K1712" s="618"/>
      <c r="L1712" s="620"/>
      <c r="M1712" s="621"/>
      <c r="N1712" s="620"/>
    </row>
    <row r="1713" spans="1:14" ht="11.25" customHeight="1" x14ac:dyDescent="0.25">
      <c r="A1713" s="615"/>
      <c r="B1713" s="616"/>
      <c r="C1713" s="617"/>
      <c r="D1713" s="617"/>
      <c r="E1713" s="617"/>
      <c r="F1713" s="1083"/>
      <c r="G1713" s="1084"/>
      <c r="H1713" s="1069"/>
      <c r="I1713" s="618"/>
      <c r="J1713" s="619"/>
      <c r="K1713" s="618"/>
      <c r="L1713" s="620"/>
      <c r="M1713" s="621"/>
      <c r="N1713" s="620"/>
    </row>
    <row r="1714" spans="1:14" ht="11.25" customHeight="1" x14ac:dyDescent="0.25">
      <c r="A1714" s="615"/>
      <c r="B1714" s="616"/>
      <c r="C1714" s="617"/>
      <c r="D1714" s="617"/>
      <c r="E1714" s="617"/>
      <c r="F1714" s="1083"/>
      <c r="G1714" s="1084"/>
      <c r="H1714" s="1069"/>
      <c r="I1714" s="618"/>
      <c r="J1714" s="619"/>
      <c r="K1714" s="618"/>
      <c r="L1714" s="620"/>
      <c r="M1714" s="621"/>
      <c r="N1714" s="620"/>
    </row>
    <row r="1715" spans="1:14" ht="11.25" customHeight="1" x14ac:dyDescent="0.25">
      <c r="A1715" s="615"/>
      <c r="B1715" s="616"/>
      <c r="C1715" s="617"/>
      <c r="D1715" s="617"/>
      <c r="E1715" s="617"/>
      <c r="F1715" s="1083"/>
      <c r="G1715" s="1084"/>
      <c r="H1715" s="1069"/>
      <c r="I1715" s="618"/>
      <c r="J1715" s="619"/>
      <c r="K1715" s="618"/>
      <c r="L1715" s="620"/>
      <c r="M1715" s="621"/>
      <c r="N1715" s="620"/>
    </row>
    <row r="1716" spans="1:14" ht="11.25" customHeight="1" x14ac:dyDescent="0.25">
      <c r="A1716" s="615"/>
      <c r="B1716" s="616"/>
      <c r="C1716" s="617"/>
      <c r="D1716" s="617"/>
      <c r="E1716" s="617"/>
      <c r="F1716" s="1083"/>
      <c r="G1716" s="1084"/>
      <c r="H1716" s="1069"/>
      <c r="I1716" s="618"/>
      <c r="J1716" s="619"/>
      <c r="K1716" s="618"/>
      <c r="L1716" s="620"/>
      <c r="M1716" s="621"/>
      <c r="N1716" s="620"/>
    </row>
    <row r="1717" spans="1:14" ht="11.25" customHeight="1" x14ac:dyDescent="0.25">
      <c r="A1717" s="615"/>
      <c r="B1717" s="616"/>
      <c r="C1717" s="617"/>
      <c r="D1717" s="617"/>
      <c r="E1717" s="617"/>
      <c r="F1717" s="1083"/>
      <c r="G1717" s="1084"/>
      <c r="H1717" s="1069"/>
      <c r="I1717" s="618"/>
      <c r="J1717" s="619"/>
      <c r="K1717" s="618"/>
      <c r="L1717" s="620"/>
      <c r="M1717" s="621"/>
      <c r="N1717" s="620"/>
    </row>
    <row r="1718" spans="1:14" ht="11.25" customHeight="1" x14ac:dyDescent="0.25">
      <c r="A1718" s="615"/>
      <c r="B1718" s="616"/>
      <c r="C1718" s="617"/>
      <c r="D1718" s="617"/>
      <c r="E1718" s="617"/>
      <c r="F1718" s="1083"/>
      <c r="G1718" s="1084"/>
      <c r="H1718" s="1069"/>
      <c r="I1718" s="618"/>
      <c r="J1718" s="619"/>
      <c r="K1718" s="618"/>
      <c r="L1718" s="620"/>
      <c r="M1718" s="621"/>
      <c r="N1718" s="620"/>
    </row>
    <row r="1719" spans="1:14" ht="11.25" customHeight="1" x14ac:dyDescent="0.25">
      <c r="A1719" s="615"/>
      <c r="B1719" s="616"/>
      <c r="C1719" s="617"/>
      <c r="D1719" s="617"/>
      <c r="E1719" s="617"/>
      <c r="F1719" s="1083"/>
      <c r="G1719" s="1084"/>
      <c r="H1719" s="1069"/>
      <c r="I1719" s="618"/>
      <c r="J1719" s="619"/>
      <c r="K1719" s="618"/>
      <c r="L1719" s="620"/>
      <c r="M1719" s="621"/>
      <c r="N1719" s="620"/>
    </row>
    <row r="1720" spans="1:14" ht="11.25" customHeight="1" x14ac:dyDescent="0.25">
      <c r="A1720" s="615"/>
      <c r="B1720" s="616"/>
      <c r="C1720" s="617"/>
      <c r="D1720" s="617"/>
      <c r="E1720" s="617"/>
      <c r="F1720" s="1083"/>
      <c r="G1720" s="1084"/>
      <c r="H1720" s="1069"/>
      <c r="I1720" s="618"/>
      <c r="J1720" s="619"/>
      <c r="K1720" s="618"/>
      <c r="L1720" s="620"/>
      <c r="M1720" s="621"/>
      <c r="N1720" s="620"/>
    </row>
    <row r="1721" spans="1:14" ht="11.25" customHeight="1" x14ac:dyDescent="0.25">
      <c r="A1721" s="615"/>
      <c r="B1721" s="616"/>
      <c r="C1721" s="617"/>
      <c r="D1721" s="617"/>
      <c r="E1721" s="617"/>
      <c r="F1721" s="1083"/>
      <c r="G1721" s="1084"/>
      <c r="H1721" s="1069"/>
      <c r="I1721" s="618"/>
      <c r="J1721" s="619"/>
      <c r="K1721" s="618"/>
      <c r="L1721" s="620"/>
      <c r="M1721" s="621"/>
      <c r="N1721" s="620"/>
    </row>
    <row r="1722" spans="1:14" ht="11.25" customHeight="1" x14ac:dyDescent="0.25">
      <c r="A1722" s="615"/>
      <c r="B1722" s="616"/>
      <c r="C1722" s="617"/>
      <c r="D1722" s="617"/>
      <c r="E1722" s="617"/>
      <c r="F1722" s="1083"/>
      <c r="G1722" s="1084"/>
      <c r="H1722" s="1069"/>
      <c r="I1722" s="618"/>
      <c r="J1722" s="619"/>
      <c r="K1722" s="618"/>
      <c r="L1722" s="620"/>
      <c r="M1722" s="621"/>
      <c r="N1722" s="620"/>
    </row>
    <row r="1723" spans="1:14" ht="11.25" customHeight="1" x14ac:dyDescent="0.25">
      <c r="A1723" s="615"/>
      <c r="B1723" s="616"/>
      <c r="C1723" s="617"/>
      <c r="D1723" s="617"/>
      <c r="E1723" s="617"/>
      <c r="F1723" s="1083"/>
      <c r="G1723" s="1084"/>
      <c r="H1723" s="1069"/>
      <c r="I1723" s="618"/>
      <c r="J1723" s="619"/>
      <c r="K1723" s="618"/>
      <c r="L1723" s="620"/>
      <c r="M1723" s="621"/>
      <c r="N1723" s="620"/>
    </row>
    <row r="1724" spans="1:14" ht="11.25" customHeight="1" x14ac:dyDescent="0.25">
      <c r="A1724" s="615"/>
      <c r="B1724" s="616"/>
      <c r="C1724" s="617"/>
      <c r="D1724" s="617"/>
      <c r="E1724" s="617"/>
      <c r="F1724" s="1083"/>
      <c r="G1724" s="1084"/>
      <c r="H1724" s="1069"/>
      <c r="I1724" s="618"/>
      <c r="J1724" s="619"/>
      <c r="K1724" s="618"/>
      <c r="L1724" s="620"/>
      <c r="M1724" s="621"/>
      <c r="N1724" s="620"/>
    </row>
    <row r="1725" spans="1:14" ht="11.25" customHeight="1" x14ac:dyDescent="0.25">
      <c r="A1725" s="615"/>
      <c r="B1725" s="616"/>
      <c r="C1725" s="617"/>
      <c r="D1725" s="617"/>
      <c r="E1725" s="617"/>
      <c r="F1725" s="1083"/>
      <c r="G1725" s="1084"/>
      <c r="H1725" s="1069"/>
      <c r="I1725" s="618"/>
      <c r="J1725" s="619"/>
      <c r="K1725" s="618"/>
      <c r="L1725" s="620"/>
      <c r="M1725" s="621"/>
      <c r="N1725" s="620"/>
    </row>
    <row r="1726" spans="1:14" ht="11.25" customHeight="1" x14ac:dyDescent="0.25">
      <c r="A1726" s="615"/>
      <c r="B1726" s="616"/>
      <c r="C1726" s="617"/>
      <c r="D1726" s="617"/>
      <c r="E1726" s="617"/>
      <c r="F1726" s="1083"/>
      <c r="G1726" s="1084"/>
      <c r="H1726" s="1069"/>
      <c r="I1726" s="618"/>
      <c r="J1726" s="619"/>
      <c r="K1726" s="618"/>
      <c r="L1726" s="620"/>
      <c r="M1726" s="621"/>
      <c r="N1726" s="620"/>
    </row>
    <row r="1727" spans="1:14" ht="11.25" customHeight="1" x14ac:dyDescent="0.25">
      <c r="A1727" s="615"/>
      <c r="B1727" s="616"/>
      <c r="C1727" s="617"/>
      <c r="D1727" s="617"/>
      <c r="E1727" s="617"/>
      <c r="F1727" s="1083"/>
      <c r="G1727" s="1084"/>
      <c r="H1727" s="1069"/>
      <c r="I1727" s="618"/>
      <c r="J1727" s="619"/>
      <c r="K1727" s="618"/>
      <c r="L1727" s="620"/>
      <c r="M1727" s="621"/>
      <c r="N1727" s="620"/>
    </row>
    <row r="1728" spans="1:14" ht="11.25" customHeight="1" x14ac:dyDescent="0.25">
      <c r="A1728" s="615"/>
      <c r="B1728" s="616"/>
      <c r="C1728" s="617"/>
      <c r="D1728" s="617"/>
      <c r="E1728" s="617"/>
      <c r="F1728" s="1083"/>
      <c r="G1728" s="1084"/>
      <c r="H1728" s="1069"/>
      <c r="I1728" s="618"/>
      <c r="J1728" s="619"/>
      <c r="K1728" s="618"/>
      <c r="L1728" s="620"/>
      <c r="M1728" s="621"/>
      <c r="N1728" s="620"/>
    </row>
    <row r="1729" spans="1:14" ht="11.25" customHeight="1" x14ac:dyDescent="0.25">
      <c r="A1729" s="615"/>
      <c r="B1729" s="616"/>
      <c r="C1729" s="617"/>
      <c r="D1729" s="617"/>
      <c r="E1729" s="617"/>
      <c r="F1729" s="1083"/>
      <c r="G1729" s="1084"/>
      <c r="H1729" s="1069"/>
      <c r="I1729" s="618"/>
      <c r="J1729" s="619"/>
      <c r="K1729" s="618"/>
      <c r="L1729" s="620"/>
      <c r="M1729" s="621"/>
      <c r="N1729" s="620"/>
    </row>
    <row r="1730" spans="1:14" ht="11.25" customHeight="1" x14ac:dyDescent="0.25">
      <c r="A1730" s="615"/>
      <c r="B1730" s="616"/>
      <c r="C1730" s="617"/>
      <c r="D1730" s="617"/>
      <c r="E1730" s="617"/>
      <c r="F1730" s="1083"/>
      <c r="G1730" s="1084"/>
      <c r="H1730" s="1069"/>
      <c r="I1730" s="618"/>
      <c r="J1730" s="619"/>
      <c r="K1730" s="618"/>
      <c r="L1730" s="620"/>
      <c r="M1730" s="621"/>
      <c r="N1730" s="620"/>
    </row>
    <row r="1731" spans="1:14" ht="11.25" customHeight="1" x14ac:dyDescent="0.25">
      <c r="A1731" s="615"/>
      <c r="B1731" s="616"/>
      <c r="C1731" s="617"/>
      <c r="D1731" s="617"/>
      <c r="E1731" s="617"/>
      <c r="F1731" s="1083"/>
      <c r="G1731" s="1084"/>
      <c r="H1731" s="1069"/>
      <c r="I1731" s="618"/>
      <c r="J1731" s="619"/>
      <c r="K1731" s="618"/>
      <c r="L1731" s="620"/>
      <c r="M1731" s="621"/>
      <c r="N1731" s="620"/>
    </row>
    <row r="1732" spans="1:14" ht="11.25" customHeight="1" x14ac:dyDescent="0.25">
      <c r="A1732" s="615"/>
      <c r="B1732" s="616"/>
      <c r="C1732" s="617"/>
      <c r="D1732" s="617"/>
      <c r="E1732" s="617"/>
      <c r="F1732" s="1083"/>
      <c r="G1732" s="1084"/>
      <c r="H1732" s="1069"/>
      <c r="I1732" s="618"/>
      <c r="J1732" s="619"/>
      <c r="K1732" s="618"/>
      <c r="L1732" s="620"/>
      <c r="M1732" s="621"/>
      <c r="N1732" s="620"/>
    </row>
    <row r="1733" spans="1:14" ht="11.25" customHeight="1" x14ac:dyDescent="0.25">
      <c r="A1733" s="615"/>
      <c r="B1733" s="616"/>
      <c r="C1733" s="617"/>
      <c r="D1733" s="617"/>
      <c r="E1733" s="617"/>
      <c r="F1733" s="1083"/>
      <c r="G1733" s="1084"/>
      <c r="H1733" s="1069"/>
      <c r="I1733" s="618"/>
      <c r="J1733" s="619"/>
      <c r="K1733" s="618"/>
      <c r="L1733" s="620"/>
      <c r="M1733" s="621"/>
      <c r="N1733" s="620"/>
    </row>
    <row r="1734" spans="1:14" ht="11.25" customHeight="1" x14ac:dyDescent="0.25">
      <c r="A1734" s="615"/>
      <c r="B1734" s="616"/>
      <c r="C1734" s="617"/>
      <c r="D1734" s="617"/>
      <c r="E1734" s="617"/>
      <c r="F1734" s="1083"/>
      <c r="G1734" s="1084"/>
      <c r="H1734" s="1069"/>
      <c r="I1734" s="618"/>
      <c r="J1734" s="619"/>
      <c r="K1734" s="618"/>
      <c r="L1734" s="620"/>
      <c r="M1734" s="621"/>
      <c r="N1734" s="620"/>
    </row>
    <row r="1735" spans="1:14" ht="11.25" customHeight="1" x14ac:dyDescent="0.25">
      <c r="A1735" s="615"/>
      <c r="B1735" s="616"/>
      <c r="C1735" s="617"/>
      <c r="D1735" s="617"/>
      <c r="E1735" s="617"/>
      <c r="F1735" s="1083"/>
      <c r="G1735" s="1084"/>
      <c r="H1735" s="1069"/>
      <c r="I1735" s="618"/>
      <c r="J1735" s="619"/>
      <c r="K1735" s="618"/>
      <c r="L1735" s="620"/>
      <c r="M1735" s="621"/>
      <c r="N1735" s="620"/>
    </row>
    <row r="1736" spans="1:14" ht="11.25" customHeight="1" x14ac:dyDescent="0.25">
      <c r="A1736" s="615"/>
      <c r="B1736" s="616"/>
      <c r="C1736" s="617"/>
      <c r="D1736" s="617"/>
      <c r="E1736" s="617"/>
      <c r="F1736" s="1083"/>
      <c r="G1736" s="1084"/>
      <c r="H1736" s="1069"/>
      <c r="I1736" s="618"/>
      <c r="J1736" s="619"/>
      <c r="K1736" s="618"/>
      <c r="L1736" s="620"/>
      <c r="M1736" s="621"/>
      <c r="N1736" s="620"/>
    </row>
    <row r="1737" spans="1:14" ht="11.25" customHeight="1" x14ac:dyDescent="0.25">
      <c r="A1737" s="615"/>
      <c r="B1737" s="616"/>
      <c r="C1737" s="617"/>
      <c r="D1737" s="617"/>
      <c r="E1737" s="617"/>
      <c r="F1737" s="1083"/>
      <c r="G1737" s="1084"/>
      <c r="H1737" s="1069"/>
      <c r="I1737" s="618"/>
      <c r="J1737" s="619"/>
      <c r="K1737" s="618"/>
      <c r="L1737" s="620"/>
      <c r="M1737" s="621"/>
      <c r="N1737" s="620"/>
    </row>
    <row r="1738" spans="1:14" ht="11.25" customHeight="1" x14ac:dyDescent="0.25">
      <c r="A1738" s="615"/>
      <c r="B1738" s="616"/>
      <c r="C1738" s="617"/>
      <c r="D1738" s="617"/>
      <c r="E1738" s="617"/>
      <c r="F1738" s="1083"/>
      <c r="G1738" s="1084"/>
      <c r="H1738" s="1069"/>
      <c r="I1738" s="618"/>
      <c r="J1738" s="619"/>
      <c r="K1738" s="618"/>
      <c r="L1738" s="620"/>
      <c r="M1738" s="621"/>
      <c r="N1738" s="620"/>
    </row>
    <row r="1739" spans="1:14" ht="11.25" customHeight="1" x14ac:dyDescent="0.25">
      <c r="A1739" s="615"/>
      <c r="B1739" s="616"/>
      <c r="C1739" s="617"/>
      <c r="D1739" s="617"/>
      <c r="E1739" s="617"/>
      <c r="F1739" s="1083"/>
      <c r="G1739" s="1084"/>
      <c r="H1739" s="1069"/>
      <c r="I1739" s="618"/>
      <c r="J1739" s="619"/>
      <c r="K1739" s="618"/>
      <c r="L1739" s="620"/>
      <c r="M1739" s="621"/>
      <c r="N1739" s="620"/>
    </row>
    <row r="1740" spans="1:14" ht="11.25" customHeight="1" x14ac:dyDescent="0.25">
      <c r="A1740" s="615"/>
      <c r="B1740" s="616"/>
      <c r="C1740" s="617"/>
      <c r="D1740" s="617"/>
      <c r="E1740" s="617"/>
      <c r="F1740" s="1083"/>
      <c r="G1740" s="1084"/>
      <c r="H1740" s="1069"/>
      <c r="I1740" s="618"/>
      <c r="J1740" s="619"/>
      <c r="K1740" s="618"/>
      <c r="L1740" s="620"/>
      <c r="M1740" s="621"/>
      <c r="N1740" s="620"/>
    </row>
    <row r="1741" spans="1:14" ht="11.25" customHeight="1" x14ac:dyDescent="0.25">
      <c r="A1741" s="615"/>
      <c r="B1741" s="616"/>
      <c r="C1741" s="617"/>
      <c r="D1741" s="617"/>
      <c r="E1741" s="617"/>
      <c r="F1741" s="1083"/>
      <c r="G1741" s="1084"/>
      <c r="H1741" s="1069"/>
      <c r="I1741" s="618"/>
      <c r="J1741" s="619"/>
      <c r="K1741" s="618"/>
      <c r="L1741" s="620"/>
      <c r="M1741" s="621"/>
      <c r="N1741" s="620"/>
    </row>
    <row r="1742" spans="1:14" ht="11.25" customHeight="1" x14ac:dyDescent="0.25">
      <c r="A1742" s="615"/>
      <c r="B1742" s="616"/>
      <c r="C1742" s="617"/>
      <c r="D1742" s="617"/>
      <c r="E1742" s="617"/>
      <c r="F1742" s="1083"/>
      <c r="G1742" s="1084"/>
      <c r="H1742" s="1069"/>
      <c r="I1742" s="618"/>
      <c r="J1742" s="619"/>
      <c r="K1742" s="618"/>
      <c r="L1742" s="620"/>
      <c r="M1742" s="621"/>
      <c r="N1742" s="620"/>
    </row>
    <row r="1743" spans="1:14" ht="11.25" customHeight="1" x14ac:dyDescent="0.25">
      <c r="A1743" s="615"/>
      <c r="B1743" s="616"/>
      <c r="C1743" s="617"/>
      <c r="D1743" s="617"/>
      <c r="E1743" s="617"/>
      <c r="F1743" s="1083"/>
      <c r="G1743" s="1084"/>
      <c r="H1743" s="1069"/>
      <c r="I1743" s="618"/>
      <c r="J1743" s="619"/>
      <c r="K1743" s="618"/>
      <c r="L1743" s="620"/>
      <c r="M1743" s="621"/>
      <c r="N1743" s="620"/>
    </row>
    <row r="1744" spans="1:14" ht="11.25" customHeight="1" x14ac:dyDescent="0.25">
      <c r="A1744" s="615"/>
      <c r="B1744" s="616"/>
      <c r="C1744" s="617"/>
      <c r="D1744" s="617"/>
      <c r="E1744" s="617"/>
      <c r="F1744" s="1083"/>
      <c r="G1744" s="1084"/>
      <c r="H1744" s="1069"/>
      <c r="I1744" s="618"/>
      <c r="J1744" s="619"/>
      <c r="K1744" s="618"/>
      <c r="L1744" s="620"/>
      <c r="M1744" s="621"/>
      <c r="N1744" s="620"/>
    </row>
    <row r="1745" spans="1:14" ht="11.25" customHeight="1" x14ac:dyDescent="0.25">
      <c r="A1745" s="615"/>
      <c r="B1745" s="616"/>
      <c r="C1745" s="617"/>
      <c r="D1745" s="617"/>
      <c r="E1745" s="617"/>
      <c r="F1745" s="1083"/>
      <c r="G1745" s="1084"/>
      <c r="H1745" s="1069"/>
      <c r="I1745" s="618"/>
      <c r="J1745" s="619"/>
      <c r="K1745" s="618"/>
      <c r="L1745" s="620"/>
      <c r="M1745" s="621"/>
      <c r="N1745" s="620"/>
    </row>
    <row r="1746" spans="1:14" ht="11.25" customHeight="1" x14ac:dyDescent="0.25">
      <c r="A1746" s="615"/>
      <c r="B1746" s="616"/>
      <c r="C1746" s="617"/>
      <c r="D1746" s="617"/>
      <c r="E1746" s="617"/>
      <c r="F1746" s="1083"/>
      <c r="G1746" s="1084"/>
      <c r="H1746" s="1069"/>
      <c r="I1746" s="618"/>
      <c r="J1746" s="619"/>
      <c r="K1746" s="618"/>
      <c r="L1746" s="620"/>
      <c r="M1746" s="621"/>
      <c r="N1746" s="620"/>
    </row>
    <row r="1747" spans="1:14" ht="11.25" customHeight="1" x14ac:dyDescent="0.25">
      <c r="A1747" s="615"/>
      <c r="B1747" s="616"/>
      <c r="C1747" s="617"/>
      <c r="D1747" s="617"/>
      <c r="E1747" s="617"/>
      <c r="F1747" s="1083"/>
      <c r="G1747" s="1084"/>
      <c r="H1747" s="1069"/>
      <c r="I1747" s="618"/>
      <c r="J1747" s="619"/>
      <c r="K1747" s="618"/>
      <c r="L1747" s="620"/>
      <c r="M1747" s="621"/>
      <c r="N1747" s="620"/>
    </row>
    <row r="1748" spans="1:14" ht="11.25" customHeight="1" x14ac:dyDescent="0.25">
      <c r="A1748" s="615"/>
      <c r="B1748" s="616"/>
      <c r="C1748" s="617"/>
      <c r="D1748" s="617"/>
      <c r="E1748" s="617"/>
      <c r="F1748" s="1083"/>
      <c r="G1748" s="1084"/>
      <c r="H1748" s="1069"/>
      <c r="I1748" s="618"/>
      <c r="J1748" s="619"/>
      <c r="K1748" s="618"/>
      <c r="L1748" s="620"/>
      <c r="M1748" s="621"/>
      <c r="N1748" s="620"/>
    </row>
    <row r="1749" spans="1:14" ht="11.25" customHeight="1" x14ac:dyDescent="0.25">
      <c r="A1749" s="615"/>
      <c r="B1749" s="616"/>
      <c r="C1749" s="617"/>
      <c r="D1749" s="617"/>
      <c r="E1749" s="617"/>
      <c r="F1749" s="1083"/>
      <c r="G1749" s="1084"/>
      <c r="H1749" s="1069"/>
      <c r="I1749" s="618"/>
      <c r="J1749" s="619"/>
      <c r="K1749" s="618"/>
      <c r="L1749" s="620"/>
      <c r="M1749" s="621"/>
      <c r="N1749" s="620"/>
    </row>
    <row r="1750" spans="1:14" ht="11.25" customHeight="1" x14ac:dyDescent="0.25">
      <c r="A1750" s="615"/>
      <c r="B1750" s="616"/>
      <c r="C1750" s="617"/>
      <c r="D1750" s="617"/>
      <c r="E1750" s="617"/>
      <c r="F1750" s="1083"/>
      <c r="G1750" s="1084"/>
      <c r="H1750" s="1069"/>
      <c r="I1750" s="618"/>
      <c r="J1750" s="619"/>
      <c r="K1750" s="618"/>
      <c r="L1750" s="620"/>
      <c r="M1750" s="621"/>
      <c r="N1750" s="620"/>
    </row>
    <row r="1751" spans="1:14" ht="11.25" customHeight="1" x14ac:dyDescent="0.25">
      <c r="A1751" s="615"/>
      <c r="B1751" s="616"/>
      <c r="C1751" s="617"/>
      <c r="D1751" s="617"/>
      <c r="E1751" s="617"/>
      <c r="F1751" s="1083"/>
      <c r="G1751" s="1084"/>
      <c r="H1751" s="1069"/>
      <c r="I1751" s="618"/>
      <c r="J1751" s="619"/>
      <c r="K1751" s="618"/>
      <c r="L1751" s="620"/>
      <c r="M1751" s="621"/>
      <c r="N1751" s="620"/>
    </row>
    <row r="1752" spans="1:14" ht="11.25" customHeight="1" x14ac:dyDescent="0.25">
      <c r="A1752" s="615"/>
      <c r="B1752" s="616"/>
      <c r="C1752" s="617"/>
      <c r="D1752" s="617"/>
      <c r="E1752" s="617"/>
      <c r="F1752" s="1083"/>
      <c r="G1752" s="1084"/>
      <c r="H1752" s="1069"/>
      <c r="I1752" s="618"/>
      <c r="J1752" s="619"/>
      <c r="K1752" s="618"/>
      <c r="L1752" s="620"/>
      <c r="M1752" s="621"/>
      <c r="N1752" s="620"/>
    </row>
    <row r="1753" spans="1:14" ht="11.25" customHeight="1" x14ac:dyDescent="0.25">
      <c r="A1753" s="615"/>
      <c r="B1753" s="616"/>
      <c r="C1753" s="617"/>
      <c r="D1753" s="617"/>
      <c r="E1753" s="617"/>
      <c r="F1753" s="1083"/>
      <c r="G1753" s="1084"/>
      <c r="H1753" s="1069"/>
      <c r="I1753" s="618"/>
      <c r="J1753" s="619"/>
      <c r="K1753" s="618"/>
      <c r="L1753" s="620"/>
      <c r="M1753" s="621"/>
      <c r="N1753" s="620"/>
    </row>
    <row r="1754" spans="1:14" ht="11.25" customHeight="1" x14ac:dyDescent="0.25">
      <c r="A1754" s="615"/>
      <c r="B1754" s="616"/>
      <c r="C1754" s="617"/>
      <c r="D1754" s="617"/>
      <c r="E1754" s="617"/>
      <c r="F1754" s="1083"/>
      <c r="G1754" s="1084"/>
      <c r="H1754" s="1069"/>
      <c r="I1754" s="618"/>
      <c r="J1754" s="619"/>
      <c r="K1754" s="618"/>
      <c r="L1754" s="620"/>
      <c r="M1754" s="621"/>
      <c r="N1754" s="620"/>
    </row>
    <row r="1755" spans="1:14" ht="11.25" customHeight="1" x14ac:dyDescent="0.25">
      <c r="A1755" s="615"/>
      <c r="B1755" s="616"/>
      <c r="C1755" s="617"/>
      <c r="D1755" s="617"/>
      <c r="E1755" s="617"/>
      <c r="F1755" s="1083"/>
      <c r="G1755" s="1084"/>
      <c r="H1755" s="1069"/>
      <c r="I1755" s="618"/>
      <c r="J1755" s="619"/>
      <c r="K1755" s="618"/>
      <c r="L1755" s="620"/>
      <c r="M1755" s="621"/>
      <c r="N1755" s="620"/>
    </row>
    <row r="1756" spans="1:14" ht="11.25" customHeight="1" x14ac:dyDescent="0.25">
      <c r="A1756" s="615"/>
      <c r="B1756" s="616"/>
      <c r="C1756" s="617"/>
      <c r="D1756" s="617"/>
      <c r="E1756" s="617"/>
      <c r="F1756" s="1083"/>
      <c r="G1756" s="1084"/>
      <c r="H1756" s="1069"/>
      <c r="I1756" s="618"/>
      <c r="J1756" s="619"/>
      <c r="K1756" s="618"/>
      <c r="L1756" s="620"/>
      <c r="M1756" s="621"/>
      <c r="N1756" s="620"/>
    </row>
    <row r="1757" spans="1:14" ht="11.25" customHeight="1" x14ac:dyDescent="0.25">
      <c r="A1757" s="615"/>
      <c r="B1757" s="616"/>
      <c r="C1757" s="617"/>
      <c r="D1757" s="617"/>
      <c r="E1757" s="617"/>
      <c r="F1757" s="1083"/>
      <c r="G1757" s="1084"/>
      <c r="H1757" s="1069"/>
      <c r="I1757" s="618"/>
      <c r="J1757" s="619"/>
      <c r="K1757" s="618"/>
      <c r="L1757" s="620"/>
      <c r="M1757" s="621"/>
      <c r="N1757" s="620"/>
    </row>
    <row r="1758" spans="1:14" ht="11.25" customHeight="1" x14ac:dyDescent="0.25">
      <c r="A1758" s="615"/>
      <c r="B1758" s="616"/>
      <c r="C1758" s="617"/>
      <c r="D1758" s="617"/>
      <c r="E1758" s="617"/>
      <c r="F1758" s="1083"/>
      <c r="G1758" s="1084"/>
      <c r="H1758" s="1069"/>
      <c r="I1758" s="618"/>
      <c r="J1758" s="619"/>
      <c r="K1758" s="618"/>
      <c r="L1758" s="620"/>
      <c r="M1758" s="621"/>
      <c r="N1758" s="620"/>
    </row>
    <row r="1759" spans="1:14" ht="11.25" customHeight="1" x14ac:dyDescent="0.25">
      <c r="A1759" s="615"/>
      <c r="B1759" s="616"/>
      <c r="C1759" s="617"/>
      <c r="D1759" s="617"/>
      <c r="E1759" s="617"/>
      <c r="F1759" s="1083"/>
      <c r="G1759" s="1084"/>
      <c r="H1759" s="1069"/>
      <c r="I1759" s="618"/>
      <c r="J1759" s="619"/>
      <c r="K1759" s="618"/>
      <c r="L1759" s="620"/>
      <c r="M1759" s="621"/>
      <c r="N1759" s="620"/>
    </row>
    <row r="1760" spans="1:14" ht="11.25" customHeight="1" x14ac:dyDescent="0.25">
      <c r="A1760" s="615"/>
      <c r="B1760" s="616"/>
      <c r="C1760" s="617"/>
      <c r="D1760" s="617"/>
      <c r="E1760" s="617"/>
      <c r="F1760" s="1083"/>
      <c r="G1760" s="1084"/>
      <c r="H1760" s="1069"/>
      <c r="I1760" s="618"/>
      <c r="J1760" s="619"/>
      <c r="K1760" s="618"/>
      <c r="L1760" s="620"/>
      <c r="M1760" s="621"/>
      <c r="N1760" s="620"/>
    </row>
    <row r="1761" spans="1:14" ht="11.25" customHeight="1" x14ac:dyDescent="0.25">
      <c r="A1761" s="615"/>
      <c r="B1761" s="616"/>
      <c r="C1761" s="617"/>
      <c r="D1761" s="617"/>
      <c r="E1761" s="617"/>
      <c r="F1761" s="1083"/>
      <c r="G1761" s="1084"/>
      <c r="H1761" s="1069"/>
      <c r="I1761" s="618"/>
      <c r="J1761" s="619"/>
      <c r="K1761" s="618"/>
      <c r="L1761" s="620"/>
      <c r="M1761" s="621"/>
      <c r="N1761" s="620"/>
    </row>
    <row r="1762" spans="1:14" ht="11.25" customHeight="1" x14ac:dyDescent="0.25">
      <c r="A1762" s="615"/>
      <c r="B1762" s="616"/>
      <c r="C1762" s="617"/>
      <c r="D1762" s="617"/>
      <c r="E1762" s="617"/>
      <c r="F1762" s="1083"/>
      <c r="G1762" s="1084"/>
      <c r="H1762" s="1069"/>
      <c r="I1762" s="618"/>
      <c r="J1762" s="619"/>
      <c r="K1762" s="618"/>
      <c r="L1762" s="620"/>
      <c r="M1762" s="621"/>
      <c r="N1762" s="620"/>
    </row>
    <row r="1763" spans="1:14" ht="11.25" customHeight="1" x14ac:dyDescent="0.25">
      <c r="A1763" s="615"/>
      <c r="B1763" s="616"/>
      <c r="C1763" s="617"/>
      <c r="D1763" s="617"/>
      <c r="E1763" s="617"/>
      <c r="F1763" s="1083"/>
      <c r="G1763" s="1084"/>
      <c r="H1763" s="1069"/>
      <c r="I1763" s="618"/>
      <c r="J1763" s="619"/>
      <c r="K1763" s="618"/>
      <c r="L1763" s="620"/>
      <c r="M1763" s="621"/>
      <c r="N1763" s="620"/>
    </row>
    <row r="1764" spans="1:14" ht="11.25" customHeight="1" x14ac:dyDescent="0.25">
      <c r="A1764" s="615"/>
      <c r="B1764" s="616"/>
      <c r="C1764" s="617"/>
      <c r="D1764" s="617"/>
      <c r="E1764" s="617"/>
      <c r="F1764" s="1083"/>
      <c r="G1764" s="1084"/>
      <c r="H1764" s="1069"/>
      <c r="I1764" s="618"/>
      <c r="J1764" s="619"/>
      <c r="K1764" s="618"/>
      <c r="L1764" s="620"/>
      <c r="M1764" s="621"/>
      <c r="N1764" s="620"/>
    </row>
    <row r="1765" spans="1:14" ht="11.25" customHeight="1" x14ac:dyDescent="0.25">
      <c r="A1765" s="615"/>
      <c r="B1765" s="616"/>
      <c r="C1765" s="617"/>
      <c r="D1765" s="617"/>
      <c r="E1765" s="617"/>
      <c r="F1765" s="1083"/>
      <c r="G1765" s="1084"/>
      <c r="H1765" s="1069"/>
      <c r="I1765" s="618"/>
      <c r="J1765" s="619"/>
      <c r="K1765" s="618"/>
      <c r="L1765" s="620"/>
      <c r="M1765" s="621"/>
      <c r="N1765" s="620"/>
    </row>
    <row r="1766" spans="1:14" ht="11.25" customHeight="1" x14ac:dyDescent="0.25">
      <c r="A1766" s="615"/>
      <c r="B1766" s="616"/>
      <c r="C1766" s="617"/>
      <c r="D1766" s="617"/>
      <c r="E1766" s="617"/>
      <c r="F1766" s="1083"/>
      <c r="G1766" s="1084"/>
      <c r="H1766" s="1069"/>
      <c r="I1766" s="618"/>
      <c r="J1766" s="619"/>
      <c r="K1766" s="618"/>
      <c r="L1766" s="620"/>
      <c r="M1766" s="621"/>
      <c r="N1766" s="620"/>
    </row>
    <row r="1767" spans="1:14" ht="11.25" customHeight="1" x14ac:dyDescent="0.25">
      <c r="A1767" s="615"/>
      <c r="B1767" s="616"/>
      <c r="C1767" s="617"/>
      <c r="D1767" s="617"/>
      <c r="E1767" s="617"/>
      <c r="F1767" s="1083"/>
      <c r="G1767" s="1084"/>
      <c r="H1767" s="1069"/>
      <c r="I1767" s="618"/>
      <c r="J1767" s="619"/>
      <c r="K1767" s="618"/>
      <c r="L1767" s="620"/>
      <c r="M1767" s="621"/>
      <c r="N1767" s="620"/>
    </row>
    <row r="1768" spans="1:14" ht="11.25" customHeight="1" x14ac:dyDescent="0.25">
      <c r="A1768" s="615"/>
      <c r="B1768" s="616"/>
      <c r="C1768" s="617"/>
      <c r="D1768" s="617"/>
      <c r="E1768" s="617"/>
      <c r="F1768" s="1083"/>
      <c r="G1768" s="1084"/>
      <c r="H1768" s="1069"/>
      <c r="I1768" s="618"/>
      <c r="J1768" s="619"/>
      <c r="K1768" s="618"/>
      <c r="L1768" s="620"/>
      <c r="M1768" s="621"/>
      <c r="N1768" s="620"/>
    </row>
    <row r="1769" spans="1:14" ht="11.25" customHeight="1" x14ac:dyDescent="0.25">
      <c r="A1769" s="615"/>
      <c r="B1769" s="616"/>
      <c r="C1769" s="617"/>
      <c r="D1769" s="617"/>
      <c r="E1769" s="617"/>
      <c r="F1769" s="1083"/>
      <c r="G1769" s="1084"/>
      <c r="H1769" s="1069"/>
      <c r="I1769" s="618"/>
      <c r="J1769" s="619"/>
      <c r="K1769" s="618"/>
      <c r="L1769" s="620"/>
      <c r="M1769" s="621"/>
      <c r="N1769" s="620"/>
    </row>
    <row r="1770" spans="1:14" ht="11.25" customHeight="1" x14ac:dyDescent="0.25">
      <c r="A1770" s="615"/>
      <c r="B1770" s="616"/>
      <c r="C1770" s="617"/>
      <c r="D1770" s="617"/>
      <c r="E1770" s="617"/>
      <c r="F1770" s="1083"/>
      <c r="G1770" s="1084"/>
      <c r="H1770" s="1069"/>
      <c r="I1770" s="618"/>
      <c r="J1770" s="619"/>
      <c r="K1770" s="618"/>
      <c r="L1770" s="620"/>
      <c r="M1770" s="621"/>
      <c r="N1770" s="620"/>
    </row>
    <row r="1771" spans="1:14" ht="11.25" customHeight="1" x14ac:dyDescent="0.25">
      <c r="A1771" s="615"/>
      <c r="B1771" s="616"/>
      <c r="C1771" s="617"/>
      <c r="D1771" s="617"/>
      <c r="E1771" s="617"/>
      <c r="F1771" s="1083"/>
      <c r="G1771" s="1084"/>
      <c r="H1771" s="1069"/>
      <c r="I1771" s="618"/>
      <c r="J1771" s="619"/>
      <c r="K1771" s="618"/>
      <c r="L1771" s="620"/>
      <c r="M1771" s="621"/>
      <c r="N1771" s="620"/>
    </row>
    <row r="1772" spans="1:14" ht="11.25" customHeight="1" x14ac:dyDescent="0.25">
      <c r="A1772" s="615"/>
      <c r="B1772" s="616"/>
      <c r="C1772" s="617"/>
      <c r="D1772" s="617"/>
      <c r="E1772" s="617"/>
      <c r="F1772" s="1083"/>
      <c r="G1772" s="1084"/>
      <c r="H1772" s="1069"/>
      <c r="I1772" s="618"/>
      <c r="J1772" s="619"/>
      <c r="K1772" s="618"/>
      <c r="L1772" s="620"/>
      <c r="M1772" s="621"/>
      <c r="N1772" s="620"/>
    </row>
    <row r="1773" spans="1:14" ht="11.25" customHeight="1" x14ac:dyDescent="0.25">
      <c r="A1773" s="615"/>
      <c r="B1773" s="616"/>
      <c r="C1773" s="617"/>
      <c r="D1773" s="617"/>
      <c r="E1773" s="617"/>
      <c r="F1773" s="1083"/>
      <c r="G1773" s="1084"/>
      <c r="H1773" s="1069"/>
      <c r="I1773" s="618"/>
      <c r="J1773" s="619"/>
      <c r="K1773" s="618"/>
      <c r="L1773" s="620"/>
      <c r="M1773" s="621"/>
      <c r="N1773" s="620"/>
    </row>
    <row r="1774" spans="1:14" ht="11.25" customHeight="1" x14ac:dyDescent="0.25">
      <c r="A1774" s="615"/>
      <c r="B1774" s="616"/>
      <c r="C1774" s="617"/>
      <c r="D1774" s="617"/>
      <c r="E1774" s="617"/>
      <c r="F1774" s="1083"/>
      <c r="G1774" s="1084"/>
      <c r="H1774" s="1069"/>
      <c r="I1774" s="618"/>
      <c r="J1774" s="619"/>
      <c r="K1774" s="618"/>
      <c r="L1774" s="620"/>
      <c r="M1774" s="621"/>
      <c r="N1774" s="620"/>
    </row>
    <row r="1775" spans="1:14" ht="11.25" customHeight="1" x14ac:dyDescent="0.25">
      <c r="A1775" s="615"/>
      <c r="B1775" s="616"/>
      <c r="C1775" s="617"/>
      <c r="D1775" s="617"/>
      <c r="E1775" s="617"/>
      <c r="F1775" s="1083"/>
      <c r="G1775" s="1084"/>
      <c r="H1775" s="1069"/>
      <c r="I1775" s="618"/>
      <c r="J1775" s="619"/>
      <c r="K1775" s="618"/>
      <c r="L1775" s="620"/>
      <c r="M1775" s="621"/>
      <c r="N1775" s="620"/>
    </row>
    <row r="1776" spans="1:14" ht="11.25" customHeight="1" x14ac:dyDescent="0.25">
      <c r="A1776" s="615"/>
      <c r="B1776" s="616"/>
      <c r="C1776" s="617"/>
      <c r="D1776" s="617"/>
      <c r="E1776" s="617"/>
      <c r="F1776" s="1083"/>
      <c r="G1776" s="1084"/>
      <c r="H1776" s="1069"/>
      <c r="I1776" s="618"/>
      <c r="J1776" s="619"/>
      <c r="K1776" s="618"/>
      <c r="L1776" s="620"/>
      <c r="M1776" s="621"/>
      <c r="N1776" s="620"/>
    </row>
    <row r="1777" spans="1:14" ht="11.25" customHeight="1" x14ac:dyDescent="0.25">
      <c r="A1777" s="615"/>
      <c r="B1777" s="616"/>
      <c r="C1777" s="617"/>
      <c r="D1777" s="617"/>
      <c r="E1777" s="617"/>
      <c r="F1777" s="1083"/>
      <c r="G1777" s="1084"/>
      <c r="H1777" s="1069"/>
      <c r="I1777" s="618"/>
      <c r="J1777" s="619"/>
      <c r="K1777" s="618"/>
      <c r="L1777" s="620"/>
      <c r="M1777" s="621"/>
      <c r="N1777" s="620"/>
    </row>
    <row r="1778" spans="1:14" ht="11.25" customHeight="1" x14ac:dyDescent="0.25">
      <c r="A1778" s="615"/>
      <c r="B1778" s="616"/>
      <c r="C1778" s="617"/>
      <c r="D1778" s="617"/>
      <c r="E1778" s="617"/>
      <c r="F1778" s="1083"/>
      <c r="G1778" s="1084"/>
      <c r="H1778" s="1069"/>
      <c r="I1778" s="618"/>
      <c r="J1778" s="619"/>
      <c r="K1778" s="618"/>
      <c r="L1778" s="620"/>
      <c r="M1778" s="621"/>
      <c r="N1778" s="620"/>
    </row>
    <row r="1779" spans="1:14" ht="11.25" customHeight="1" x14ac:dyDescent="0.25">
      <c r="A1779" s="615"/>
      <c r="B1779" s="616"/>
      <c r="C1779" s="617"/>
      <c r="D1779" s="617"/>
      <c r="E1779" s="617"/>
      <c r="F1779" s="1083"/>
      <c r="G1779" s="1084"/>
      <c r="H1779" s="1069"/>
      <c r="I1779" s="618"/>
      <c r="J1779" s="619"/>
      <c r="K1779" s="618"/>
      <c r="L1779" s="620"/>
      <c r="M1779" s="621"/>
      <c r="N1779" s="620"/>
    </row>
    <row r="1780" spans="1:14" ht="11.25" customHeight="1" x14ac:dyDescent="0.25">
      <c r="A1780" s="615"/>
      <c r="B1780" s="616"/>
      <c r="C1780" s="617"/>
      <c r="D1780" s="617"/>
      <c r="E1780" s="617"/>
      <c r="F1780" s="1083"/>
      <c r="G1780" s="1084"/>
      <c r="H1780" s="1069"/>
      <c r="I1780" s="618"/>
      <c r="J1780" s="619"/>
      <c r="K1780" s="618"/>
      <c r="L1780" s="620"/>
      <c r="M1780" s="621"/>
      <c r="N1780" s="620"/>
    </row>
    <row r="1781" spans="1:14" ht="11.25" customHeight="1" x14ac:dyDescent="0.25">
      <c r="A1781" s="615"/>
      <c r="B1781" s="616"/>
      <c r="C1781" s="617"/>
      <c r="D1781" s="617"/>
      <c r="E1781" s="617"/>
      <c r="F1781" s="1083"/>
      <c r="G1781" s="1084"/>
      <c r="H1781" s="1069"/>
      <c r="I1781" s="618"/>
      <c r="J1781" s="619"/>
      <c r="K1781" s="618"/>
      <c r="L1781" s="620"/>
      <c r="M1781" s="621"/>
      <c r="N1781" s="620"/>
    </row>
    <row r="1782" spans="1:14" ht="11.25" customHeight="1" x14ac:dyDescent="0.25">
      <c r="A1782" s="615"/>
      <c r="B1782" s="616"/>
      <c r="C1782" s="617"/>
      <c r="D1782" s="617"/>
      <c r="E1782" s="617"/>
      <c r="F1782" s="1083"/>
      <c r="G1782" s="1084"/>
      <c r="H1782" s="1069"/>
      <c r="I1782" s="618"/>
      <c r="J1782" s="619"/>
      <c r="K1782" s="618"/>
      <c r="L1782" s="620"/>
      <c r="M1782" s="621"/>
      <c r="N1782" s="620"/>
    </row>
    <row r="1783" spans="1:14" ht="11.25" customHeight="1" x14ac:dyDescent="0.25">
      <c r="A1783" s="615"/>
      <c r="B1783" s="616"/>
      <c r="C1783" s="617"/>
      <c r="D1783" s="617"/>
      <c r="E1783" s="617"/>
      <c r="F1783" s="1083"/>
      <c r="G1783" s="1084"/>
      <c r="H1783" s="1069"/>
      <c r="I1783" s="618"/>
      <c r="J1783" s="619"/>
      <c r="K1783" s="618"/>
      <c r="L1783" s="620"/>
      <c r="M1783" s="621"/>
      <c r="N1783" s="620"/>
    </row>
    <row r="1784" spans="1:14" ht="11.25" customHeight="1" x14ac:dyDescent="0.25">
      <c r="A1784" s="615"/>
      <c r="B1784" s="616"/>
      <c r="C1784" s="617"/>
      <c r="D1784" s="617"/>
      <c r="E1784" s="617"/>
      <c r="F1784" s="1083"/>
      <c r="G1784" s="1084"/>
      <c r="H1784" s="1069"/>
      <c r="I1784" s="618"/>
      <c r="J1784" s="619"/>
      <c r="K1784" s="618"/>
      <c r="L1784" s="620"/>
      <c r="M1784" s="621"/>
      <c r="N1784" s="620"/>
    </row>
    <row r="1785" spans="1:14" ht="11.25" customHeight="1" x14ac:dyDescent="0.25">
      <c r="A1785" s="615"/>
      <c r="B1785" s="616"/>
      <c r="C1785" s="617"/>
      <c r="D1785" s="617"/>
      <c r="E1785" s="617"/>
      <c r="F1785" s="1083"/>
      <c r="G1785" s="1084"/>
      <c r="H1785" s="1069"/>
      <c r="I1785" s="618"/>
      <c r="J1785" s="619"/>
      <c r="K1785" s="618"/>
      <c r="L1785" s="620"/>
      <c r="M1785" s="621"/>
      <c r="N1785" s="620"/>
    </row>
    <row r="1786" spans="1:14" ht="11.25" customHeight="1" x14ac:dyDescent="0.25">
      <c r="A1786" s="615"/>
      <c r="B1786" s="616"/>
      <c r="C1786" s="617"/>
      <c r="D1786" s="617"/>
      <c r="E1786" s="617"/>
      <c r="F1786" s="1083"/>
      <c r="G1786" s="1084"/>
      <c r="H1786" s="1069"/>
      <c r="I1786" s="618"/>
      <c r="J1786" s="619"/>
      <c r="K1786" s="618"/>
      <c r="L1786" s="620"/>
      <c r="M1786" s="621"/>
      <c r="N1786" s="620"/>
    </row>
    <row r="1787" spans="1:14" ht="11.25" customHeight="1" x14ac:dyDescent="0.25">
      <c r="A1787" s="615"/>
      <c r="B1787" s="616"/>
      <c r="C1787" s="617"/>
      <c r="D1787" s="617"/>
      <c r="E1787" s="617"/>
      <c r="F1787" s="1083"/>
      <c r="G1787" s="1084"/>
      <c r="H1787" s="1069"/>
      <c r="I1787" s="618"/>
      <c r="J1787" s="619"/>
      <c r="K1787" s="618"/>
      <c r="L1787" s="620"/>
      <c r="M1787" s="621"/>
      <c r="N1787" s="620"/>
    </row>
    <row r="1788" spans="1:14" ht="11.25" customHeight="1" x14ac:dyDescent="0.25">
      <c r="A1788" s="615"/>
      <c r="B1788" s="616"/>
      <c r="C1788" s="617"/>
      <c r="D1788" s="617"/>
      <c r="E1788" s="617"/>
      <c r="F1788" s="1083"/>
      <c r="G1788" s="1084"/>
      <c r="H1788" s="1069"/>
      <c r="I1788" s="618"/>
      <c r="J1788" s="619"/>
      <c r="K1788" s="618"/>
      <c r="L1788" s="620"/>
      <c r="M1788" s="621"/>
      <c r="N1788" s="620"/>
    </row>
    <row r="1789" spans="1:14" ht="11.25" customHeight="1" x14ac:dyDescent="0.25">
      <c r="A1789" s="615"/>
      <c r="B1789" s="616"/>
      <c r="C1789" s="617"/>
      <c r="D1789" s="617"/>
      <c r="E1789" s="617"/>
      <c r="F1789" s="1083"/>
      <c r="G1789" s="1084"/>
      <c r="H1789" s="1069"/>
      <c r="I1789" s="618"/>
      <c r="J1789" s="619"/>
      <c r="K1789" s="618"/>
      <c r="L1789" s="620"/>
      <c r="M1789" s="621"/>
      <c r="N1789" s="620"/>
    </row>
    <row r="1790" spans="1:14" ht="11.25" customHeight="1" x14ac:dyDescent="0.25">
      <c r="A1790" s="615"/>
      <c r="B1790" s="616"/>
      <c r="C1790" s="617"/>
      <c r="D1790" s="617"/>
      <c r="E1790" s="617"/>
      <c r="F1790" s="1083"/>
      <c r="G1790" s="1084"/>
      <c r="H1790" s="1069"/>
      <c r="I1790" s="618"/>
      <c r="J1790" s="619"/>
      <c r="K1790" s="618"/>
      <c r="L1790" s="620"/>
      <c r="M1790" s="621"/>
      <c r="N1790" s="620"/>
    </row>
    <row r="1791" spans="1:14" ht="11.25" customHeight="1" x14ac:dyDescent="0.25">
      <c r="A1791" s="615"/>
      <c r="B1791" s="616"/>
      <c r="C1791" s="617"/>
      <c r="D1791" s="617"/>
      <c r="E1791" s="617"/>
      <c r="F1791" s="1083"/>
      <c r="G1791" s="1084"/>
      <c r="H1791" s="1069"/>
      <c r="I1791" s="618"/>
      <c r="J1791" s="619"/>
      <c r="K1791" s="618"/>
      <c r="L1791" s="620"/>
      <c r="M1791" s="621"/>
      <c r="N1791" s="620"/>
    </row>
    <row r="1792" spans="1:14" ht="11.25" customHeight="1" x14ac:dyDescent="0.25">
      <c r="A1792" s="615"/>
      <c r="B1792" s="616"/>
      <c r="C1792" s="617"/>
      <c r="D1792" s="617"/>
      <c r="E1792" s="617"/>
      <c r="F1792" s="1083"/>
      <c r="G1792" s="1084"/>
      <c r="H1792" s="1069"/>
      <c r="I1792" s="618"/>
      <c r="J1792" s="619"/>
      <c r="K1792" s="618"/>
      <c r="L1792" s="620"/>
      <c r="M1792" s="621"/>
      <c r="N1792" s="620"/>
    </row>
    <row r="1793" spans="1:14" ht="11.25" customHeight="1" x14ac:dyDescent="0.25">
      <c r="A1793" s="615"/>
      <c r="B1793" s="616"/>
      <c r="C1793" s="617"/>
      <c r="D1793" s="617"/>
      <c r="E1793" s="617"/>
      <c r="F1793" s="1083"/>
      <c r="G1793" s="1084"/>
      <c r="H1793" s="1069"/>
      <c r="I1793" s="618"/>
      <c r="J1793" s="619"/>
      <c r="K1793" s="618"/>
      <c r="L1793" s="620"/>
      <c r="M1793" s="621"/>
      <c r="N1793" s="620"/>
    </row>
    <row r="1794" spans="1:14" ht="11.25" customHeight="1" x14ac:dyDescent="0.25">
      <c r="A1794" s="615"/>
      <c r="B1794" s="616"/>
      <c r="C1794" s="617"/>
      <c r="D1794" s="617"/>
      <c r="E1794" s="617"/>
      <c r="F1794" s="1083"/>
      <c r="G1794" s="1084"/>
      <c r="H1794" s="1069"/>
      <c r="I1794" s="618"/>
      <c r="J1794" s="619"/>
      <c r="K1794" s="618"/>
      <c r="L1794" s="620"/>
      <c r="M1794" s="621"/>
      <c r="N1794" s="620"/>
    </row>
    <row r="1795" spans="1:14" ht="11.25" customHeight="1" x14ac:dyDescent="0.25">
      <c r="A1795" s="615"/>
      <c r="B1795" s="616"/>
      <c r="C1795" s="617"/>
      <c r="D1795" s="617"/>
      <c r="E1795" s="617"/>
      <c r="F1795" s="1083"/>
      <c r="G1795" s="1084"/>
      <c r="H1795" s="1069"/>
      <c r="I1795" s="618"/>
      <c r="J1795" s="619"/>
      <c r="K1795" s="618"/>
      <c r="L1795" s="620"/>
      <c r="M1795" s="621"/>
      <c r="N1795" s="620"/>
    </row>
    <row r="1796" spans="1:14" ht="11.25" customHeight="1" x14ac:dyDescent="0.25">
      <c r="A1796" s="615"/>
      <c r="B1796" s="616"/>
      <c r="C1796" s="617"/>
      <c r="D1796" s="617"/>
      <c r="E1796" s="617"/>
      <c r="F1796" s="1083"/>
      <c r="G1796" s="1084"/>
      <c r="H1796" s="1069"/>
      <c r="I1796" s="618"/>
      <c r="J1796" s="619"/>
      <c r="K1796" s="618"/>
      <c r="L1796" s="620"/>
      <c r="M1796" s="621"/>
      <c r="N1796" s="620"/>
    </row>
    <row r="1797" spans="1:14" ht="11.25" customHeight="1" x14ac:dyDescent="0.25">
      <c r="A1797" s="615"/>
      <c r="B1797" s="616"/>
      <c r="C1797" s="617"/>
      <c r="D1797" s="617"/>
      <c r="E1797" s="617"/>
      <c r="F1797" s="1083"/>
      <c r="G1797" s="1084"/>
      <c r="H1797" s="1069"/>
      <c r="I1797" s="618"/>
      <c r="J1797" s="619"/>
      <c r="K1797" s="618"/>
      <c r="L1797" s="620"/>
      <c r="M1797" s="621"/>
      <c r="N1797" s="620"/>
    </row>
    <row r="1798" spans="1:14" ht="11.25" customHeight="1" x14ac:dyDescent="0.25">
      <c r="A1798" s="615"/>
      <c r="B1798" s="616"/>
      <c r="C1798" s="617"/>
      <c r="D1798" s="617"/>
      <c r="E1798" s="617"/>
      <c r="F1798" s="1083"/>
      <c r="G1798" s="1084"/>
      <c r="H1798" s="1069"/>
      <c r="I1798" s="618"/>
      <c r="J1798" s="619"/>
      <c r="K1798" s="618"/>
      <c r="L1798" s="620"/>
      <c r="M1798" s="621"/>
      <c r="N1798" s="620"/>
    </row>
    <row r="1799" spans="1:14" ht="11.25" customHeight="1" x14ac:dyDescent="0.25">
      <c r="A1799" s="615"/>
      <c r="B1799" s="616"/>
      <c r="C1799" s="617"/>
      <c r="D1799" s="617"/>
      <c r="E1799" s="617"/>
      <c r="F1799" s="1083"/>
      <c r="G1799" s="1084"/>
      <c r="H1799" s="1069"/>
      <c r="I1799" s="618"/>
      <c r="J1799" s="619"/>
      <c r="K1799" s="618"/>
      <c r="L1799" s="620"/>
      <c r="M1799" s="621"/>
      <c r="N1799" s="620"/>
    </row>
    <row r="1800" spans="1:14" ht="11.25" customHeight="1" x14ac:dyDescent="0.25">
      <c r="A1800" s="615"/>
      <c r="B1800" s="616"/>
      <c r="C1800" s="617"/>
      <c r="D1800" s="617"/>
      <c r="E1800" s="617"/>
      <c r="F1800" s="1083"/>
      <c r="G1800" s="1084"/>
      <c r="H1800" s="1069"/>
      <c r="I1800" s="618"/>
      <c r="J1800" s="619"/>
      <c r="K1800" s="618"/>
      <c r="L1800" s="620"/>
      <c r="M1800" s="621"/>
      <c r="N1800" s="620"/>
    </row>
    <row r="1801" spans="1:14" ht="11.25" customHeight="1" x14ac:dyDescent="0.25">
      <c r="A1801" s="615"/>
      <c r="B1801" s="616"/>
      <c r="C1801" s="617"/>
      <c r="D1801" s="617"/>
      <c r="E1801" s="617"/>
      <c r="F1801" s="1083"/>
      <c r="G1801" s="1084"/>
      <c r="H1801" s="1069"/>
      <c r="I1801" s="618"/>
      <c r="J1801" s="619"/>
      <c r="K1801" s="618"/>
      <c r="L1801" s="620"/>
      <c r="M1801" s="621"/>
      <c r="N1801" s="620"/>
    </row>
    <row r="1802" spans="1:14" ht="11.25" customHeight="1" x14ac:dyDescent="0.25">
      <c r="A1802" s="615"/>
      <c r="B1802" s="616"/>
      <c r="C1802" s="617"/>
      <c r="D1802" s="617"/>
      <c r="E1802" s="617"/>
      <c r="F1802" s="1083"/>
      <c r="G1802" s="1084"/>
      <c r="H1802" s="1069"/>
      <c r="I1802" s="618"/>
      <c r="J1802" s="619"/>
      <c r="K1802" s="618"/>
      <c r="L1802" s="620"/>
      <c r="M1802" s="621"/>
      <c r="N1802" s="620"/>
    </row>
    <row r="1803" spans="1:14" ht="11.25" customHeight="1" x14ac:dyDescent="0.25">
      <c r="A1803" s="615"/>
      <c r="B1803" s="616"/>
      <c r="C1803" s="617"/>
      <c r="D1803" s="617"/>
      <c r="E1803" s="617"/>
      <c r="F1803" s="1083"/>
      <c r="G1803" s="1084"/>
      <c r="H1803" s="1069"/>
      <c r="I1803" s="618"/>
      <c r="J1803" s="619"/>
      <c r="K1803" s="618"/>
      <c r="L1803" s="620"/>
      <c r="M1803" s="621"/>
      <c r="N1803" s="620"/>
    </row>
    <row r="1804" spans="1:14" ht="11.25" customHeight="1" x14ac:dyDescent="0.25">
      <c r="A1804" s="615"/>
      <c r="B1804" s="616"/>
      <c r="C1804" s="617"/>
      <c r="D1804" s="617"/>
      <c r="E1804" s="617"/>
      <c r="F1804" s="1083"/>
      <c r="G1804" s="1084"/>
      <c r="H1804" s="1069"/>
      <c r="I1804" s="618"/>
      <c r="J1804" s="619"/>
      <c r="K1804" s="618"/>
      <c r="L1804" s="620"/>
      <c r="M1804" s="621"/>
      <c r="N1804" s="620"/>
    </row>
    <row r="1805" spans="1:14" ht="11.25" customHeight="1" x14ac:dyDescent="0.25">
      <c r="A1805" s="615"/>
      <c r="B1805" s="616"/>
      <c r="C1805" s="617"/>
      <c r="D1805" s="617"/>
      <c r="E1805" s="617"/>
      <c r="F1805" s="1083"/>
      <c r="G1805" s="1084"/>
      <c r="H1805" s="1069"/>
      <c r="I1805" s="618"/>
      <c r="J1805" s="619"/>
      <c r="K1805" s="618"/>
      <c r="L1805" s="620"/>
      <c r="M1805" s="621"/>
      <c r="N1805" s="620"/>
    </row>
    <row r="1806" spans="1:14" ht="11.25" customHeight="1" x14ac:dyDescent="0.25">
      <c r="A1806" s="615"/>
      <c r="B1806" s="616"/>
      <c r="C1806" s="617"/>
      <c r="D1806" s="617"/>
      <c r="E1806" s="617"/>
      <c r="F1806" s="1083"/>
      <c r="G1806" s="1084"/>
      <c r="H1806" s="1069"/>
      <c r="I1806" s="618"/>
      <c r="J1806" s="619"/>
      <c r="K1806" s="618"/>
      <c r="L1806" s="620"/>
      <c r="M1806" s="621"/>
      <c r="N1806" s="620"/>
    </row>
    <row r="1807" spans="1:14" ht="11.25" customHeight="1" x14ac:dyDescent="0.25">
      <c r="A1807" s="615"/>
      <c r="B1807" s="616"/>
      <c r="C1807" s="617"/>
      <c r="D1807" s="617"/>
      <c r="E1807" s="617"/>
      <c r="F1807" s="1083"/>
      <c r="G1807" s="1084"/>
      <c r="H1807" s="1069"/>
      <c r="I1807" s="618"/>
      <c r="J1807" s="619"/>
      <c r="K1807" s="618"/>
      <c r="L1807" s="620"/>
      <c r="M1807" s="621"/>
      <c r="N1807" s="620"/>
    </row>
    <row r="1808" spans="1:14" ht="11.25" customHeight="1" x14ac:dyDescent="0.25">
      <c r="A1808" s="615"/>
      <c r="B1808" s="616"/>
      <c r="C1808" s="617"/>
      <c r="D1808" s="617"/>
      <c r="E1808" s="617"/>
      <c r="F1808" s="1083"/>
      <c r="G1808" s="1084"/>
      <c r="H1808" s="1069"/>
      <c r="I1808" s="618"/>
      <c r="J1808" s="619"/>
      <c r="K1808" s="618"/>
      <c r="L1808" s="620"/>
      <c r="M1808" s="621"/>
      <c r="N1808" s="620"/>
    </row>
    <row r="1809" spans="1:14" ht="11.25" customHeight="1" x14ac:dyDescent="0.25">
      <c r="A1809" s="615"/>
      <c r="B1809" s="616"/>
      <c r="C1809" s="617"/>
      <c r="D1809" s="617"/>
      <c r="E1809" s="617"/>
      <c r="F1809" s="1083"/>
      <c r="G1809" s="1084"/>
      <c r="H1809" s="1069"/>
      <c r="I1809" s="618"/>
      <c r="J1809" s="619"/>
      <c r="K1809" s="618"/>
      <c r="L1809" s="620"/>
      <c r="M1809" s="621"/>
      <c r="N1809" s="620"/>
    </row>
    <row r="1810" spans="1:14" ht="11.25" customHeight="1" x14ac:dyDescent="0.25">
      <c r="A1810" s="615"/>
      <c r="B1810" s="616"/>
      <c r="C1810" s="617"/>
      <c r="D1810" s="617"/>
      <c r="E1810" s="617"/>
      <c r="F1810" s="1083"/>
      <c r="G1810" s="1084"/>
      <c r="H1810" s="1069"/>
      <c r="I1810" s="618"/>
      <c r="J1810" s="619"/>
      <c r="K1810" s="618"/>
      <c r="L1810" s="620"/>
      <c r="M1810" s="621"/>
      <c r="N1810" s="620"/>
    </row>
    <row r="1811" spans="1:14" ht="11.25" customHeight="1" x14ac:dyDescent="0.25">
      <c r="A1811" s="615"/>
      <c r="B1811" s="616"/>
      <c r="C1811" s="617"/>
      <c r="D1811" s="617"/>
      <c r="E1811" s="617"/>
      <c r="F1811" s="1083"/>
      <c r="G1811" s="1084"/>
      <c r="H1811" s="1069"/>
      <c r="I1811" s="618"/>
      <c r="J1811" s="619"/>
      <c r="K1811" s="618"/>
      <c r="L1811" s="620"/>
      <c r="M1811" s="621"/>
      <c r="N1811" s="620"/>
    </row>
    <row r="1812" spans="1:14" ht="11.25" customHeight="1" x14ac:dyDescent="0.25">
      <c r="A1812" s="615"/>
      <c r="B1812" s="616"/>
      <c r="C1812" s="617"/>
      <c r="D1812" s="617"/>
      <c r="E1812" s="617"/>
      <c r="F1812" s="1083"/>
      <c r="G1812" s="1084"/>
      <c r="H1812" s="1069"/>
      <c r="I1812" s="618"/>
      <c r="J1812" s="619"/>
      <c r="K1812" s="618"/>
      <c r="L1812" s="620"/>
      <c r="M1812" s="621"/>
      <c r="N1812" s="620"/>
    </row>
    <row r="1813" spans="1:14" ht="11.25" customHeight="1" x14ac:dyDescent="0.25">
      <c r="A1813" s="615"/>
      <c r="B1813" s="616"/>
      <c r="C1813" s="617"/>
      <c r="D1813" s="617"/>
      <c r="E1813" s="617"/>
      <c r="F1813" s="1083"/>
      <c r="G1813" s="1084"/>
      <c r="H1813" s="1069"/>
      <c r="I1813" s="618"/>
      <c r="J1813" s="619"/>
      <c r="K1813" s="618"/>
      <c r="L1813" s="620"/>
      <c r="M1813" s="621"/>
      <c r="N1813" s="620"/>
    </row>
    <row r="1814" spans="1:14" ht="11.25" customHeight="1" x14ac:dyDescent="0.25">
      <c r="A1814" s="615"/>
      <c r="B1814" s="616"/>
      <c r="C1814" s="617"/>
      <c r="D1814" s="617"/>
      <c r="E1814" s="617"/>
      <c r="F1814" s="1083"/>
      <c r="G1814" s="1084"/>
      <c r="H1814" s="1069"/>
      <c r="I1814" s="618"/>
      <c r="J1814" s="619"/>
      <c r="K1814" s="618"/>
      <c r="L1814" s="620"/>
      <c r="M1814" s="621"/>
      <c r="N1814" s="620"/>
    </row>
    <row r="1815" spans="1:14" ht="11.25" customHeight="1" x14ac:dyDescent="0.25">
      <c r="A1815" s="615"/>
      <c r="B1815" s="616"/>
      <c r="C1815" s="617"/>
      <c r="D1815" s="617"/>
      <c r="E1815" s="617"/>
      <c r="F1815" s="1083"/>
      <c r="G1815" s="1084"/>
      <c r="H1815" s="1069"/>
      <c r="I1815" s="618"/>
      <c r="J1815" s="619"/>
      <c r="K1815" s="618"/>
      <c r="L1815" s="620"/>
      <c r="M1815" s="621"/>
      <c r="N1815" s="620"/>
    </row>
    <row r="1816" spans="1:14" ht="11.25" customHeight="1" x14ac:dyDescent="0.25">
      <c r="A1816" s="615"/>
      <c r="B1816" s="616"/>
      <c r="C1816" s="617"/>
      <c r="D1816" s="617"/>
      <c r="E1816" s="617"/>
      <c r="F1816" s="1083"/>
      <c r="G1816" s="1084"/>
      <c r="H1816" s="1069"/>
      <c r="I1816" s="618"/>
      <c r="J1816" s="619"/>
      <c r="K1816" s="618"/>
      <c r="L1816" s="620"/>
      <c r="M1816" s="621"/>
      <c r="N1816" s="620"/>
    </row>
    <row r="1817" spans="1:14" ht="11.25" customHeight="1" x14ac:dyDescent="0.25">
      <c r="A1817" s="615"/>
      <c r="B1817" s="616"/>
      <c r="C1817" s="617"/>
      <c r="D1817" s="617"/>
      <c r="E1817" s="617"/>
      <c r="F1817" s="1083"/>
      <c r="G1817" s="1084"/>
      <c r="H1817" s="1069"/>
      <c r="I1817" s="618"/>
      <c r="J1817" s="619"/>
      <c r="K1817" s="618"/>
      <c r="L1817" s="620"/>
      <c r="M1817" s="621"/>
      <c r="N1817" s="620"/>
    </row>
    <row r="1818" spans="1:14" ht="11.25" customHeight="1" x14ac:dyDescent="0.25">
      <c r="A1818" s="615"/>
      <c r="B1818" s="616"/>
      <c r="C1818" s="617"/>
      <c r="D1818" s="617"/>
      <c r="E1818" s="617"/>
      <c r="F1818" s="1083"/>
      <c r="G1818" s="1084"/>
      <c r="H1818" s="1069"/>
      <c r="I1818" s="618"/>
      <c r="J1818" s="619"/>
      <c r="K1818" s="618"/>
      <c r="L1818" s="620"/>
      <c r="M1818" s="621"/>
      <c r="N1818" s="620"/>
    </row>
    <row r="1819" spans="1:14" ht="11.25" customHeight="1" x14ac:dyDescent="0.25">
      <c r="A1819" s="615"/>
      <c r="B1819" s="616"/>
      <c r="C1819" s="617"/>
      <c r="D1819" s="617"/>
      <c r="E1819" s="617"/>
      <c r="F1819" s="1083"/>
      <c r="G1819" s="1084"/>
      <c r="H1819" s="1069"/>
      <c r="I1819" s="618"/>
      <c r="J1819" s="619"/>
      <c r="K1819" s="618"/>
      <c r="L1819" s="620"/>
      <c r="M1819" s="621"/>
      <c r="N1819" s="620"/>
    </row>
    <row r="1820" spans="1:14" ht="11.25" customHeight="1" x14ac:dyDescent="0.25">
      <c r="A1820" s="615"/>
      <c r="B1820" s="616"/>
      <c r="C1820" s="617"/>
      <c r="D1820" s="617"/>
      <c r="E1820" s="617"/>
      <c r="F1820" s="1083"/>
      <c r="G1820" s="1084"/>
      <c r="H1820" s="1069"/>
      <c r="I1820" s="618"/>
      <c r="J1820" s="619"/>
      <c r="K1820" s="618"/>
      <c r="L1820" s="620"/>
      <c r="M1820" s="621"/>
      <c r="N1820" s="620"/>
    </row>
    <row r="1821" spans="1:14" ht="11.25" customHeight="1" x14ac:dyDescent="0.25">
      <c r="A1821" s="615"/>
      <c r="B1821" s="616"/>
      <c r="C1821" s="617"/>
      <c r="D1821" s="617"/>
      <c r="E1821" s="617"/>
      <c r="F1821" s="1083"/>
      <c r="G1821" s="1084"/>
      <c r="H1821" s="1069"/>
      <c r="I1821" s="618"/>
      <c r="J1821" s="619"/>
      <c r="K1821" s="618"/>
      <c r="L1821" s="620"/>
      <c r="M1821" s="621"/>
      <c r="N1821" s="620"/>
    </row>
    <row r="1822" spans="1:14" ht="11.25" customHeight="1" x14ac:dyDescent="0.25">
      <c r="A1822" s="615"/>
      <c r="B1822" s="616"/>
      <c r="C1822" s="617"/>
      <c r="D1822" s="617"/>
      <c r="E1822" s="617"/>
      <c r="F1822" s="1083"/>
      <c r="G1822" s="1084"/>
      <c r="H1822" s="1069"/>
      <c r="I1822" s="618"/>
      <c r="J1822" s="619"/>
      <c r="K1822" s="618"/>
      <c r="L1822" s="620"/>
      <c r="M1822" s="621"/>
      <c r="N1822" s="620"/>
    </row>
    <row r="1823" spans="1:14" ht="11.25" customHeight="1" x14ac:dyDescent="0.25">
      <c r="A1823" s="615"/>
      <c r="B1823" s="616"/>
      <c r="C1823" s="617"/>
      <c r="D1823" s="617"/>
      <c r="E1823" s="617"/>
      <c r="F1823" s="1083"/>
      <c r="G1823" s="1084"/>
      <c r="H1823" s="1069"/>
      <c r="I1823" s="618"/>
      <c r="J1823" s="619"/>
      <c r="K1823" s="618"/>
      <c r="L1823" s="620"/>
      <c r="M1823" s="621"/>
      <c r="N1823" s="620"/>
    </row>
    <row r="1824" spans="1:14" ht="11.25" customHeight="1" x14ac:dyDescent="0.25">
      <c r="A1824" s="615"/>
      <c r="B1824" s="616"/>
      <c r="C1824" s="617"/>
      <c r="D1824" s="617"/>
      <c r="E1824" s="617"/>
      <c r="F1824" s="1083"/>
      <c r="G1824" s="1084"/>
      <c r="H1824" s="1069"/>
      <c r="I1824" s="618"/>
      <c r="J1824" s="619"/>
      <c r="K1824" s="618"/>
      <c r="L1824" s="620"/>
      <c r="M1824" s="621"/>
      <c r="N1824" s="620"/>
    </row>
    <row r="1825" spans="1:14" ht="11.25" customHeight="1" x14ac:dyDescent="0.25">
      <c r="A1825" s="615"/>
      <c r="B1825" s="616"/>
      <c r="C1825" s="617"/>
      <c r="D1825" s="617"/>
      <c r="E1825" s="617"/>
      <c r="F1825" s="1083"/>
      <c r="G1825" s="1084"/>
      <c r="H1825" s="1069"/>
      <c r="I1825" s="618"/>
      <c r="J1825" s="619"/>
      <c r="K1825" s="618"/>
      <c r="L1825" s="620"/>
      <c r="M1825" s="621"/>
      <c r="N1825" s="620"/>
    </row>
    <row r="1826" spans="1:14" ht="11.25" customHeight="1" x14ac:dyDescent="0.25">
      <c r="A1826" s="615"/>
      <c r="B1826" s="616"/>
      <c r="C1826" s="617"/>
      <c r="D1826" s="617"/>
      <c r="E1826" s="617"/>
      <c r="F1826" s="1083"/>
      <c r="G1826" s="1084"/>
      <c r="H1826" s="1069"/>
      <c r="I1826" s="618"/>
      <c r="J1826" s="619"/>
      <c r="K1826" s="618"/>
      <c r="L1826" s="620"/>
      <c r="M1826" s="621"/>
      <c r="N1826" s="620"/>
    </row>
    <row r="1827" spans="1:14" ht="11.25" customHeight="1" x14ac:dyDescent="0.25">
      <c r="A1827" s="615"/>
      <c r="B1827" s="616"/>
      <c r="C1827" s="617"/>
      <c r="D1827" s="617"/>
      <c r="E1827" s="617"/>
      <c r="F1827" s="1083"/>
      <c r="G1827" s="1084"/>
      <c r="H1827" s="1069"/>
      <c r="I1827" s="618"/>
      <c r="J1827" s="619"/>
      <c r="K1827" s="618"/>
      <c r="L1827" s="620"/>
      <c r="M1827" s="621"/>
      <c r="N1827" s="620"/>
    </row>
    <row r="1828" spans="1:14" ht="11.25" customHeight="1" x14ac:dyDescent="0.25">
      <c r="A1828" s="615"/>
      <c r="B1828" s="616"/>
      <c r="C1828" s="617"/>
      <c r="D1828" s="617"/>
      <c r="E1828" s="617"/>
      <c r="F1828" s="1083"/>
      <c r="G1828" s="1084"/>
      <c r="H1828" s="1069"/>
      <c r="I1828" s="618"/>
      <c r="J1828" s="619"/>
      <c r="K1828" s="618"/>
      <c r="L1828" s="620"/>
      <c r="M1828" s="621"/>
      <c r="N1828" s="620"/>
    </row>
    <row r="1829" spans="1:14" ht="11.25" customHeight="1" x14ac:dyDescent="0.25">
      <c r="A1829" s="615"/>
      <c r="B1829" s="616"/>
      <c r="C1829" s="617"/>
      <c r="D1829" s="617"/>
      <c r="E1829" s="617"/>
      <c r="F1829" s="1083"/>
      <c r="G1829" s="1084"/>
      <c r="H1829" s="1069"/>
      <c r="I1829" s="618"/>
      <c r="J1829" s="619"/>
      <c r="K1829" s="618"/>
      <c r="L1829" s="620"/>
      <c r="M1829" s="621"/>
      <c r="N1829" s="620"/>
    </row>
    <row r="1830" spans="1:14" ht="11.25" customHeight="1" x14ac:dyDescent="0.25">
      <c r="A1830" s="615"/>
      <c r="B1830" s="616"/>
      <c r="C1830" s="617"/>
      <c r="D1830" s="617"/>
      <c r="E1830" s="617"/>
      <c r="F1830" s="1083"/>
      <c r="G1830" s="1084"/>
      <c r="H1830" s="1069"/>
      <c r="I1830" s="618"/>
      <c r="J1830" s="619"/>
      <c r="K1830" s="618"/>
      <c r="L1830" s="620"/>
      <c r="M1830" s="621"/>
      <c r="N1830" s="620"/>
    </row>
    <row r="1831" spans="1:14" ht="11.25" customHeight="1" x14ac:dyDescent="0.25">
      <c r="A1831" s="615"/>
      <c r="B1831" s="616"/>
      <c r="C1831" s="617"/>
      <c r="D1831" s="617"/>
      <c r="E1831" s="617"/>
      <c r="F1831" s="1083"/>
      <c r="G1831" s="1084"/>
      <c r="H1831" s="1069"/>
      <c r="I1831" s="618"/>
      <c r="J1831" s="619"/>
      <c r="K1831" s="618"/>
      <c r="L1831" s="620"/>
      <c r="M1831" s="621"/>
      <c r="N1831" s="620"/>
    </row>
    <row r="1832" spans="1:14" ht="11.25" customHeight="1" x14ac:dyDescent="0.25">
      <c r="A1832" s="615"/>
      <c r="B1832" s="616"/>
      <c r="C1832" s="617"/>
      <c r="D1832" s="617"/>
      <c r="E1832" s="617"/>
      <c r="F1832" s="1083"/>
      <c r="G1832" s="1084"/>
      <c r="H1832" s="1069"/>
      <c r="I1832" s="618"/>
      <c r="J1832" s="619"/>
      <c r="K1832" s="618"/>
      <c r="L1832" s="620"/>
      <c r="M1832" s="621"/>
      <c r="N1832" s="620"/>
    </row>
    <row r="1833" spans="1:14" ht="11.25" customHeight="1" x14ac:dyDescent="0.25">
      <c r="A1833" s="615"/>
      <c r="B1833" s="616"/>
      <c r="C1833" s="617"/>
      <c r="D1833" s="617"/>
      <c r="E1833" s="617"/>
      <c r="F1833" s="1083"/>
      <c r="G1833" s="1084"/>
      <c r="H1833" s="1069"/>
      <c r="I1833" s="618"/>
      <c r="J1833" s="619"/>
      <c r="K1833" s="618"/>
      <c r="L1833" s="620"/>
      <c r="M1833" s="621"/>
      <c r="N1833" s="620"/>
    </row>
    <row r="1834" spans="1:14" ht="11.25" customHeight="1" x14ac:dyDescent="0.25">
      <c r="A1834" s="615"/>
      <c r="B1834" s="616"/>
      <c r="C1834" s="617"/>
      <c r="D1834" s="617"/>
      <c r="E1834" s="617"/>
      <c r="F1834" s="1083"/>
      <c r="G1834" s="1084"/>
      <c r="H1834" s="1069"/>
      <c r="I1834" s="618"/>
      <c r="J1834" s="619"/>
      <c r="K1834" s="618"/>
      <c r="L1834" s="620"/>
      <c r="M1834" s="621"/>
      <c r="N1834" s="620"/>
    </row>
    <row r="1835" spans="1:14" ht="11.25" customHeight="1" x14ac:dyDescent="0.25">
      <c r="A1835" s="615"/>
      <c r="B1835" s="616"/>
      <c r="C1835" s="617"/>
      <c r="D1835" s="617"/>
      <c r="E1835" s="617"/>
      <c r="F1835" s="1083"/>
      <c r="G1835" s="1084"/>
      <c r="H1835" s="1069"/>
      <c r="I1835" s="618"/>
      <c r="J1835" s="619"/>
      <c r="K1835" s="618"/>
      <c r="L1835" s="620"/>
      <c r="M1835" s="621"/>
      <c r="N1835" s="620"/>
    </row>
    <row r="1836" spans="1:14" ht="11.25" customHeight="1" x14ac:dyDescent="0.25">
      <c r="A1836" s="615"/>
      <c r="B1836" s="616"/>
      <c r="C1836" s="617"/>
      <c r="D1836" s="617"/>
      <c r="E1836" s="617"/>
      <c r="F1836" s="1083"/>
      <c r="G1836" s="1084"/>
      <c r="H1836" s="1069"/>
      <c r="I1836" s="618"/>
      <c r="J1836" s="619"/>
      <c r="K1836" s="618"/>
      <c r="L1836" s="620"/>
      <c r="M1836" s="621"/>
      <c r="N1836" s="620"/>
    </row>
    <row r="1837" spans="1:14" ht="11.25" customHeight="1" x14ac:dyDescent="0.25">
      <c r="A1837" s="615"/>
      <c r="B1837" s="616"/>
      <c r="C1837" s="617"/>
      <c r="D1837" s="617"/>
      <c r="E1837" s="617"/>
      <c r="F1837" s="1083"/>
      <c r="G1837" s="1084"/>
      <c r="H1837" s="1069"/>
      <c r="I1837" s="618"/>
      <c r="J1837" s="619"/>
      <c r="K1837" s="618"/>
      <c r="L1837" s="620"/>
      <c r="M1837" s="621"/>
      <c r="N1837" s="620"/>
    </row>
    <row r="1838" spans="1:14" ht="11.25" customHeight="1" x14ac:dyDescent="0.25">
      <c r="A1838" s="615"/>
      <c r="B1838" s="616"/>
      <c r="C1838" s="617"/>
      <c r="D1838" s="617"/>
      <c r="E1838" s="617"/>
      <c r="F1838" s="1083"/>
      <c r="G1838" s="1084"/>
      <c r="H1838" s="1069"/>
      <c r="I1838" s="618"/>
      <c r="J1838" s="619"/>
      <c r="K1838" s="618"/>
      <c r="L1838" s="620"/>
      <c r="M1838" s="621"/>
      <c r="N1838" s="620"/>
    </row>
    <row r="1839" spans="1:14" ht="11.25" customHeight="1" x14ac:dyDescent="0.25">
      <c r="A1839" s="615"/>
      <c r="B1839" s="616"/>
      <c r="C1839" s="617"/>
      <c r="D1839" s="617"/>
      <c r="E1839" s="617"/>
      <c r="F1839" s="1083"/>
      <c r="G1839" s="1084"/>
      <c r="H1839" s="1069"/>
      <c r="I1839" s="618"/>
      <c r="J1839" s="619"/>
      <c r="K1839" s="618"/>
      <c r="L1839" s="620"/>
      <c r="M1839" s="621"/>
      <c r="N1839" s="620"/>
    </row>
    <row r="1840" spans="1:14" ht="11.25" customHeight="1" x14ac:dyDescent="0.25">
      <c r="A1840" s="615"/>
      <c r="B1840" s="616"/>
      <c r="C1840" s="617"/>
      <c r="D1840" s="617"/>
      <c r="E1840" s="617"/>
      <c r="F1840" s="1083"/>
      <c r="G1840" s="1084"/>
      <c r="H1840" s="1069"/>
      <c r="I1840" s="618"/>
      <c r="J1840" s="619"/>
      <c r="K1840" s="618"/>
      <c r="L1840" s="620"/>
      <c r="M1840" s="621"/>
      <c r="N1840" s="620"/>
    </row>
    <row r="1841" spans="1:14" ht="11.25" customHeight="1" x14ac:dyDescent="0.25">
      <c r="A1841" s="615"/>
      <c r="B1841" s="616"/>
      <c r="C1841" s="617"/>
      <c r="D1841" s="617"/>
      <c r="E1841" s="617"/>
      <c r="F1841" s="1083"/>
      <c r="G1841" s="1084"/>
      <c r="H1841" s="1069"/>
      <c r="I1841" s="618"/>
      <c r="J1841" s="619"/>
      <c r="K1841" s="618"/>
      <c r="L1841" s="620"/>
      <c r="M1841" s="621"/>
      <c r="N1841" s="620"/>
    </row>
    <row r="1842" spans="1:14" ht="11.25" customHeight="1" x14ac:dyDescent="0.25">
      <c r="A1842" s="615"/>
      <c r="B1842" s="616"/>
      <c r="C1842" s="617"/>
      <c r="D1842" s="617"/>
      <c r="E1842" s="617"/>
      <c r="F1842" s="1083"/>
      <c r="G1842" s="1084"/>
      <c r="H1842" s="1069"/>
      <c r="I1842" s="618"/>
      <c r="J1842" s="619"/>
      <c r="K1842" s="618"/>
      <c r="L1842" s="620"/>
      <c r="M1842" s="621"/>
      <c r="N1842" s="620"/>
    </row>
    <row r="1843" spans="1:14" ht="11.25" customHeight="1" x14ac:dyDescent="0.25">
      <c r="A1843" s="615"/>
      <c r="B1843" s="616"/>
      <c r="C1843" s="617"/>
      <c r="D1843" s="617"/>
      <c r="E1843" s="617"/>
      <c r="F1843" s="1083"/>
      <c r="G1843" s="1084"/>
      <c r="H1843" s="1069"/>
      <c r="I1843" s="618"/>
      <c r="J1843" s="619"/>
      <c r="K1843" s="618"/>
      <c r="L1843" s="620"/>
      <c r="M1843" s="621"/>
      <c r="N1843" s="620"/>
    </row>
    <row r="1844" spans="1:14" ht="11.25" customHeight="1" x14ac:dyDescent="0.25">
      <c r="A1844" s="615"/>
      <c r="B1844" s="616"/>
      <c r="C1844" s="617"/>
      <c r="D1844" s="617"/>
      <c r="E1844" s="617"/>
      <c r="F1844" s="1083"/>
      <c r="G1844" s="1084"/>
      <c r="H1844" s="1069"/>
      <c r="I1844" s="618"/>
      <c r="J1844" s="619"/>
      <c r="K1844" s="618"/>
      <c r="L1844" s="620"/>
      <c r="M1844" s="621"/>
      <c r="N1844" s="620"/>
    </row>
    <row r="1845" spans="1:14" ht="11.25" customHeight="1" x14ac:dyDescent="0.25">
      <c r="A1845" s="615"/>
      <c r="B1845" s="616"/>
      <c r="C1845" s="617"/>
      <c r="D1845" s="617"/>
      <c r="E1845" s="617"/>
      <c r="F1845" s="1083"/>
      <c r="G1845" s="1084"/>
      <c r="H1845" s="1069"/>
      <c r="I1845" s="618"/>
      <c r="J1845" s="619"/>
      <c r="K1845" s="618"/>
      <c r="L1845" s="620"/>
      <c r="M1845" s="621"/>
      <c r="N1845" s="620"/>
    </row>
    <row r="1846" spans="1:14" ht="11.25" customHeight="1" x14ac:dyDescent="0.25">
      <c r="A1846" s="615"/>
      <c r="B1846" s="616"/>
      <c r="C1846" s="617"/>
      <c r="D1846" s="617"/>
      <c r="E1846" s="617"/>
      <c r="F1846" s="1083"/>
      <c r="G1846" s="1084"/>
      <c r="H1846" s="1069"/>
      <c r="I1846" s="618"/>
      <c r="J1846" s="619"/>
      <c r="K1846" s="618"/>
      <c r="L1846" s="620"/>
      <c r="M1846" s="621"/>
      <c r="N1846" s="620"/>
    </row>
    <row r="1847" spans="1:14" ht="11.25" customHeight="1" x14ac:dyDescent="0.25">
      <c r="A1847" s="615"/>
      <c r="B1847" s="616"/>
      <c r="C1847" s="617"/>
      <c r="D1847" s="617"/>
      <c r="E1847" s="617"/>
      <c r="F1847" s="1083"/>
      <c r="G1847" s="1084"/>
      <c r="H1847" s="1069"/>
      <c r="I1847" s="618"/>
      <c r="J1847" s="619"/>
      <c r="K1847" s="618"/>
      <c r="L1847" s="620"/>
      <c r="M1847" s="621"/>
      <c r="N1847" s="620"/>
    </row>
    <row r="1848" spans="1:14" ht="11.25" customHeight="1" x14ac:dyDescent="0.25">
      <c r="A1848" s="615"/>
      <c r="B1848" s="616"/>
      <c r="C1848" s="617"/>
      <c r="D1848" s="617"/>
      <c r="E1848" s="617"/>
      <c r="F1848" s="1083"/>
      <c r="G1848" s="1084"/>
      <c r="H1848" s="1069"/>
      <c r="I1848" s="618"/>
      <c r="J1848" s="619"/>
      <c r="K1848" s="618"/>
      <c r="L1848" s="620"/>
      <c r="M1848" s="621"/>
      <c r="N1848" s="620"/>
    </row>
    <row r="1849" spans="1:14" ht="11.25" customHeight="1" x14ac:dyDescent="0.25">
      <c r="A1849" s="615"/>
      <c r="B1849" s="616"/>
      <c r="C1849" s="617"/>
      <c r="D1849" s="617"/>
      <c r="E1849" s="617"/>
      <c r="F1849" s="1083"/>
      <c r="G1849" s="1084"/>
      <c r="H1849" s="1069"/>
      <c r="I1849" s="618"/>
      <c r="J1849" s="619"/>
      <c r="K1849" s="618"/>
      <c r="L1849" s="620"/>
      <c r="M1849" s="621"/>
      <c r="N1849" s="620"/>
    </row>
    <row r="1850" spans="1:14" ht="11.25" customHeight="1" x14ac:dyDescent="0.25">
      <c r="A1850" s="615"/>
      <c r="B1850" s="616"/>
      <c r="C1850" s="617"/>
      <c r="D1850" s="617"/>
      <c r="E1850" s="617"/>
      <c r="F1850" s="1083"/>
      <c r="G1850" s="1084"/>
      <c r="H1850" s="1069"/>
      <c r="I1850" s="618"/>
      <c r="J1850" s="619"/>
      <c r="K1850" s="618"/>
      <c r="L1850" s="620"/>
      <c r="M1850" s="621"/>
      <c r="N1850" s="620"/>
    </row>
    <row r="1851" spans="1:14" ht="11.25" customHeight="1" x14ac:dyDescent="0.25">
      <c r="A1851" s="615"/>
      <c r="B1851" s="616"/>
      <c r="C1851" s="617"/>
      <c r="D1851" s="617"/>
      <c r="E1851" s="617"/>
      <c r="F1851" s="1083"/>
      <c r="G1851" s="1084"/>
      <c r="H1851" s="1069"/>
      <c r="I1851" s="618"/>
      <c r="J1851" s="619"/>
      <c r="K1851" s="618"/>
      <c r="L1851" s="620"/>
      <c r="M1851" s="621"/>
      <c r="N1851" s="620"/>
    </row>
    <row r="1852" spans="1:14" ht="11.25" customHeight="1" x14ac:dyDescent="0.25">
      <c r="A1852" s="615"/>
      <c r="B1852" s="616"/>
      <c r="C1852" s="617"/>
      <c r="D1852" s="617"/>
      <c r="E1852" s="617"/>
      <c r="F1852" s="1083"/>
      <c r="G1852" s="1084"/>
      <c r="H1852" s="1069"/>
      <c r="I1852" s="618"/>
      <c r="J1852" s="619"/>
      <c r="K1852" s="618"/>
      <c r="L1852" s="620"/>
      <c r="M1852" s="621"/>
      <c r="N1852" s="620"/>
    </row>
    <row r="1853" spans="1:14" ht="11.25" customHeight="1" x14ac:dyDescent="0.25">
      <c r="A1853" s="615"/>
      <c r="B1853" s="616"/>
      <c r="C1853" s="617"/>
      <c r="D1853" s="617"/>
      <c r="E1853" s="617"/>
      <c r="F1853" s="1083"/>
      <c r="G1853" s="1084"/>
      <c r="H1853" s="1069"/>
      <c r="I1853" s="618"/>
      <c r="J1853" s="619"/>
      <c r="K1853" s="618"/>
      <c r="L1853" s="620"/>
      <c r="M1853" s="621"/>
      <c r="N1853" s="620"/>
    </row>
    <row r="1854" spans="1:14" ht="11.25" customHeight="1" x14ac:dyDescent="0.25">
      <c r="A1854" s="615"/>
      <c r="B1854" s="616"/>
      <c r="C1854" s="617"/>
      <c r="D1854" s="617"/>
      <c r="E1854" s="617"/>
      <c r="F1854" s="1083"/>
      <c r="G1854" s="1084"/>
      <c r="H1854" s="1069"/>
      <c r="I1854" s="618"/>
      <c r="J1854" s="619"/>
      <c r="K1854" s="618"/>
      <c r="L1854" s="620"/>
      <c r="M1854" s="621"/>
      <c r="N1854" s="620"/>
    </row>
    <row r="1855" spans="1:14" ht="11.25" customHeight="1" x14ac:dyDescent="0.25">
      <c r="A1855" s="615"/>
      <c r="B1855" s="616"/>
      <c r="C1855" s="617"/>
      <c r="D1855" s="617"/>
      <c r="E1855" s="617"/>
      <c r="F1855" s="1083"/>
      <c r="G1855" s="1084"/>
      <c r="H1855" s="1069"/>
      <c r="I1855" s="618"/>
      <c r="J1855" s="619"/>
      <c r="K1855" s="618"/>
      <c r="L1855" s="620"/>
      <c r="M1855" s="621"/>
      <c r="N1855" s="620"/>
    </row>
    <row r="1856" spans="1:14" ht="11.25" customHeight="1" x14ac:dyDescent="0.25">
      <c r="A1856" s="615"/>
      <c r="B1856" s="616"/>
      <c r="C1856" s="617"/>
      <c r="D1856" s="617"/>
      <c r="E1856" s="617"/>
      <c r="F1856" s="1083"/>
      <c r="G1856" s="1084"/>
      <c r="H1856" s="1069"/>
      <c r="I1856" s="618"/>
      <c r="J1856" s="619"/>
      <c r="K1856" s="618"/>
      <c r="L1856" s="620"/>
      <c r="M1856" s="621"/>
      <c r="N1856" s="620"/>
    </row>
    <row r="1857" spans="1:14" ht="11.25" customHeight="1" x14ac:dyDescent="0.25">
      <c r="A1857" s="615"/>
      <c r="B1857" s="616"/>
      <c r="C1857" s="617"/>
      <c r="D1857" s="617"/>
      <c r="E1857" s="617"/>
      <c r="F1857" s="1083"/>
      <c r="G1857" s="1084"/>
      <c r="H1857" s="1069"/>
      <c r="I1857" s="618"/>
      <c r="J1857" s="619"/>
      <c r="K1857" s="618"/>
      <c r="L1857" s="620"/>
      <c r="M1857" s="621"/>
      <c r="N1857" s="620"/>
    </row>
    <row r="1858" spans="1:14" ht="11.25" customHeight="1" x14ac:dyDescent="0.25">
      <c r="A1858" s="615"/>
      <c r="B1858" s="616"/>
      <c r="C1858" s="617"/>
      <c r="D1858" s="617"/>
      <c r="E1858" s="617"/>
      <c r="F1858" s="1083"/>
      <c r="G1858" s="1084"/>
      <c r="H1858" s="1069"/>
      <c r="I1858" s="618"/>
      <c r="J1858" s="619"/>
      <c r="K1858" s="618"/>
      <c r="L1858" s="620"/>
      <c r="M1858" s="621"/>
      <c r="N1858" s="620"/>
    </row>
    <row r="1859" spans="1:14" ht="11.25" customHeight="1" x14ac:dyDescent="0.25">
      <c r="A1859" s="615"/>
      <c r="B1859" s="616"/>
      <c r="C1859" s="617"/>
      <c r="D1859" s="617"/>
      <c r="E1859" s="617"/>
      <c r="F1859" s="1083"/>
      <c r="G1859" s="1084"/>
      <c r="H1859" s="1069"/>
      <c r="I1859" s="618"/>
      <c r="J1859" s="619"/>
      <c r="K1859" s="618"/>
      <c r="L1859" s="620"/>
      <c r="M1859" s="621"/>
      <c r="N1859" s="620"/>
    </row>
    <row r="1860" spans="1:14" ht="11.25" customHeight="1" x14ac:dyDescent="0.25">
      <c r="A1860" s="615"/>
      <c r="B1860" s="616"/>
      <c r="C1860" s="617"/>
      <c r="D1860" s="617"/>
      <c r="E1860" s="617"/>
      <c r="F1860" s="1083"/>
      <c r="G1860" s="1084"/>
      <c r="H1860" s="1069"/>
      <c r="I1860" s="618"/>
      <c r="J1860" s="619"/>
      <c r="K1860" s="618"/>
      <c r="L1860" s="620"/>
      <c r="M1860" s="621"/>
      <c r="N1860" s="620"/>
    </row>
    <row r="1861" spans="1:14" ht="11.25" customHeight="1" x14ac:dyDescent="0.25">
      <c r="A1861" s="615"/>
      <c r="B1861" s="616"/>
      <c r="C1861" s="617"/>
      <c r="D1861" s="617"/>
      <c r="E1861" s="617"/>
      <c r="F1861" s="1083"/>
      <c r="G1861" s="1084"/>
      <c r="H1861" s="1069"/>
      <c r="I1861" s="618"/>
      <c r="J1861" s="619"/>
      <c r="K1861" s="618"/>
      <c r="L1861" s="620"/>
      <c r="M1861" s="621"/>
      <c r="N1861" s="620"/>
    </row>
    <row r="1862" spans="1:14" ht="11.25" customHeight="1" x14ac:dyDescent="0.25">
      <c r="A1862" s="615"/>
      <c r="B1862" s="616"/>
      <c r="C1862" s="617"/>
      <c r="D1862" s="617"/>
      <c r="E1862" s="617"/>
      <c r="F1862" s="1083"/>
      <c r="G1862" s="1084"/>
      <c r="H1862" s="1069"/>
      <c r="I1862" s="618"/>
      <c r="J1862" s="619"/>
      <c r="K1862" s="618"/>
      <c r="L1862" s="620"/>
      <c r="M1862" s="621"/>
      <c r="N1862" s="620"/>
    </row>
    <row r="1863" spans="1:14" ht="11.25" customHeight="1" x14ac:dyDescent="0.25">
      <c r="A1863" s="615"/>
      <c r="B1863" s="616"/>
      <c r="C1863" s="617"/>
      <c r="D1863" s="617"/>
      <c r="E1863" s="617"/>
      <c r="F1863" s="1083"/>
      <c r="G1863" s="1084"/>
      <c r="H1863" s="1069"/>
      <c r="I1863" s="618"/>
      <c r="J1863" s="619"/>
      <c r="K1863" s="618"/>
      <c r="L1863" s="620"/>
      <c r="M1863" s="621"/>
      <c r="N1863" s="620"/>
    </row>
    <row r="1864" spans="1:14" ht="11.25" customHeight="1" x14ac:dyDescent="0.25">
      <c r="A1864" s="615"/>
      <c r="B1864" s="616"/>
      <c r="C1864" s="617"/>
      <c r="D1864" s="617"/>
      <c r="E1864" s="617"/>
      <c r="F1864" s="1083"/>
      <c r="G1864" s="1084"/>
      <c r="H1864" s="1069"/>
      <c r="I1864" s="618"/>
      <c r="J1864" s="619"/>
      <c r="K1864" s="618"/>
      <c r="L1864" s="620"/>
      <c r="M1864" s="621"/>
      <c r="N1864" s="620"/>
    </row>
    <row r="1865" spans="1:14" ht="11.25" customHeight="1" x14ac:dyDescent="0.25">
      <c r="A1865" s="615"/>
      <c r="B1865" s="616"/>
      <c r="C1865" s="617"/>
      <c r="D1865" s="617"/>
      <c r="E1865" s="617"/>
      <c r="F1865" s="1083"/>
      <c r="G1865" s="1084"/>
      <c r="H1865" s="1069"/>
      <c r="I1865" s="618"/>
      <c r="J1865" s="619"/>
      <c r="K1865" s="618"/>
      <c r="L1865" s="620"/>
      <c r="M1865" s="621"/>
      <c r="N1865" s="620"/>
    </row>
    <row r="1866" spans="1:14" ht="11.25" customHeight="1" x14ac:dyDescent="0.25">
      <c r="A1866" s="615"/>
      <c r="B1866" s="616"/>
      <c r="C1866" s="617"/>
      <c r="D1866" s="617"/>
      <c r="E1866" s="617"/>
      <c r="F1866" s="1083"/>
      <c r="G1866" s="1084"/>
      <c r="H1866" s="1069"/>
      <c r="I1866" s="618"/>
      <c r="J1866" s="619"/>
      <c r="K1866" s="618"/>
      <c r="L1866" s="620"/>
      <c r="M1866" s="621"/>
      <c r="N1866" s="620"/>
    </row>
    <row r="1867" spans="1:14" ht="11.25" customHeight="1" x14ac:dyDescent="0.25">
      <c r="A1867" s="615"/>
      <c r="B1867" s="616"/>
      <c r="C1867" s="617"/>
      <c r="D1867" s="617"/>
      <c r="E1867" s="617"/>
      <c r="F1867" s="1083"/>
      <c r="G1867" s="1084"/>
      <c r="H1867" s="1069"/>
      <c r="I1867" s="618"/>
      <c r="J1867" s="619"/>
      <c r="K1867" s="618"/>
      <c r="L1867" s="620"/>
      <c r="M1867" s="621"/>
      <c r="N1867" s="620"/>
    </row>
    <row r="1868" spans="1:14" ht="11.25" customHeight="1" x14ac:dyDescent="0.25">
      <c r="A1868" s="615"/>
      <c r="B1868" s="616"/>
      <c r="C1868" s="617"/>
      <c r="D1868" s="617"/>
      <c r="E1868" s="617"/>
      <c r="F1868" s="1083"/>
      <c r="G1868" s="1084"/>
      <c r="H1868" s="1069"/>
      <c r="I1868" s="618"/>
      <c r="J1868" s="619"/>
      <c r="K1868" s="618"/>
      <c r="L1868" s="620"/>
      <c r="M1868" s="621"/>
      <c r="N1868" s="620"/>
    </row>
    <row r="1869" spans="1:14" ht="11.25" customHeight="1" x14ac:dyDescent="0.25">
      <c r="A1869" s="615"/>
      <c r="B1869" s="616"/>
      <c r="C1869" s="617"/>
      <c r="D1869" s="617"/>
      <c r="E1869" s="617"/>
      <c r="F1869" s="1083"/>
      <c r="G1869" s="1084"/>
      <c r="H1869" s="1069"/>
      <c r="I1869" s="618"/>
      <c r="J1869" s="619"/>
      <c r="K1869" s="618"/>
      <c r="L1869" s="620"/>
      <c r="M1869" s="621"/>
      <c r="N1869" s="620"/>
    </row>
    <row r="1870" spans="1:14" ht="11.25" customHeight="1" x14ac:dyDescent="0.25">
      <c r="A1870" s="615"/>
      <c r="B1870" s="616"/>
      <c r="C1870" s="617"/>
      <c r="D1870" s="617"/>
      <c r="E1870" s="617"/>
      <c r="F1870" s="1083"/>
      <c r="G1870" s="1084"/>
      <c r="H1870" s="1069"/>
      <c r="I1870" s="618"/>
      <c r="J1870" s="619"/>
      <c r="K1870" s="618"/>
      <c r="L1870" s="620"/>
      <c r="M1870" s="621"/>
      <c r="N1870" s="620"/>
    </row>
    <row r="1871" spans="1:14" ht="11.25" customHeight="1" x14ac:dyDescent="0.25">
      <c r="A1871" s="615"/>
      <c r="B1871" s="616"/>
      <c r="C1871" s="617"/>
      <c r="D1871" s="617"/>
      <c r="E1871" s="617"/>
      <c r="F1871" s="1083"/>
      <c r="G1871" s="1084"/>
      <c r="H1871" s="1069"/>
      <c r="I1871" s="618"/>
      <c r="J1871" s="619"/>
      <c r="K1871" s="618"/>
      <c r="L1871" s="620"/>
      <c r="M1871" s="621"/>
      <c r="N1871" s="620"/>
    </row>
    <row r="1872" spans="1:14" ht="11.25" customHeight="1" x14ac:dyDescent="0.25">
      <c r="A1872" s="615"/>
      <c r="B1872" s="616"/>
      <c r="C1872" s="617"/>
      <c r="D1872" s="617"/>
      <c r="E1872" s="617"/>
      <c r="F1872" s="1083"/>
      <c r="G1872" s="1084"/>
      <c r="H1872" s="1069"/>
      <c r="I1872" s="618"/>
      <c r="J1872" s="619"/>
      <c r="K1872" s="618"/>
      <c r="L1872" s="620"/>
      <c r="M1872" s="621"/>
      <c r="N1872" s="620"/>
    </row>
    <row r="1873" spans="1:14" ht="11.25" customHeight="1" x14ac:dyDescent="0.25">
      <c r="A1873" s="615"/>
      <c r="B1873" s="616"/>
      <c r="C1873" s="617"/>
      <c r="D1873" s="617"/>
      <c r="E1873" s="617"/>
      <c r="F1873" s="1083"/>
      <c r="G1873" s="1084"/>
      <c r="H1873" s="1069"/>
      <c r="I1873" s="618"/>
      <c r="J1873" s="619"/>
      <c r="K1873" s="618"/>
      <c r="L1873" s="620"/>
      <c r="M1873" s="621"/>
      <c r="N1873" s="620"/>
    </row>
    <row r="1874" spans="1:14" ht="11.25" customHeight="1" x14ac:dyDescent="0.25">
      <c r="A1874" s="615"/>
      <c r="B1874" s="616"/>
      <c r="C1874" s="617"/>
      <c r="D1874" s="617"/>
      <c r="E1874" s="617"/>
      <c r="F1874" s="1083"/>
      <c r="G1874" s="1084"/>
      <c r="H1874" s="1069"/>
      <c r="I1874" s="618"/>
      <c r="J1874" s="619"/>
      <c r="K1874" s="618"/>
      <c r="L1874" s="620"/>
      <c r="M1874" s="621"/>
      <c r="N1874" s="620"/>
    </row>
    <row r="1875" spans="1:14" ht="11.25" customHeight="1" x14ac:dyDescent="0.25">
      <c r="A1875" s="615"/>
      <c r="B1875" s="616"/>
      <c r="C1875" s="617"/>
      <c r="D1875" s="617"/>
      <c r="E1875" s="617"/>
      <c r="F1875" s="1083"/>
      <c r="G1875" s="1084"/>
      <c r="H1875" s="1069"/>
      <c r="I1875" s="618"/>
      <c r="J1875" s="619"/>
      <c r="K1875" s="618"/>
      <c r="L1875" s="620"/>
      <c r="M1875" s="621"/>
      <c r="N1875" s="620"/>
    </row>
    <row r="1876" spans="1:14" ht="11.25" customHeight="1" x14ac:dyDescent="0.25">
      <c r="A1876" s="615"/>
      <c r="B1876" s="616"/>
      <c r="C1876" s="617"/>
      <c r="D1876" s="617"/>
      <c r="E1876" s="617"/>
      <c r="F1876" s="1083"/>
      <c r="G1876" s="1084"/>
      <c r="H1876" s="1069"/>
      <c r="I1876" s="618"/>
      <c r="J1876" s="619"/>
      <c r="K1876" s="618"/>
      <c r="L1876" s="620"/>
      <c r="M1876" s="621"/>
      <c r="N1876" s="620"/>
    </row>
    <row r="1877" spans="1:14" ht="11.25" customHeight="1" x14ac:dyDescent="0.25">
      <c r="A1877" s="615"/>
      <c r="B1877" s="616"/>
      <c r="C1877" s="617"/>
      <c r="D1877" s="617"/>
      <c r="E1877" s="617"/>
      <c r="F1877" s="1083"/>
      <c r="G1877" s="1084"/>
      <c r="H1877" s="1069"/>
      <c r="I1877" s="618"/>
      <c r="J1877" s="619"/>
      <c r="K1877" s="618"/>
      <c r="L1877" s="620"/>
      <c r="M1877" s="621"/>
      <c r="N1877" s="620"/>
    </row>
    <row r="1878" spans="1:14" ht="11.25" customHeight="1" x14ac:dyDescent="0.25">
      <c r="A1878" s="615"/>
      <c r="B1878" s="616"/>
      <c r="C1878" s="617"/>
      <c r="D1878" s="617"/>
      <c r="E1878" s="617"/>
      <c r="F1878" s="1083"/>
      <c r="G1878" s="1084"/>
      <c r="H1878" s="1069"/>
      <c r="I1878" s="618"/>
      <c r="J1878" s="619"/>
      <c r="K1878" s="618"/>
      <c r="L1878" s="620"/>
      <c r="M1878" s="621"/>
      <c r="N1878" s="620"/>
    </row>
    <row r="1879" spans="1:14" ht="11.25" customHeight="1" x14ac:dyDescent="0.25">
      <c r="A1879" s="615"/>
      <c r="B1879" s="616"/>
      <c r="C1879" s="617"/>
      <c r="D1879" s="617"/>
      <c r="E1879" s="617"/>
      <c r="F1879" s="1083"/>
      <c r="G1879" s="1084"/>
      <c r="H1879" s="1069"/>
      <c r="I1879" s="618"/>
      <c r="J1879" s="619"/>
      <c r="K1879" s="618"/>
      <c r="L1879" s="620"/>
      <c r="M1879" s="621"/>
      <c r="N1879" s="620"/>
    </row>
    <row r="1880" spans="1:14" ht="11.25" customHeight="1" x14ac:dyDescent="0.25">
      <c r="A1880" s="615"/>
      <c r="B1880" s="616"/>
      <c r="C1880" s="617"/>
      <c r="D1880" s="617"/>
      <c r="E1880" s="617"/>
      <c r="F1880" s="1083"/>
      <c r="G1880" s="1084"/>
      <c r="H1880" s="1069"/>
      <c r="I1880" s="618"/>
      <c r="J1880" s="619"/>
      <c r="K1880" s="618"/>
      <c r="L1880" s="620"/>
      <c r="M1880" s="621"/>
      <c r="N1880" s="620"/>
    </row>
    <row r="1881" spans="1:14" ht="11.25" customHeight="1" x14ac:dyDescent="0.25">
      <c r="A1881" s="615"/>
      <c r="B1881" s="616"/>
      <c r="C1881" s="617"/>
      <c r="D1881" s="617"/>
      <c r="E1881" s="617"/>
      <c r="F1881" s="1083"/>
      <c r="G1881" s="1084"/>
      <c r="H1881" s="1069"/>
      <c r="I1881" s="618"/>
      <c r="J1881" s="619"/>
      <c r="K1881" s="618"/>
      <c r="L1881" s="620"/>
      <c r="M1881" s="621"/>
      <c r="N1881" s="620"/>
    </row>
    <row r="1882" spans="1:14" ht="11.25" customHeight="1" x14ac:dyDescent="0.25">
      <c r="A1882" s="615"/>
      <c r="B1882" s="616"/>
      <c r="C1882" s="617"/>
      <c r="D1882" s="617"/>
      <c r="E1882" s="617"/>
      <c r="F1882" s="1083"/>
      <c r="G1882" s="1084"/>
      <c r="H1882" s="1069"/>
      <c r="I1882" s="618"/>
      <c r="J1882" s="619"/>
      <c r="K1882" s="618"/>
      <c r="L1882" s="620"/>
      <c r="M1882" s="621"/>
      <c r="N1882" s="620"/>
    </row>
    <row r="1883" spans="1:14" ht="11.25" customHeight="1" x14ac:dyDescent="0.25">
      <c r="A1883" s="615"/>
      <c r="B1883" s="616"/>
      <c r="C1883" s="617"/>
      <c r="D1883" s="617"/>
      <c r="E1883" s="617"/>
      <c r="F1883" s="1083"/>
      <c r="G1883" s="1084"/>
      <c r="H1883" s="1069"/>
      <c r="I1883" s="618"/>
      <c r="J1883" s="619"/>
      <c r="K1883" s="618"/>
      <c r="L1883" s="620"/>
      <c r="M1883" s="621"/>
      <c r="N1883" s="620"/>
    </row>
    <row r="1884" spans="1:14" ht="11.25" customHeight="1" x14ac:dyDescent="0.25">
      <c r="A1884" s="615"/>
      <c r="B1884" s="616"/>
      <c r="C1884" s="617"/>
      <c r="D1884" s="617"/>
      <c r="E1884" s="617"/>
      <c r="F1884" s="1083"/>
      <c r="G1884" s="1084"/>
      <c r="H1884" s="1069"/>
      <c r="I1884" s="618"/>
      <c r="J1884" s="619"/>
      <c r="K1884" s="618"/>
      <c r="L1884" s="620"/>
      <c r="M1884" s="621"/>
      <c r="N1884" s="620"/>
    </row>
    <row r="1885" spans="1:14" ht="11.25" customHeight="1" x14ac:dyDescent="0.25">
      <c r="A1885" s="615"/>
      <c r="B1885" s="616"/>
      <c r="C1885" s="617"/>
      <c r="D1885" s="617"/>
      <c r="E1885" s="617"/>
      <c r="F1885" s="1083"/>
      <c r="G1885" s="1084"/>
      <c r="H1885" s="1069"/>
      <c r="I1885" s="618"/>
      <c r="J1885" s="619"/>
      <c r="K1885" s="618"/>
      <c r="L1885" s="620"/>
      <c r="M1885" s="621"/>
      <c r="N1885" s="620"/>
    </row>
    <row r="1886" spans="1:14" ht="11.25" customHeight="1" x14ac:dyDescent="0.25">
      <c r="A1886" s="615"/>
      <c r="B1886" s="616"/>
      <c r="C1886" s="617"/>
      <c r="D1886" s="617"/>
      <c r="E1886" s="617"/>
      <c r="F1886" s="1083"/>
      <c r="G1886" s="1084"/>
      <c r="H1886" s="1069"/>
      <c r="I1886" s="618"/>
      <c r="J1886" s="619"/>
      <c r="K1886" s="618"/>
      <c r="L1886" s="620"/>
      <c r="M1886" s="621"/>
      <c r="N1886" s="620"/>
    </row>
    <row r="1887" spans="1:14" ht="11.25" customHeight="1" x14ac:dyDescent="0.25">
      <c r="A1887" s="615"/>
      <c r="B1887" s="616"/>
      <c r="C1887" s="617"/>
      <c r="D1887" s="617"/>
      <c r="E1887" s="617"/>
      <c r="F1887" s="1083"/>
      <c r="G1887" s="1084"/>
      <c r="H1887" s="1069"/>
      <c r="I1887" s="618"/>
      <c r="J1887" s="619"/>
      <c r="K1887" s="618"/>
      <c r="L1887" s="620"/>
      <c r="M1887" s="621"/>
      <c r="N1887" s="620"/>
    </row>
    <row r="1888" spans="1:14" ht="11.25" customHeight="1" x14ac:dyDescent="0.25">
      <c r="A1888" s="615"/>
      <c r="B1888" s="616"/>
      <c r="C1888" s="617"/>
      <c r="D1888" s="617"/>
      <c r="E1888" s="617"/>
      <c r="F1888" s="1083"/>
      <c r="G1888" s="1084"/>
      <c r="H1888" s="1069"/>
      <c r="I1888" s="618"/>
      <c r="J1888" s="619"/>
      <c r="K1888" s="618"/>
      <c r="L1888" s="620"/>
      <c r="M1888" s="621"/>
      <c r="N1888" s="620"/>
    </row>
    <row r="1889" spans="1:14" ht="11.25" customHeight="1" x14ac:dyDescent="0.25">
      <c r="A1889" s="615"/>
      <c r="B1889" s="616"/>
      <c r="C1889" s="617"/>
      <c r="D1889" s="617"/>
      <c r="E1889" s="617"/>
      <c r="F1889" s="1083"/>
      <c r="G1889" s="1084"/>
      <c r="H1889" s="1069"/>
      <c r="I1889" s="618"/>
      <c r="J1889" s="619"/>
      <c r="K1889" s="618"/>
      <c r="L1889" s="620"/>
      <c r="M1889" s="621"/>
      <c r="N1889" s="620"/>
    </row>
    <row r="1890" spans="1:14" ht="11.25" customHeight="1" x14ac:dyDescent="0.25">
      <c r="A1890" s="615"/>
      <c r="B1890" s="616"/>
      <c r="C1890" s="617"/>
      <c r="D1890" s="617"/>
      <c r="E1890" s="617"/>
      <c r="F1890" s="1083"/>
      <c r="G1890" s="1084"/>
      <c r="H1890" s="1069"/>
      <c r="I1890" s="618"/>
      <c r="J1890" s="619"/>
      <c r="K1890" s="618"/>
      <c r="L1890" s="620"/>
      <c r="M1890" s="621"/>
      <c r="N1890" s="620"/>
    </row>
    <row r="1891" spans="1:14" ht="11.25" customHeight="1" x14ac:dyDescent="0.25">
      <c r="A1891" s="615"/>
      <c r="B1891" s="616"/>
      <c r="C1891" s="617"/>
      <c r="D1891" s="617"/>
      <c r="E1891" s="617"/>
      <c r="F1891" s="1083"/>
      <c r="G1891" s="1084"/>
      <c r="H1891" s="1069"/>
      <c r="I1891" s="618"/>
      <c r="J1891" s="619"/>
      <c r="K1891" s="618"/>
      <c r="L1891" s="620"/>
      <c r="M1891" s="621"/>
      <c r="N1891" s="620"/>
    </row>
    <row r="1892" spans="1:14" ht="11.25" customHeight="1" x14ac:dyDescent="0.25">
      <c r="A1892" s="615"/>
      <c r="B1892" s="616"/>
      <c r="C1892" s="617"/>
      <c r="D1892" s="617"/>
      <c r="E1892" s="617"/>
      <c r="F1892" s="1083"/>
      <c r="G1892" s="1084"/>
      <c r="H1892" s="1069"/>
      <c r="I1892" s="618"/>
      <c r="J1892" s="619"/>
      <c r="K1892" s="618"/>
      <c r="L1892" s="620"/>
      <c r="M1892" s="621"/>
      <c r="N1892" s="620"/>
    </row>
    <row r="1893" spans="1:14" ht="11.25" customHeight="1" x14ac:dyDescent="0.25">
      <c r="A1893" s="615"/>
      <c r="B1893" s="616"/>
      <c r="C1893" s="617"/>
      <c r="D1893" s="617"/>
      <c r="E1893" s="617"/>
      <c r="F1893" s="1083"/>
      <c r="G1893" s="1084"/>
      <c r="H1893" s="1069"/>
      <c r="I1893" s="618"/>
      <c r="J1893" s="619"/>
      <c r="K1893" s="618"/>
      <c r="L1893" s="620"/>
      <c r="M1893" s="621"/>
      <c r="N1893" s="620"/>
    </row>
    <row r="1894" spans="1:14" ht="11.25" customHeight="1" x14ac:dyDescent="0.25">
      <c r="A1894" s="615"/>
      <c r="B1894" s="616"/>
      <c r="C1894" s="617"/>
      <c r="D1894" s="617"/>
      <c r="E1894" s="617"/>
      <c r="F1894" s="1083"/>
      <c r="G1894" s="1084"/>
      <c r="H1894" s="1069"/>
      <c r="I1894" s="618"/>
      <c r="J1894" s="619"/>
      <c r="K1894" s="618"/>
      <c r="L1894" s="620"/>
      <c r="M1894" s="621"/>
      <c r="N1894" s="620"/>
    </row>
    <row r="1895" spans="1:14" ht="11.25" customHeight="1" x14ac:dyDescent="0.25">
      <c r="A1895" s="615"/>
      <c r="B1895" s="616"/>
      <c r="C1895" s="617"/>
      <c r="D1895" s="617"/>
      <c r="E1895" s="617"/>
      <c r="F1895" s="1083"/>
      <c r="G1895" s="1084"/>
      <c r="H1895" s="1069"/>
      <c r="I1895" s="618"/>
      <c r="J1895" s="619"/>
      <c r="K1895" s="618"/>
      <c r="L1895" s="620"/>
      <c r="M1895" s="621"/>
      <c r="N1895" s="620"/>
    </row>
    <row r="1896" spans="1:14" ht="11.25" customHeight="1" x14ac:dyDescent="0.25">
      <c r="A1896" s="615"/>
      <c r="B1896" s="616"/>
      <c r="C1896" s="617"/>
      <c r="D1896" s="617"/>
      <c r="E1896" s="617"/>
      <c r="F1896" s="1083"/>
      <c r="G1896" s="1084"/>
      <c r="H1896" s="1069"/>
      <c r="I1896" s="618"/>
      <c r="J1896" s="619"/>
      <c r="K1896" s="618"/>
      <c r="L1896" s="620"/>
      <c r="M1896" s="621"/>
      <c r="N1896" s="620"/>
    </row>
    <row r="1897" spans="1:14" ht="11.25" customHeight="1" x14ac:dyDescent="0.25">
      <c r="A1897" s="615"/>
      <c r="B1897" s="616"/>
      <c r="C1897" s="617"/>
      <c r="D1897" s="617"/>
      <c r="E1897" s="617"/>
      <c r="F1897" s="1083"/>
      <c r="G1897" s="1084"/>
      <c r="H1897" s="1069"/>
      <c r="I1897" s="618"/>
      <c r="J1897" s="619"/>
      <c r="K1897" s="618"/>
      <c r="L1897" s="620"/>
      <c r="M1897" s="621"/>
      <c r="N1897" s="620"/>
    </row>
    <row r="1898" spans="1:14" ht="11.25" customHeight="1" x14ac:dyDescent="0.25">
      <c r="A1898" s="615"/>
      <c r="B1898" s="616"/>
      <c r="C1898" s="617"/>
      <c r="D1898" s="617"/>
      <c r="E1898" s="617"/>
      <c r="F1898" s="1083"/>
      <c r="G1898" s="1084"/>
      <c r="H1898" s="1069"/>
      <c r="I1898" s="618"/>
      <c r="J1898" s="619"/>
      <c r="K1898" s="618"/>
      <c r="L1898" s="620"/>
      <c r="M1898" s="621"/>
      <c r="N1898" s="620"/>
    </row>
    <row r="1899" spans="1:14" ht="11.25" customHeight="1" x14ac:dyDescent="0.25">
      <c r="A1899" s="615"/>
      <c r="B1899" s="616"/>
      <c r="C1899" s="617"/>
      <c r="D1899" s="617"/>
      <c r="E1899" s="617"/>
      <c r="F1899" s="1083"/>
      <c r="G1899" s="1084"/>
      <c r="H1899" s="1069"/>
      <c r="I1899" s="618"/>
      <c r="J1899" s="619"/>
      <c r="K1899" s="618"/>
      <c r="L1899" s="620"/>
      <c r="M1899" s="621"/>
      <c r="N1899" s="620"/>
    </row>
    <row r="1900" spans="1:14" ht="11.25" customHeight="1" x14ac:dyDescent="0.25">
      <c r="A1900" s="615"/>
      <c r="B1900" s="616"/>
      <c r="C1900" s="617"/>
      <c r="D1900" s="617"/>
      <c r="E1900" s="617"/>
      <c r="F1900" s="1083"/>
      <c r="G1900" s="1084"/>
      <c r="H1900" s="1069"/>
      <c r="I1900" s="618"/>
      <c r="J1900" s="619"/>
      <c r="K1900" s="618"/>
      <c r="L1900" s="620"/>
      <c r="M1900" s="621"/>
      <c r="N1900" s="620"/>
    </row>
    <row r="1901" spans="1:14" ht="11.25" customHeight="1" x14ac:dyDescent="0.25">
      <c r="A1901" s="615"/>
      <c r="B1901" s="616"/>
      <c r="C1901" s="617"/>
      <c r="D1901" s="617"/>
      <c r="E1901" s="617"/>
      <c r="F1901" s="1083"/>
      <c r="G1901" s="1084"/>
      <c r="H1901" s="1069"/>
      <c r="I1901" s="618"/>
      <c r="J1901" s="619"/>
      <c r="K1901" s="618"/>
      <c r="L1901" s="620"/>
      <c r="M1901" s="621"/>
      <c r="N1901" s="620"/>
    </row>
    <row r="1902" spans="1:14" ht="11.25" customHeight="1" x14ac:dyDescent="0.25">
      <c r="A1902" s="615"/>
      <c r="B1902" s="616"/>
      <c r="C1902" s="617"/>
      <c r="D1902" s="617"/>
      <c r="E1902" s="617"/>
      <c r="F1902" s="1083"/>
      <c r="G1902" s="1084"/>
      <c r="H1902" s="1069"/>
      <c r="I1902" s="618"/>
      <c r="J1902" s="619"/>
      <c r="K1902" s="618"/>
      <c r="L1902" s="620"/>
      <c r="M1902" s="621"/>
      <c r="N1902" s="620"/>
    </row>
    <row r="1903" spans="1:14" ht="11.25" customHeight="1" x14ac:dyDescent="0.25">
      <c r="A1903" s="615"/>
      <c r="B1903" s="616"/>
      <c r="C1903" s="617"/>
      <c r="D1903" s="617"/>
      <c r="E1903" s="617"/>
      <c r="F1903" s="1083"/>
      <c r="G1903" s="1084"/>
      <c r="H1903" s="1069"/>
      <c r="I1903" s="618"/>
      <c r="J1903" s="619"/>
      <c r="K1903" s="618"/>
      <c r="L1903" s="620"/>
      <c r="M1903" s="621"/>
      <c r="N1903" s="620"/>
    </row>
    <row r="1904" spans="1:14" ht="11.25" customHeight="1" x14ac:dyDescent="0.25">
      <c r="A1904" s="615"/>
      <c r="B1904" s="616"/>
      <c r="C1904" s="617"/>
      <c r="D1904" s="617"/>
      <c r="E1904" s="617"/>
      <c r="F1904" s="1083"/>
      <c r="G1904" s="1084"/>
      <c r="H1904" s="1069"/>
      <c r="I1904" s="618"/>
      <c r="J1904" s="619"/>
      <c r="K1904" s="618"/>
      <c r="L1904" s="620"/>
      <c r="M1904" s="621"/>
      <c r="N1904" s="620"/>
    </row>
    <row r="1905" spans="1:14" ht="11.25" customHeight="1" x14ac:dyDescent="0.25">
      <c r="A1905" s="615"/>
      <c r="B1905" s="616"/>
      <c r="C1905" s="617"/>
      <c r="D1905" s="617"/>
      <c r="E1905" s="617"/>
      <c r="F1905" s="1083"/>
      <c r="G1905" s="1084"/>
      <c r="H1905" s="1069"/>
      <c r="I1905" s="618"/>
      <c r="J1905" s="619"/>
      <c r="K1905" s="618"/>
      <c r="L1905" s="620"/>
      <c r="M1905" s="621"/>
      <c r="N1905" s="620"/>
    </row>
    <row r="1906" spans="1:14" ht="11.25" customHeight="1" x14ac:dyDescent="0.25">
      <c r="A1906" s="615"/>
      <c r="B1906" s="616"/>
      <c r="C1906" s="617"/>
      <c r="D1906" s="617"/>
      <c r="E1906" s="617"/>
      <c r="F1906" s="1083"/>
      <c r="G1906" s="1084"/>
      <c r="H1906" s="1069"/>
      <c r="I1906" s="618"/>
      <c r="J1906" s="619"/>
      <c r="K1906" s="618"/>
      <c r="L1906" s="620"/>
      <c r="M1906" s="621"/>
      <c r="N1906" s="620"/>
    </row>
    <row r="1907" spans="1:14" ht="11.25" customHeight="1" x14ac:dyDescent="0.25">
      <c r="A1907" s="615"/>
      <c r="B1907" s="616"/>
      <c r="C1907" s="617"/>
      <c r="D1907" s="617"/>
      <c r="E1907" s="617"/>
      <c r="F1907" s="1083"/>
      <c r="G1907" s="1084"/>
      <c r="H1907" s="1069"/>
      <c r="I1907" s="618"/>
      <c r="J1907" s="619"/>
      <c r="K1907" s="618"/>
      <c r="L1907" s="620"/>
      <c r="M1907" s="621"/>
      <c r="N1907" s="620"/>
    </row>
    <row r="1908" spans="1:14" ht="11.25" customHeight="1" x14ac:dyDescent="0.25">
      <c r="A1908" s="615"/>
      <c r="B1908" s="616"/>
      <c r="C1908" s="617"/>
      <c r="D1908" s="617"/>
      <c r="E1908" s="617"/>
      <c r="F1908" s="1083"/>
      <c r="G1908" s="1084"/>
      <c r="H1908" s="1069"/>
      <c r="I1908" s="618"/>
      <c r="J1908" s="619"/>
      <c r="K1908" s="618"/>
      <c r="L1908" s="620"/>
      <c r="M1908" s="621"/>
      <c r="N1908" s="620"/>
    </row>
    <row r="1909" spans="1:14" ht="11.25" customHeight="1" x14ac:dyDescent="0.25">
      <c r="A1909" s="615"/>
      <c r="B1909" s="616"/>
      <c r="C1909" s="617"/>
      <c r="D1909" s="617"/>
      <c r="E1909" s="617"/>
      <c r="F1909" s="1083"/>
      <c r="G1909" s="1084"/>
      <c r="H1909" s="1069"/>
      <c r="I1909" s="618"/>
      <c r="J1909" s="619"/>
      <c r="K1909" s="618"/>
      <c r="L1909" s="620"/>
      <c r="M1909" s="621"/>
      <c r="N1909" s="620"/>
    </row>
    <row r="1910" spans="1:14" ht="11.25" customHeight="1" x14ac:dyDescent="0.25">
      <c r="A1910" s="615"/>
      <c r="B1910" s="616"/>
      <c r="C1910" s="617"/>
      <c r="D1910" s="617"/>
      <c r="E1910" s="617"/>
      <c r="F1910" s="1083"/>
      <c r="G1910" s="1084"/>
      <c r="H1910" s="1069"/>
      <c r="I1910" s="618"/>
      <c r="J1910" s="619"/>
      <c r="K1910" s="618"/>
      <c r="L1910" s="620"/>
      <c r="M1910" s="621"/>
      <c r="N1910" s="620"/>
    </row>
    <row r="1911" spans="1:14" ht="11.25" customHeight="1" x14ac:dyDescent="0.25">
      <c r="A1911" s="615"/>
      <c r="B1911" s="616"/>
      <c r="C1911" s="617"/>
      <c r="D1911" s="617"/>
      <c r="E1911" s="617"/>
      <c r="F1911" s="1083"/>
      <c r="G1911" s="1084"/>
      <c r="H1911" s="1069"/>
      <c r="I1911" s="618"/>
      <c r="J1911" s="619"/>
      <c r="K1911" s="618"/>
      <c r="L1911" s="620"/>
      <c r="M1911" s="621"/>
      <c r="N1911" s="620"/>
    </row>
    <row r="1912" spans="1:14" ht="11.25" customHeight="1" x14ac:dyDescent="0.25">
      <c r="A1912" s="615"/>
      <c r="B1912" s="616"/>
      <c r="C1912" s="617"/>
      <c r="D1912" s="617"/>
      <c r="E1912" s="617"/>
      <c r="F1912" s="1083"/>
      <c r="G1912" s="1084"/>
      <c r="H1912" s="1069"/>
      <c r="I1912" s="618"/>
      <c r="J1912" s="619"/>
      <c r="K1912" s="618"/>
      <c r="L1912" s="620"/>
      <c r="M1912" s="621"/>
      <c r="N1912" s="620"/>
    </row>
    <row r="1913" spans="1:14" ht="11.25" customHeight="1" x14ac:dyDescent="0.25">
      <c r="A1913" s="615"/>
      <c r="B1913" s="616"/>
      <c r="C1913" s="617"/>
      <c r="D1913" s="617"/>
      <c r="E1913" s="617"/>
      <c r="F1913" s="1083"/>
      <c r="G1913" s="1084"/>
      <c r="H1913" s="1069"/>
      <c r="I1913" s="618"/>
      <c r="J1913" s="619"/>
      <c r="K1913" s="618"/>
      <c r="L1913" s="620"/>
      <c r="M1913" s="621"/>
      <c r="N1913" s="620"/>
    </row>
    <row r="1914" spans="1:14" ht="11.25" customHeight="1" x14ac:dyDescent="0.25">
      <c r="A1914" s="615"/>
      <c r="B1914" s="616"/>
      <c r="C1914" s="617"/>
      <c r="D1914" s="617"/>
      <c r="E1914" s="617"/>
      <c r="F1914" s="1083"/>
      <c r="G1914" s="1084"/>
      <c r="H1914" s="1069"/>
      <c r="I1914" s="618"/>
      <c r="J1914" s="619"/>
      <c r="K1914" s="618"/>
      <c r="L1914" s="620"/>
      <c r="M1914" s="621"/>
      <c r="N1914" s="620"/>
    </row>
    <row r="1915" spans="1:14" ht="11.25" customHeight="1" x14ac:dyDescent="0.25">
      <c r="A1915" s="615"/>
      <c r="B1915" s="616"/>
      <c r="C1915" s="617"/>
      <c r="D1915" s="617"/>
      <c r="E1915" s="617"/>
      <c r="F1915" s="1083"/>
      <c r="G1915" s="1084"/>
      <c r="H1915" s="1069"/>
      <c r="I1915" s="618"/>
      <c r="J1915" s="619"/>
      <c r="K1915" s="618"/>
      <c r="L1915" s="620"/>
      <c r="M1915" s="621"/>
      <c r="N1915" s="620"/>
    </row>
    <row r="1916" spans="1:14" ht="11.25" customHeight="1" x14ac:dyDescent="0.25">
      <c r="A1916" s="615"/>
      <c r="B1916" s="616"/>
      <c r="C1916" s="617"/>
      <c r="D1916" s="617"/>
      <c r="E1916" s="617"/>
      <c r="F1916" s="1083"/>
      <c r="G1916" s="1084"/>
      <c r="H1916" s="1069"/>
      <c r="I1916" s="618"/>
      <c r="J1916" s="619"/>
      <c r="K1916" s="618"/>
      <c r="L1916" s="620"/>
      <c r="M1916" s="621"/>
      <c r="N1916" s="620"/>
    </row>
    <row r="1917" spans="1:14" ht="11.25" customHeight="1" x14ac:dyDescent="0.25">
      <c r="A1917" s="615"/>
      <c r="B1917" s="616"/>
      <c r="C1917" s="617"/>
      <c r="D1917" s="617"/>
      <c r="E1917" s="617"/>
      <c r="F1917" s="1083"/>
      <c r="G1917" s="1084"/>
      <c r="H1917" s="1069"/>
      <c r="I1917" s="618"/>
      <c r="J1917" s="619"/>
      <c r="K1917" s="618"/>
      <c r="L1917" s="620"/>
      <c r="M1917" s="621"/>
      <c r="N1917" s="620"/>
    </row>
    <row r="1918" spans="1:14" ht="11.25" customHeight="1" x14ac:dyDescent="0.25">
      <c r="A1918" s="615"/>
      <c r="B1918" s="616"/>
      <c r="C1918" s="617"/>
      <c r="D1918" s="617"/>
      <c r="E1918" s="617"/>
      <c r="F1918" s="1083"/>
      <c r="G1918" s="1084"/>
      <c r="H1918" s="1069"/>
      <c r="I1918" s="618"/>
      <c r="J1918" s="619"/>
      <c r="K1918" s="618"/>
      <c r="L1918" s="620"/>
      <c r="M1918" s="621"/>
      <c r="N1918" s="620"/>
    </row>
    <row r="1919" spans="1:14" ht="11.25" customHeight="1" x14ac:dyDescent="0.25">
      <c r="A1919" s="615"/>
      <c r="B1919" s="616"/>
      <c r="C1919" s="617"/>
      <c r="D1919" s="617"/>
      <c r="E1919" s="617"/>
      <c r="F1919" s="1083"/>
      <c r="G1919" s="1084"/>
      <c r="H1919" s="1069"/>
      <c r="I1919" s="618"/>
      <c r="J1919" s="619"/>
      <c r="K1919" s="618"/>
      <c r="L1919" s="620"/>
      <c r="M1919" s="621"/>
      <c r="N1919" s="620"/>
    </row>
    <row r="1920" spans="1:14" ht="11.25" customHeight="1" x14ac:dyDescent="0.25">
      <c r="A1920" s="615"/>
      <c r="B1920" s="616"/>
      <c r="C1920" s="617"/>
      <c r="D1920" s="617"/>
      <c r="E1920" s="617"/>
      <c r="F1920" s="1083"/>
      <c r="G1920" s="1084"/>
      <c r="H1920" s="1069"/>
      <c r="I1920" s="618"/>
      <c r="J1920" s="619"/>
      <c r="K1920" s="618"/>
      <c r="L1920" s="620"/>
      <c r="M1920" s="621"/>
      <c r="N1920" s="620"/>
    </row>
    <row r="1921" spans="1:14" ht="11.25" customHeight="1" x14ac:dyDescent="0.25">
      <c r="A1921" s="615"/>
      <c r="B1921" s="616"/>
      <c r="C1921" s="617"/>
      <c r="D1921" s="617"/>
      <c r="E1921" s="617"/>
      <c r="F1921" s="1083"/>
      <c r="G1921" s="1084"/>
      <c r="H1921" s="1069"/>
      <c r="I1921" s="618"/>
      <c r="J1921" s="619"/>
      <c r="K1921" s="618"/>
      <c r="L1921" s="620"/>
      <c r="M1921" s="621"/>
      <c r="N1921" s="620"/>
    </row>
    <row r="1922" spans="1:14" ht="11.25" customHeight="1" x14ac:dyDescent="0.25">
      <c r="A1922" s="615"/>
      <c r="B1922" s="616"/>
      <c r="C1922" s="617"/>
      <c r="D1922" s="617"/>
      <c r="E1922" s="617"/>
      <c r="F1922" s="1083"/>
      <c r="G1922" s="1084"/>
      <c r="H1922" s="1069"/>
      <c r="I1922" s="618"/>
      <c r="J1922" s="619"/>
      <c r="K1922" s="618"/>
      <c r="L1922" s="620"/>
      <c r="M1922" s="621"/>
      <c r="N1922" s="620"/>
    </row>
    <row r="1923" spans="1:14" ht="11.25" customHeight="1" x14ac:dyDescent="0.25">
      <c r="A1923" s="615"/>
      <c r="B1923" s="616"/>
      <c r="C1923" s="617"/>
      <c r="D1923" s="617"/>
      <c r="E1923" s="617"/>
      <c r="F1923" s="1083"/>
      <c r="G1923" s="1084"/>
      <c r="H1923" s="1069"/>
      <c r="I1923" s="618"/>
      <c r="J1923" s="619"/>
      <c r="K1923" s="618"/>
      <c r="L1923" s="620"/>
      <c r="M1923" s="621"/>
      <c r="N1923" s="620"/>
    </row>
    <row r="1924" spans="1:14" ht="11.25" customHeight="1" x14ac:dyDescent="0.25">
      <c r="A1924" s="615"/>
      <c r="B1924" s="616"/>
      <c r="C1924" s="617"/>
      <c r="D1924" s="617"/>
      <c r="E1924" s="617"/>
      <c r="F1924" s="1083"/>
      <c r="G1924" s="1084"/>
      <c r="H1924" s="1069"/>
      <c r="I1924" s="618"/>
      <c r="J1924" s="619"/>
      <c r="K1924" s="618"/>
      <c r="L1924" s="620"/>
      <c r="M1924" s="621"/>
      <c r="N1924" s="620"/>
    </row>
    <row r="1925" spans="1:14" ht="11.25" customHeight="1" x14ac:dyDescent="0.25">
      <c r="A1925" s="615"/>
      <c r="B1925" s="616"/>
      <c r="C1925" s="617"/>
      <c r="D1925" s="617"/>
      <c r="E1925" s="617"/>
      <c r="F1925" s="1083"/>
      <c r="G1925" s="1084"/>
      <c r="H1925" s="1069"/>
      <c r="I1925" s="618"/>
      <c r="J1925" s="619"/>
      <c r="K1925" s="618"/>
      <c r="L1925" s="620"/>
      <c r="M1925" s="621"/>
      <c r="N1925" s="620"/>
    </row>
    <row r="1926" spans="1:14" ht="11.25" customHeight="1" x14ac:dyDescent="0.25">
      <c r="A1926" s="615"/>
      <c r="B1926" s="616"/>
      <c r="C1926" s="617"/>
      <c r="D1926" s="617"/>
      <c r="E1926" s="617"/>
      <c r="F1926" s="1083"/>
      <c r="G1926" s="1084"/>
      <c r="H1926" s="1069"/>
      <c r="I1926" s="618"/>
      <c r="J1926" s="619"/>
      <c r="K1926" s="618"/>
      <c r="L1926" s="620"/>
      <c r="M1926" s="621"/>
      <c r="N1926" s="620"/>
    </row>
    <row r="1927" spans="1:14" ht="11.25" customHeight="1" x14ac:dyDescent="0.25">
      <c r="A1927" s="615"/>
      <c r="B1927" s="616"/>
      <c r="C1927" s="617"/>
      <c r="D1927" s="617"/>
      <c r="E1927" s="617"/>
      <c r="F1927" s="1083"/>
      <c r="G1927" s="1084"/>
      <c r="H1927" s="1069"/>
      <c r="I1927" s="618"/>
      <c r="J1927" s="619"/>
      <c r="K1927" s="618"/>
      <c r="L1927" s="620"/>
      <c r="M1927" s="621"/>
      <c r="N1927" s="620"/>
    </row>
    <row r="1928" spans="1:14" ht="11.25" customHeight="1" x14ac:dyDescent="0.25">
      <c r="A1928" s="615"/>
      <c r="B1928" s="616"/>
      <c r="C1928" s="617"/>
      <c r="D1928" s="617"/>
      <c r="E1928" s="617"/>
      <c r="F1928" s="1083"/>
      <c r="G1928" s="1084"/>
      <c r="H1928" s="1069"/>
      <c r="I1928" s="618"/>
      <c r="J1928" s="619"/>
      <c r="K1928" s="618"/>
      <c r="L1928" s="620"/>
      <c r="M1928" s="621"/>
      <c r="N1928" s="620"/>
    </row>
    <row r="1929" spans="1:14" ht="11.25" customHeight="1" x14ac:dyDescent="0.25">
      <c r="A1929" s="615"/>
      <c r="B1929" s="616"/>
      <c r="C1929" s="617"/>
      <c r="D1929" s="617"/>
      <c r="E1929" s="617"/>
      <c r="F1929" s="1083"/>
      <c r="G1929" s="1084"/>
      <c r="H1929" s="1069"/>
      <c r="I1929" s="618"/>
      <c r="J1929" s="619"/>
      <c r="K1929" s="618"/>
      <c r="L1929" s="620"/>
      <c r="M1929" s="621"/>
      <c r="N1929" s="620"/>
    </row>
    <row r="1930" spans="1:14" ht="11.25" customHeight="1" x14ac:dyDescent="0.25">
      <c r="A1930" s="615"/>
      <c r="B1930" s="616"/>
      <c r="C1930" s="617"/>
      <c r="D1930" s="617"/>
      <c r="E1930" s="617"/>
      <c r="F1930" s="1083"/>
      <c r="G1930" s="1084"/>
      <c r="H1930" s="1069"/>
      <c r="I1930" s="618"/>
      <c r="J1930" s="619"/>
      <c r="K1930" s="618"/>
      <c r="L1930" s="620"/>
      <c r="M1930" s="621"/>
      <c r="N1930" s="620"/>
    </row>
    <row r="1931" spans="1:14" ht="11.25" customHeight="1" x14ac:dyDescent="0.25">
      <c r="A1931" s="615"/>
      <c r="B1931" s="616"/>
      <c r="C1931" s="617"/>
      <c r="D1931" s="617"/>
      <c r="E1931" s="617"/>
      <c r="F1931" s="1083"/>
      <c r="G1931" s="1084"/>
      <c r="H1931" s="1069"/>
      <c r="I1931" s="618"/>
      <c r="J1931" s="619"/>
      <c r="K1931" s="618"/>
      <c r="L1931" s="620"/>
      <c r="M1931" s="621"/>
      <c r="N1931" s="620"/>
    </row>
    <row r="1932" spans="1:14" ht="11.25" customHeight="1" x14ac:dyDescent="0.25">
      <c r="A1932" s="615"/>
      <c r="B1932" s="616"/>
      <c r="C1932" s="617"/>
      <c r="D1932" s="617"/>
      <c r="E1932" s="617"/>
      <c r="F1932" s="1083"/>
      <c r="G1932" s="1084"/>
      <c r="H1932" s="1069"/>
      <c r="I1932" s="618"/>
      <c r="J1932" s="619"/>
      <c r="K1932" s="618"/>
      <c r="L1932" s="620"/>
      <c r="M1932" s="621"/>
      <c r="N1932" s="620"/>
    </row>
    <row r="1933" spans="1:14" ht="11.25" customHeight="1" x14ac:dyDescent="0.25">
      <c r="A1933" s="615"/>
      <c r="B1933" s="616"/>
      <c r="C1933" s="617"/>
      <c r="D1933" s="617"/>
      <c r="E1933" s="617"/>
      <c r="F1933" s="1083"/>
      <c r="G1933" s="1084"/>
      <c r="H1933" s="1069"/>
      <c r="I1933" s="618"/>
      <c r="J1933" s="619"/>
      <c r="K1933" s="618"/>
      <c r="L1933" s="620"/>
      <c r="M1933" s="621"/>
      <c r="N1933" s="620"/>
    </row>
    <row r="1934" spans="1:14" ht="11.25" customHeight="1" x14ac:dyDescent="0.25">
      <c r="A1934" s="615"/>
      <c r="B1934" s="616"/>
      <c r="C1934" s="617"/>
      <c r="D1934" s="617"/>
      <c r="E1934" s="617"/>
      <c r="F1934" s="1083"/>
      <c r="G1934" s="1084"/>
      <c r="H1934" s="1069"/>
      <c r="I1934" s="618"/>
      <c r="J1934" s="619"/>
      <c r="K1934" s="618"/>
      <c r="L1934" s="620"/>
      <c r="M1934" s="621"/>
      <c r="N1934" s="620"/>
    </row>
    <row r="1935" spans="1:14" ht="11.25" customHeight="1" x14ac:dyDescent="0.25">
      <c r="A1935" s="615"/>
      <c r="B1935" s="616"/>
      <c r="C1935" s="617"/>
      <c r="D1935" s="617"/>
      <c r="E1935" s="617"/>
      <c r="F1935" s="1083"/>
      <c r="G1935" s="1084"/>
      <c r="H1935" s="1069"/>
      <c r="I1935" s="618"/>
      <c r="J1935" s="619"/>
      <c r="K1935" s="618"/>
      <c r="L1935" s="620"/>
      <c r="M1935" s="621"/>
      <c r="N1935" s="620"/>
    </row>
    <row r="1936" spans="1:14" ht="11.25" customHeight="1" x14ac:dyDescent="0.25">
      <c r="A1936" s="615"/>
      <c r="B1936" s="616"/>
      <c r="C1936" s="617"/>
      <c r="D1936" s="617"/>
      <c r="E1936" s="617"/>
      <c r="F1936" s="1083"/>
      <c r="G1936" s="1084"/>
      <c r="H1936" s="1069"/>
      <c r="I1936" s="618"/>
      <c r="J1936" s="619"/>
      <c r="K1936" s="618"/>
      <c r="L1936" s="620"/>
      <c r="M1936" s="621"/>
      <c r="N1936" s="620"/>
    </row>
    <row r="1937" spans="1:14" ht="11.25" customHeight="1" x14ac:dyDescent="0.25">
      <c r="A1937" s="615"/>
      <c r="B1937" s="616"/>
      <c r="C1937" s="617"/>
      <c r="D1937" s="617"/>
      <c r="E1937" s="617"/>
      <c r="F1937" s="1083"/>
      <c r="G1937" s="1084"/>
      <c r="H1937" s="1069"/>
      <c r="I1937" s="618"/>
      <c r="J1937" s="619"/>
      <c r="K1937" s="618"/>
      <c r="L1937" s="620"/>
      <c r="M1937" s="621"/>
      <c r="N1937" s="620"/>
    </row>
    <row r="1938" spans="1:14" ht="11.25" customHeight="1" x14ac:dyDescent="0.25">
      <c r="A1938" s="615"/>
      <c r="B1938" s="616"/>
      <c r="C1938" s="617"/>
      <c r="D1938" s="617"/>
      <c r="E1938" s="617"/>
      <c r="F1938" s="1083"/>
      <c r="G1938" s="1084"/>
      <c r="H1938" s="1069"/>
      <c r="I1938" s="618"/>
      <c r="J1938" s="619"/>
      <c r="K1938" s="618"/>
      <c r="L1938" s="620"/>
      <c r="M1938" s="621"/>
      <c r="N1938" s="620"/>
    </row>
    <row r="1939" spans="1:14" ht="11.25" customHeight="1" x14ac:dyDescent="0.25">
      <c r="A1939" s="615"/>
      <c r="B1939" s="616"/>
      <c r="C1939" s="617"/>
      <c r="D1939" s="617"/>
      <c r="E1939" s="617"/>
      <c r="F1939" s="1083"/>
      <c r="G1939" s="1084"/>
      <c r="H1939" s="1069"/>
      <c r="I1939" s="618"/>
      <c r="J1939" s="619"/>
      <c r="K1939" s="618"/>
      <c r="L1939" s="620"/>
      <c r="M1939" s="621"/>
      <c r="N1939" s="620"/>
    </row>
    <row r="1940" spans="1:14" ht="11.25" customHeight="1" x14ac:dyDescent="0.25">
      <c r="A1940" s="615"/>
      <c r="B1940" s="616"/>
      <c r="C1940" s="617"/>
      <c r="D1940" s="617"/>
      <c r="E1940" s="617"/>
      <c r="F1940" s="1083"/>
      <c r="G1940" s="1084"/>
      <c r="H1940" s="1069"/>
      <c r="I1940" s="618"/>
      <c r="J1940" s="619"/>
      <c r="K1940" s="618"/>
      <c r="L1940" s="620"/>
      <c r="M1940" s="621"/>
      <c r="N1940" s="620"/>
    </row>
    <row r="1941" spans="1:14" ht="11.25" customHeight="1" x14ac:dyDescent="0.25">
      <c r="A1941" s="615"/>
      <c r="B1941" s="616"/>
      <c r="C1941" s="617"/>
      <c r="D1941" s="617"/>
      <c r="E1941" s="617"/>
      <c r="F1941" s="1083"/>
      <c r="G1941" s="1084"/>
      <c r="H1941" s="1069"/>
      <c r="I1941" s="618"/>
      <c r="J1941" s="619"/>
      <c r="K1941" s="618"/>
      <c r="L1941" s="620"/>
      <c r="M1941" s="621"/>
      <c r="N1941" s="620"/>
    </row>
    <row r="1942" spans="1:14" ht="11.25" customHeight="1" x14ac:dyDescent="0.25">
      <c r="A1942" s="615"/>
      <c r="B1942" s="616"/>
      <c r="C1942" s="617"/>
      <c r="D1942" s="617"/>
      <c r="E1942" s="617"/>
      <c r="F1942" s="1083"/>
      <c r="G1942" s="1084"/>
      <c r="H1942" s="1069"/>
      <c r="I1942" s="618"/>
      <c r="J1942" s="619"/>
      <c r="K1942" s="618"/>
      <c r="L1942" s="620"/>
      <c r="M1942" s="621"/>
      <c r="N1942" s="620"/>
    </row>
    <row r="1943" spans="1:14" ht="11.25" customHeight="1" x14ac:dyDescent="0.25">
      <c r="A1943" s="615"/>
      <c r="B1943" s="616"/>
      <c r="C1943" s="617"/>
      <c r="D1943" s="617"/>
      <c r="E1943" s="617"/>
      <c r="F1943" s="1083"/>
      <c r="G1943" s="1084"/>
      <c r="H1943" s="1069"/>
      <c r="I1943" s="618"/>
      <c r="J1943" s="619"/>
      <c r="K1943" s="618"/>
      <c r="L1943" s="620"/>
      <c r="M1943" s="621"/>
      <c r="N1943" s="620"/>
    </row>
    <row r="1944" spans="1:14" ht="11.25" customHeight="1" x14ac:dyDescent="0.25">
      <c r="A1944" s="615"/>
      <c r="B1944" s="616"/>
      <c r="C1944" s="617"/>
      <c r="D1944" s="617"/>
      <c r="E1944" s="617"/>
      <c r="F1944" s="1083"/>
      <c r="G1944" s="1084"/>
      <c r="H1944" s="1069"/>
      <c r="I1944" s="618"/>
      <c r="J1944" s="619"/>
      <c r="K1944" s="618"/>
      <c r="L1944" s="620"/>
      <c r="M1944" s="621"/>
      <c r="N1944" s="620"/>
    </row>
    <row r="1945" spans="1:14" ht="11.25" customHeight="1" x14ac:dyDescent="0.25">
      <c r="A1945" s="615"/>
      <c r="B1945" s="616"/>
      <c r="C1945" s="617"/>
      <c r="D1945" s="617"/>
      <c r="E1945" s="617"/>
      <c r="F1945" s="1083"/>
      <c r="G1945" s="1084"/>
      <c r="H1945" s="1069"/>
      <c r="I1945" s="618"/>
      <c r="J1945" s="619"/>
      <c r="K1945" s="618"/>
      <c r="L1945" s="620"/>
      <c r="M1945" s="621"/>
      <c r="N1945" s="620"/>
    </row>
    <row r="1946" spans="1:14" ht="11.25" customHeight="1" x14ac:dyDescent="0.25">
      <c r="A1946" s="615"/>
      <c r="B1946" s="616"/>
      <c r="C1946" s="617"/>
      <c r="D1946" s="617"/>
      <c r="E1946" s="617"/>
      <c r="F1946" s="1083"/>
      <c r="G1946" s="1084"/>
      <c r="H1946" s="1069"/>
      <c r="I1946" s="618"/>
      <c r="J1946" s="619"/>
      <c r="K1946" s="618"/>
      <c r="L1946" s="620"/>
      <c r="M1946" s="621"/>
      <c r="N1946" s="620"/>
    </row>
    <row r="1947" spans="1:14" ht="11.25" customHeight="1" x14ac:dyDescent="0.25">
      <c r="A1947" s="615"/>
      <c r="B1947" s="616"/>
      <c r="C1947" s="617"/>
      <c r="D1947" s="617"/>
      <c r="E1947" s="617"/>
      <c r="F1947" s="1083"/>
      <c r="G1947" s="1084"/>
      <c r="H1947" s="1069"/>
      <c r="I1947" s="618"/>
      <c r="J1947" s="619"/>
      <c r="K1947" s="618"/>
      <c r="L1947" s="620"/>
      <c r="M1947" s="621"/>
      <c r="N1947" s="620"/>
    </row>
    <row r="1948" spans="1:14" ht="11.25" customHeight="1" x14ac:dyDescent="0.25">
      <c r="A1948" s="615"/>
      <c r="B1948" s="616"/>
      <c r="C1948" s="617"/>
      <c r="D1948" s="617"/>
      <c r="E1948" s="617"/>
      <c r="F1948" s="1083"/>
      <c r="G1948" s="1084"/>
      <c r="H1948" s="1069"/>
      <c r="I1948" s="618"/>
      <c r="J1948" s="619"/>
      <c r="K1948" s="618"/>
      <c r="L1948" s="620"/>
      <c r="M1948" s="621"/>
      <c r="N1948" s="620"/>
    </row>
    <row r="1949" spans="1:14" ht="11.25" customHeight="1" x14ac:dyDescent="0.25">
      <c r="A1949" s="615"/>
      <c r="B1949" s="616"/>
      <c r="C1949" s="617"/>
      <c r="D1949" s="617"/>
      <c r="E1949" s="617"/>
      <c r="F1949" s="1083"/>
      <c r="G1949" s="1084"/>
      <c r="H1949" s="1069"/>
      <c r="I1949" s="618"/>
      <c r="J1949" s="619"/>
      <c r="K1949" s="618"/>
      <c r="L1949" s="620"/>
      <c r="M1949" s="621"/>
      <c r="N1949" s="620"/>
    </row>
    <row r="1950" spans="1:14" ht="11.25" customHeight="1" x14ac:dyDescent="0.25">
      <c r="A1950" s="615"/>
      <c r="B1950" s="616"/>
      <c r="C1950" s="617"/>
      <c r="D1950" s="617"/>
      <c r="E1950" s="617"/>
      <c r="F1950" s="1083"/>
      <c r="G1950" s="1084"/>
      <c r="H1950" s="1069"/>
      <c r="I1950" s="618"/>
      <c r="J1950" s="619"/>
      <c r="K1950" s="618"/>
      <c r="L1950" s="620"/>
      <c r="M1950" s="621"/>
      <c r="N1950" s="620"/>
    </row>
    <row r="1951" spans="1:14" ht="11.25" customHeight="1" x14ac:dyDescent="0.25">
      <c r="A1951" s="615"/>
      <c r="B1951" s="616"/>
      <c r="C1951" s="617"/>
      <c r="D1951" s="617"/>
      <c r="E1951" s="617"/>
      <c r="F1951" s="1083"/>
      <c r="G1951" s="1084"/>
      <c r="H1951" s="1069"/>
      <c r="I1951" s="618"/>
      <c r="J1951" s="619"/>
      <c r="K1951" s="618"/>
      <c r="L1951" s="620"/>
      <c r="M1951" s="621"/>
      <c r="N1951" s="620"/>
    </row>
    <row r="1952" spans="1:14" ht="11.25" customHeight="1" x14ac:dyDescent="0.25">
      <c r="A1952" s="615"/>
      <c r="B1952" s="616"/>
      <c r="C1952" s="617"/>
      <c r="D1952" s="617"/>
      <c r="E1952" s="617"/>
      <c r="F1952" s="1083"/>
      <c r="G1952" s="1084"/>
      <c r="H1952" s="1069"/>
      <c r="I1952" s="618"/>
      <c r="J1952" s="619"/>
      <c r="K1952" s="618"/>
      <c r="L1952" s="620"/>
      <c r="M1952" s="621"/>
      <c r="N1952" s="620"/>
    </row>
    <row r="1953" spans="1:14" ht="11.25" customHeight="1" x14ac:dyDescent="0.25">
      <c r="A1953" s="615"/>
      <c r="B1953" s="616"/>
      <c r="C1953" s="617"/>
      <c r="D1953" s="617"/>
      <c r="E1953" s="617"/>
      <c r="F1953" s="1083"/>
      <c r="G1953" s="1084"/>
      <c r="H1953" s="1069"/>
      <c r="I1953" s="618"/>
      <c r="J1953" s="619"/>
      <c r="K1953" s="618"/>
      <c r="L1953" s="620"/>
      <c r="M1953" s="621"/>
      <c r="N1953" s="620"/>
    </row>
    <row r="1954" spans="1:14" ht="11.25" customHeight="1" x14ac:dyDescent="0.25">
      <c r="A1954" s="615"/>
      <c r="B1954" s="616"/>
      <c r="C1954" s="617"/>
      <c r="D1954" s="617"/>
      <c r="E1954" s="617"/>
      <c r="F1954" s="1083"/>
      <c r="G1954" s="1084"/>
      <c r="H1954" s="1069"/>
      <c r="I1954" s="618"/>
      <c r="J1954" s="619"/>
      <c r="K1954" s="618"/>
      <c r="L1954" s="620"/>
      <c r="M1954" s="621"/>
      <c r="N1954" s="620"/>
    </row>
    <row r="1955" spans="1:14" ht="11.25" customHeight="1" x14ac:dyDescent="0.25">
      <c r="A1955" s="615"/>
      <c r="B1955" s="616"/>
      <c r="C1955" s="617"/>
      <c r="D1955" s="617"/>
      <c r="E1955" s="617"/>
      <c r="F1955" s="1083"/>
      <c r="G1955" s="1084"/>
      <c r="H1955" s="1069"/>
      <c r="I1955" s="618"/>
      <c r="J1955" s="619"/>
      <c r="K1955" s="618"/>
      <c r="L1955" s="620"/>
      <c r="M1955" s="621"/>
      <c r="N1955" s="620"/>
    </row>
    <row r="1956" spans="1:14" ht="11.25" customHeight="1" x14ac:dyDescent="0.25">
      <c r="A1956" s="615"/>
      <c r="B1956" s="616"/>
      <c r="C1956" s="617"/>
      <c r="D1956" s="617"/>
      <c r="E1956" s="617"/>
      <c r="F1956" s="1083"/>
      <c r="G1956" s="1084"/>
      <c r="H1956" s="1069"/>
      <c r="I1956" s="618"/>
      <c r="J1956" s="619"/>
      <c r="K1956" s="618"/>
      <c r="L1956" s="620"/>
      <c r="M1956" s="621"/>
      <c r="N1956" s="620"/>
    </row>
    <row r="1957" spans="1:14" ht="11.25" customHeight="1" x14ac:dyDescent="0.25">
      <c r="A1957" s="615"/>
      <c r="B1957" s="616"/>
      <c r="C1957" s="617"/>
      <c r="D1957" s="617"/>
      <c r="E1957" s="617"/>
      <c r="F1957" s="1083"/>
      <c r="G1957" s="1084"/>
      <c r="H1957" s="1069"/>
      <c r="I1957" s="618"/>
      <c r="J1957" s="619"/>
      <c r="K1957" s="618"/>
      <c r="L1957" s="620"/>
      <c r="M1957" s="621"/>
      <c r="N1957" s="620"/>
    </row>
    <row r="1958" spans="1:14" ht="11.25" customHeight="1" x14ac:dyDescent="0.25">
      <c r="A1958" s="615"/>
      <c r="B1958" s="616"/>
      <c r="C1958" s="617"/>
      <c r="D1958" s="617"/>
      <c r="E1958" s="617"/>
      <c r="F1958" s="1083"/>
      <c r="G1958" s="1084"/>
      <c r="H1958" s="1069"/>
      <c r="I1958" s="618"/>
      <c r="J1958" s="619"/>
      <c r="K1958" s="618"/>
      <c r="L1958" s="620"/>
      <c r="M1958" s="621"/>
      <c r="N1958" s="620"/>
    </row>
    <row r="1959" spans="1:14" ht="11.25" customHeight="1" x14ac:dyDescent="0.25">
      <c r="A1959" s="615"/>
      <c r="B1959" s="616"/>
      <c r="C1959" s="617"/>
      <c r="D1959" s="617"/>
      <c r="E1959" s="617"/>
      <c r="F1959" s="1083"/>
      <c r="G1959" s="1084"/>
      <c r="H1959" s="1069"/>
      <c r="I1959" s="618"/>
      <c r="J1959" s="619"/>
      <c r="K1959" s="618"/>
      <c r="L1959" s="620"/>
      <c r="M1959" s="621"/>
      <c r="N1959" s="620"/>
    </row>
    <row r="1960" spans="1:14" ht="11.25" customHeight="1" x14ac:dyDescent="0.25">
      <c r="A1960" s="615"/>
      <c r="B1960" s="616"/>
      <c r="C1960" s="617"/>
      <c r="D1960" s="617"/>
      <c r="E1960" s="617"/>
      <c r="F1960" s="1083"/>
      <c r="G1960" s="1084"/>
      <c r="H1960" s="1069"/>
      <c r="I1960" s="618"/>
      <c r="J1960" s="619"/>
      <c r="K1960" s="618"/>
      <c r="L1960" s="620"/>
      <c r="M1960" s="621"/>
      <c r="N1960" s="620"/>
    </row>
    <row r="1961" spans="1:14" ht="11.25" customHeight="1" x14ac:dyDescent="0.25">
      <c r="A1961" s="615"/>
      <c r="B1961" s="616"/>
      <c r="C1961" s="617"/>
      <c r="D1961" s="617"/>
      <c r="E1961" s="617"/>
      <c r="F1961" s="1083"/>
      <c r="G1961" s="1084"/>
      <c r="H1961" s="1069"/>
      <c r="I1961" s="618"/>
      <c r="J1961" s="619"/>
      <c r="K1961" s="618"/>
      <c r="L1961" s="620"/>
      <c r="M1961" s="621"/>
      <c r="N1961" s="620"/>
    </row>
    <row r="1962" spans="1:14" ht="11.25" customHeight="1" x14ac:dyDescent="0.25">
      <c r="A1962" s="615"/>
      <c r="B1962" s="616"/>
      <c r="C1962" s="617"/>
      <c r="D1962" s="617"/>
      <c r="E1962" s="617"/>
      <c r="F1962" s="1083"/>
      <c r="G1962" s="1084"/>
      <c r="H1962" s="1069"/>
      <c r="I1962" s="618"/>
      <c r="J1962" s="619"/>
      <c r="K1962" s="618"/>
      <c r="L1962" s="620"/>
      <c r="M1962" s="621"/>
      <c r="N1962" s="620"/>
    </row>
    <row r="1963" spans="1:14" ht="11.25" customHeight="1" x14ac:dyDescent="0.25">
      <c r="A1963" s="615"/>
      <c r="B1963" s="616"/>
      <c r="C1963" s="617"/>
      <c r="D1963" s="617"/>
      <c r="E1963" s="617"/>
      <c r="F1963" s="1083"/>
      <c r="G1963" s="1084"/>
      <c r="H1963" s="1069"/>
      <c r="I1963" s="618"/>
      <c r="J1963" s="619"/>
      <c r="K1963" s="618"/>
      <c r="L1963" s="620"/>
      <c r="M1963" s="621"/>
      <c r="N1963" s="620"/>
    </row>
    <row r="1964" spans="1:14" ht="11.25" customHeight="1" x14ac:dyDescent="0.25">
      <c r="A1964" s="615"/>
      <c r="B1964" s="616"/>
      <c r="C1964" s="617"/>
      <c r="D1964" s="617"/>
      <c r="E1964" s="617"/>
      <c r="F1964" s="1083"/>
      <c r="G1964" s="1084"/>
      <c r="H1964" s="1069"/>
      <c r="I1964" s="618"/>
      <c r="J1964" s="619"/>
      <c r="K1964" s="618"/>
      <c r="L1964" s="620"/>
      <c r="M1964" s="621"/>
      <c r="N1964" s="620"/>
    </row>
    <row r="1965" spans="1:14" ht="11.25" customHeight="1" x14ac:dyDescent="0.25">
      <c r="A1965" s="615"/>
      <c r="B1965" s="616"/>
      <c r="C1965" s="617"/>
      <c r="D1965" s="617"/>
      <c r="E1965" s="617"/>
      <c r="F1965" s="1083"/>
      <c r="G1965" s="1084"/>
      <c r="H1965" s="1069"/>
      <c r="I1965" s="618"/>
      <c r="J1965" s="619"/>
      <c r="K1965" s="618"/>
      <c r="L1965" s="620"/>
      <c r="M1965" s="621"/>
      <c r="N1965" s="620"/>
    </row>
    <row r="1966" spans="1:14" ht="11.25" customHeight="1" x14ac:dyDescent="0.25">
      <c r="A1966" s="615"/>
      <c r="B1966" s="616"/>
      <c r="C1966" s="617"/>
      <c r="D1966" s="617"/>
      <c r="E1966" s="617"/>
      <c r="F1966" s="1083"/>
      <c r="G1966" s="1084"/>
      <c r="H1966" s="1069"/>
      <c r="I1966" s="618"/>
      <c r="J1966" s="619"/>
      <c r="K1966" s="618"/>
      <c r="L1966" s="620"/>
      <c r="M1966" s="621"/>
      <c r="N1966" s="620"/>
    </row>
    <row r="1967" spans="1:14" ht="11.25" customHeight="1" x14ac:dyDescent="0.25">
      <c r="A1967" s="615"/>
      <c r="B1967" s="616"/>
      <c r="C1967" s="617"/>
      <c r="D1967" s="617"/>
      <c r="E1967" s="617"/>
      <c r="F1967" s="1083"/>
      <c r="G1967" s="1084"/>
      <c r="H1967" s="1069"/>
      <c r="I1967" s="618"/>
      <c r="J1967" s="619"/>
      <c r="K1967" s="618"/>
      <c r="L1967" s="620"/>
      <c r="M1967" s="621"/>
      <c r="N1967" s="620"/>
    </row>
    <row r="1968" spans="1:14" ht="11.25" customHeight="1" x14ac:dyDescent="0.25">
      <c r="A1968" s="615"/>
      <c r="B1968" s="616"/>
      <c r="C1968" s="617"/>
      <c r="D1968" s="617"/>
      <c r="E1968" s="617"/>
      <c r="F1968" s="1083"/>
      <c r="G1968" s="1084"/>
      <c r="H1968" s="1069"/>
      <c r="I1968" s="618"/>
      <c r="J1968" s="619"/>
      <c r="K1968" s="618"/>
      <c r="L1968" s="620"/>
      <c r="M1968" s="621"/>
      <c r="N1968" s="620"/>
    </row>
    <row r="1969" spans="1:14" ht="11.25" customHeight="1" x14ac:dyDescent="0.25">
      <c r="A1969" s="615"/>
      <c r="B1969" s="616"/>
      <c r="C1969" s="617"/>
      <c r="D1969" s="617"/>
      <c r="E1969" s="617"/>
      <c r="F1969" s="1083"/>
      <c r="G1969" s="1084"/>
      <c r="H1969" s="1069"/>
      <c r="I1969" s="618"/>
      <c r="J1969" s="619"/>
      <c r="K1969" s="618"/>
      <c r="L1969" s="620"/>
      <c r="M1969" s="621"/>
      <c r="N1969" s="620"/>
    </row>
    <row r="1970" spans="1:14" ht="11.25" customHeight="1" x14ac:dyDescent="0.25">
      <c r="A1970" s="615"/>
      <c r="B1970" s="616"/>
      <c r="C1970" s="617"/>
      <c r="D1970" s="617"/>
      <c r="E1970" s="617"/>
      <c r="F1970" s="1083"/>
      <c r="G1970" s="1084"/>
      <c r="H1970" s="1069"/>
      <c r="I1970" s="618"/>
      <c r="J1970" s="619"/>
      <c r="K1970" s="618"/>
      <c r="L1970" s="620"/>
      <c r="M1970" s="621"/>
      <c r="N1970" s="620"/>
    </row>
    <row r="1971" spans="1:14" ht="11.25" customHeight="1" x14ac:dyDescent="0.25">
      <c r="A1971" s="615"/>
      <c r="B1971" s="616"/>
      <c r="C1971" s="617"/>
      <c r="D1971" s="617"/>
      <c r="E1971" s="617"/>
      <c r="F1971" s="1083"/>
      <c r="G1971" s="1084"/>
      <c r="H1971" s="1069"/>
      <c r="I1971" s="618"/>
      <c r="J1971" s="619"/>
      <c r="K1971" s="618"/>
      <c r="L1971" s="620"/>
      <c r="M1971" s="621"/>
      <c r="N1971" s="620"/>
    </row>
    <row r="1972" spans="1:14" ht="11.25" customHeight="1" x14ac:dyDescent="0.25">
      <c r="A1972" s="615"/>
      <c r="B1972" s="616"/>
      <c r="C1972" s="617"/>
      <c r="D1972" s="617"/>
      <c r="E1972" s="617"/>
      <c r="F1972" s="1083"/>
      <c r="G1972" s="1084"/>
      <c r="H1972" s="1069"/>
      <c r="I1972" s="618"/>
      <c r="J1972" s="619"/>
      <c r="K1972" s="618"/>
      <c r="L1972" s="620"/>
      <c r="M1972" s="621"/>
      <c r="N1972" s="620"/>
    </row>
    <row r="1973" spans="1:14" ht="11.25" customHeight="1" x14ac:dyDescent="0.25">
      <c r="A1973" s="615"/>
      <c r="B1973" s="616"/>
      <c r="C1973" s="617"/>
      <c r="D1973" s="617"/>
      <c r="E1973" s="617"/>
      <c r="F1973" s="1083"/>
      <c r="G1973" s="1084"/>
      <c r="H1973" s="1069"/>
      <c r="I1973" s="618"/>
      <c r="J1973" s="619"/>
      <c r="K1973" s="618"/>
      <c r="L1973" s="620"/>
      <c r="M1973" s="621"/>
      <c r="N1973" s="620"/>
    </row>
    <row r="1974" spans="1:14" ht="11.25" customHeight="1" x14ac:dyDescent="0.25">
      <c r="A1974" s="615"/>
      <c r="B1974" s="616"/>
      <c r="C1974" s="617"/>
      <c r="D1974" s="617"/>
      <c r="E1974" s="617"/>
      <c r="F1974" s="1083"/>
      <c r="G1974" s="1084"/>
      <c r="H1974" s="1069"/>
      <c r="I1974" s="618"/>
      <c r="J1974" s="619"/>
      <c r="K1974" s="618"/>
      <c r="L1974" s="620"/>
      <c r="M1974" s="621"/>
      <c r="N1974" s="620"/>
    </row>
    <row r="1975" spans="1:14" ht="11.25" customHeight="1" x14ac:dyDescent="0.25">
      <c r="A1975" s="615"/>
      <c r="B1975" s="616"/>
      <c r="C1975" s="617"/>
      <c r="D1975" s="617"/>
      <c r="E1975" s="617"/>
      <c r="F1975" s="1083"/>
      <c r="G1975" s="1084"/>
      <c r="H1975" s="1069"/>
      <c r="I1975" s="618"/>
      <c r="J1975" s="619"/>
      <c r="K1975" s="618"/>
      <c r="L1975" s="620"/>
      <c r="M1975" s="621"/>
      <c r="N1975" s="620"/>
    </row>
    <row r="1976" spans="1:14" ht="11.25" customHeight="1" x14ac:dyDescent="0.25">
      <c r="A1976" s="615"/>
      <c r="B1976" s="616"/>
      <c r="C1976" s="617"/>
      <c r="D1976" s="617"/>
      <c r="E1976" s="617"/>
      <c r="F1976" s="1083"/>
      <c r="G1976" s="1084"/>
      <c r="H1976" s="1069"/>
      <c r="I1976" s="618"/>
      <c r="J1976" s="619"/>
      <c r="K1976" s="618"/>
      <c r="L1976" s="620"/>
      <c r="M1976" s="621"/>
      <c r="N1976" s="620"/>
    </row>
    <row r="1977" spans="1:14" ht="11.25" customHeight="1" x14ac:dyDescent="0.25">
      <c r="A1977" s="615"/>
      <c r="B1977" s="616"/>
      <c r="C1977" s="617"/>
      <c r="D1977" s="617"/>
      <c r="E1977" s="617"/>
      <c r="F1977" s="1083"/>
      <c r="G1977" s="1084"/>
      <c r="H1977" s="1069"/>
      <c r="I1977" s="618"/>
      <c r="J1977" s="619"/>
      <c r="K1977" s="618"/>
      <c r="L1977" s="620"/>
      <c r="M1977" s="621"/>
      <c r="N1977" s="620"/>
    </row>
    <row r="1978" spans="1:14" ht="11.25" customHeight="1" x14ac:dyDescent="0.25">
      <c r="A1978" s="615"/>
      <c r="B1978" s="616"/>
      <c r="C1978" s="617"/>
      <c r="D1978" s="617"/>
      <c r="E1978" s="617"/>
      <c r="F1978" s="1083"/>
      <c r="G1978" s="1084"/>
      <c r="H1978" s="1069"/>
      <c r="I1978" s="618"/>
      <c r="J1978" s="619"/>
      <c r="K1978" s="618"/>
      <c r="L1978" s="620"/>
      <c r="M1978" s="621"/>
      <c r="N1978" s="620"/>
    </row>
    <row r="1979" spans="1:14" ht="11.25" customHeight="1" x14ac:dyDescent="0.25">
      <c r="A1979" s="615"/>
      <c r="B1979" s="616"/>
      <c r="C1979" s="617"/>
      <c r="D1979" s="617"/>
      <c r="E1979" s="617"/>
      <c r="F1979" s="1083"/>
      <c r="G1979" s="1084"/>
      <c r="H1979" s="1069"/>
      <c r="I1979" s="618"/>
      <c r="J1979" s="619"/>
      <c r="K1979" s="618"/>
      <c r="L1979" s="620"/>
      <c r="M1979" s="621"/>
      <c r="N1979" s="620"/>
    </row>
    <row r="1980" spans="1:14" ht="11.25" customHeight="1" x14ac:dyDescent="0.25">
      <c r="A1980" s="615"/>
      <c r="B1980" s="616"/>
      <c r="C1980" s="617"/>
      <c r="D1980" s="617"/>
      <c r="E1980" s="617"/>
      <c r="F1980" s="1083"/>
      <c r="G1980" s="1084"/>
      <c r="H1980" s="1069"/>
      <c r="I1980" s="618"/>
      <c r="J1980" s="619"/>
      <c r="K1980" s="618"/>
      <c r="L1980" s="620"/>
      <c r="M1980" s="621"/>
      <c r="N1980" s="620"/>
    </row>
    <row r="1981" spans="1:14" ht="11.25" customHeight="1" x14ac:dyDescent="0.25">
      <c r="A1981" s="615"/>
      <c r="B1981" s="616"/>
      <c r="C1981" s="617"/>
      <c r="D1981" s="617"/>
      <c r="E1981" s="617"/>
      <c r="F1981" s="1083"/>
      <c r="G1981" s="1084"/>
      <c r="H1981" s="1069"/>
      <c r="I1981" s="618"/>
      <c r="J1981" s="619"/>
      <c r="K1981" s="618"/>
      <c r="L1981" s="620"/>
      <c r="M1981" s="621"/>
      <c r="N1981" s="620"/>
    </row>
    <row r="1982" spans="1:14" ht="11.25" customHeight="1" x14ac:dyDescent="0.25">
      <c r="A1982" s="615"/>
      <c r="B1982" s="616"/>
      <c r="C1982" s="617"/>
      <c r="D1982" s="617"/>
      <c r="E1982" s="617"/>
      <c r="F1982" s="1083"/>
      <c r="G1982" s="1084"/>
      <c r="H1982" s="1069"/>
      <c r="I1982" s="618"/>
      <c r="J1982" s="619"/>
      <c r="K1982" s="618"/>
      <c r="L1982" s="620"/>
      <c r="M1982" s="621"/>
      <c r="N1982" s="620"/>
    </row>
    <row r="1983" spans="1:14" ht="11.25" customHeight="1" x14ac:dyDescent="0.25">
      <c r="A1983" s="615"/>
      <c r="B1983" s="616"/>
      <c r="C1983" s="617"/>
      <c r="D1983" s="617"/>
      <c r="E1983" s="617"/>
      <c r="F1983" s="1083"/>
      <c r="G1983" s="1084"/>
      <c r="H1983" s="1069"/>
      <c r="I1983" s="618"/>
      <c r="J1983" s="619"/>
      <c r="K1983" s="618"/>
      <c r="L1983" s="620"/>
      <c r="M1983" s="621"/>
      <c r="N1983" s="620"/>
    </row>
    <row r="1984" spans="1:14" ht="11.25" customHeight="1" x14ac:dyDescent="0.25">
      <c r="A1984" s="615"/>
      <c r="B1984" s="616"/>
      <c r="C1984" s="617"/>
      <c r="D1984" s="617"/>
      <c r="E1984" s="617"/>
      <c r="F1984" s="1083"/>
      <c r="G1984" s="1084"/>
      <c r="H1984" s="1069"/>
      <c r="I1984" s="618"/>
      <c r="J1984" s="619"/>
      <c r="K1984" s="618"/>
      <c r="L1984" s="620"/>
      <c r="M1984" s="621"/>
      <c r="N1984" s="620"/>
    </row>
    <row r="1985" spans="1:14" ht="11.25" customHeight="1" x14ac:dyDescent="0.25">
      <c r="A1985" s="615"/>
      <c r="B1985" s="616"/>
      <c r="C1985" s="617"/>
      <c r="D1985" s="617"/>
      <c r="E1985" s="617"/>
      <c r="F1985" s="1083"/>
      <c r="G1985" s="1084"/>
      <c r="H1985" s="1069"/>
      <c r="I1985" s="618"/>
      <c r="J1985" s="619"/>
      <c r="K1985" s="618"/>
      <c r="L1985" s="620"/>
      <c r="M1985" s="621"/>
      <c r="N1985" s="620"/>
    </row>
    <row r="1986" spans="1:14" ht="11.25" customHeight="1" x14ac:dyDescent="0.25">
      <c r="A1986" s="615"/>
      <c r="B1986" s="616"/>
      <c r="C1986" s="617"/>
      <c r="D1986" s="617"/>
      <c r="E1986" s="617"/>
      <c r="F1986" s="1083"/>
      <c r="G1986" s="1084"/>
      <c r="H1986" s="1069"/>
      <c r="I1986" s="618"/>
      <c r="J1986" s="619"/>
      <c r="K1986" s="618"/>
      <c r="L1986" s="620"/>
      <c r="M1986" s="621"/>
      <c r="N1986" s="620"/>
    </row>
    <row r="1987" spans="1:14" ht="11.25" customHeight="1" x14ac:dyDescent="0.25">
      <c r="A1987" s="615"/>
      <c r="B1987" s="616"/>
      <c r="C1987" s="617"/>
      <c r="D1987" s="617"/>
      <c r="E1987" s="617"/>
      <c r="F1987" s="1083"/>
      <c r="G1987" s="1084"/>
      <c r="H1987" s="1069"/>
      <c r="I1987" s="618"/>
      <c r="J1987" s="619"/>
      <c r="K1987" s="618"/>
      <c r="L1987" s="620"/>
      <c r="M1987" s="621"/>
      <c r="N1987" s="620"/>
    </row>
    <row r="1988" spans="1:14" ht="11.25" customHeight="1" x14ac:dyDescent="0.25">
      <c r="A1988" s="615"/>
      <c r="B1988" s="616"/>
      <c r="C1988" s="617"/>
      <c r="D1988" s="617"/>
      <c r="E1988" s="617"/>
      <c r="F1988" s="1083"/>
      <c r="G1988" s="1084"/>
      <c r="H1988" s="1069"/>
      <c r="I1988" s="618"/>
      <c r="J1988" s="619"/>
      <c r="K1988" s="618"/>
      <c r="L1988" s="620"/>
      <c r="M1988" s="621"/>
      <c r="N1988" s="620"/>
    </row>
    <row r="1989" spans="1:14" ht="11.25" customHeight="1" x14ac:dyDescent="0.25">
      <c r="A1989" s="615"/>
      <c r="B1989" s="616"/>
      <c r="C1989" s="617"/>
      <c r="D1989" s="617"/>
      <c r="E1989" s="617"/>
      <c r="F1989" s="1083"/>
      <c r="G1989" s="1084"/>
      <c r="H1989" s="1069"/>
      <c r="I1989" s="618"/>
      <c r="J1989" s="619"/>
      <c r="K1989" s="618"/>
      <c r="L1989" s="620"/>
      <c r="M1989" s="621"/>
      <c r="N1989" s="620"/>
    </row>
    <row r="1990" spans="1:14" ht="11.25" customHeight="1" x14ac:dyDescent="0.25">
      <c r="A1990" s="615"/>
      <c r="B1990" s="616"/>
      <c r="C1990" s="617"/>
      <c r="D1990" s="617"/>
      <c r="E1990" s="617"/>
      <c r="F1990" s="1083"/>
      <c r="G1990" s="1084"/>
      <c r="H1990" s="1069"/>
      <c r="I1990" s="618"/>
      <c r="J1990" s="619"/>
      <c r="K1990" s="618"/>
      <c r="L1990" s="620"/>
      <c r="M1990" s="621"/>
      <c r="N1990" s="620"/>
    </row>
    <row r="1991" spans="1:14" ht="11.25" customHeight="1" x14ac:dyDescent="0.25">
      <c r="A1991" s="615"/>
      <c r="B1991" s="616"/>
      <c r="C1991" s="617"/>
      <c r="D1991" s="617"/>
      <c r="E1991" s="617"/>
      <c r="F1991" s="1083"/>
      <c r="G1991" s="1084"/>
      <c r="H1991" s="1069"/>
      <c r="I1991" s="618"/>
      <c r="J1991" s="619"/>
      <c r="K1991" s="618"/>
      <c r="L1991" s="620"/>
      <c r="M1991" s="621"/>
      <c r="N1991" s="620"/>
    </row>
    <row r="1992" spans="1:14" ht="11.25" customHeight="1" x14ac:dyDescent="0.25">
      <c r="A1992" s="615"/>
      <c r="B1992" s="616"/>
      <c r="C1992" s="617"/>
      <c r="D1992" s="617"/>
      <c r="E1992" s="617"/>
      <c r="F1992" s="1083"/>
      <c r="G1992" s="1084"/>
      <c r="H1992" s="1069"/>
      <c r="I1992" s="618"/>
      <c r="J1992" s="619"/>
      <c r="K1992" s="618"/>
      <c r="L1992" s="620"/>
      <c r="M1992" s="621"/>
      <c r="N1992" s="620"/>
    </row>
    <row r="1993" spans="1:14" ht="11.25" customHeight="1" x14ac:dyDescent="0.25">
      <c r="A1993" s="615"/>
      <c r="B1993" s="616"/>
      <c r="C1993" s="617"/>
      <c r="D1993" s="617"/>
      <c r="E1993" s="617"/>
      <c r="F1993" s="1083"/>
      <c r="G1993" s="1084"/>
      <c r="H1993" s="1069"/>
      <c r="I1993" s="618"/>
      <c r="J1993" s="619"/>
      <c r="K1993" s="618"/>
      <c r="L1993" s="620"/>
      <c r="M1993" s="621"/>
      <c r="N1993" s="620"/>
    </row>
    <row r="1994" spans="1:14" ht="11.25" customHeight="1" x14ac:dyDescent="0.25">
      <c r="A1994" s="615"/>
      <c r="B1994" s="616"/>
      <c r="C1994" s="617"/>
      <c r="D1994" s="617"/>
      <c r="E1994" s="617"/>
      <c r="F1994" s="1083"/>
      <c r="G1994" s="1084"/>
      <c r="H1994" s="1069"/>
      <c r="I1994" s="618"/>
      <c r="J1994" s="619"/>
      <c r="K1994" s="618"/>
      <c r="L1994" s="620"/>
      <c r="M1994" s="621"/>
      <c r="N1994" s="620"/>
    </row>
    <row r="1995" spans="1:14" ht="11.25" customHeight="1" x14ac:dyDescent="0.25">
      <c r="A1995" s="615"/>
      <c r="B1995" s="616"/>
      <c r="C1995" s="617"/>
      <c r="D1995" s="617"/>
      <c r="E1995" s="617"/>
      <c r="F1995" s="1083"/>
      <c r="G1995" s="1084"/>
      <c r="H1995" s="1069"/>
      <c r="I1995" s="618"/>
      <c r="J1995" s="619"/>
      <c r="K1995" s="618"/>
      <c r="L1995" s="620"/>
      <c r="M1995" s="621"/>
      <c r="N1995" s="620"/>
    </row>
    <row r="1996" spans="1:14" ht="11.25" customHeight="1" x14ac:dyDescent="0.25">
      <c r="A1996" s="615"/>
      <c r="B1996" s="616"/>
      <c r="C1996" s="617"/>
      <c r="D1996" s="617"/>
      <c r="E1996" s="617"/>
      <c r="F1996" s="1083"/>
      <c r="G1996" s="1084"/>
      <c r="H1996" s="1069"/>
      <c r="I1996" s="618"/>
      <c r="J1996" s="619"/>
      <c r="K1996" s="618"/>
      <c r="L1996" s="620"/>
      <c r="M1996" s="621"/>
      <c r="N1996" s="620"/>
    </row>
    <row r="1997" spans="1:14" ht="11.25" customHeight="1" x14ac:dyDescent="0.25">
      <c r="A1997" s="615"/>
      <c r="B1997" s="616"/>
      <c r="C1997" s="617"/>
      <c r="D1997" s="617"/>
      <c r="E1997" s="617"/>
      <c r="F1997" s="1083"/>
      <c r="G1997" s="1084"/>
      <c r="H1997" s="1069"/>
      <c r="I1997" s="618"/>
      <c r="J1997" s="619"/>
      <c r="K1997" s="618"/>
      <c r="L1997" s="620"/>
      <c r="M1997" s="621"/>
      <c r="N1997" s="620"/>
    </row>
    <row r="1998" spans="1:14" ht="11.25" customHeight="1" x14ac:dyDescent="0.25">
      <c r="A1998" s="615"/>
      <c r="B1998" s="616"/>
      <c r="C1998" s="617"/>
      <c r="D1998" s="617"/>
      <c r="E1998" s="617"/>
      <c r="F1998" s="1083"/>
      <c r="G1998" s="1084"/>
      <c r="H1998" s="1069"/>
      <c r="I1998" s="618"/>
      <c r="J1998" s="619"/>
      <c r="K1998" s="618"/>
      <c r="L1998" s="620"/>
      <c r="M1998" s="621"/>
      <c r="N1998" s="620"/>
    </row>
    <row r="1999" spans="1:14" ht="11.25" customHeight="1" x14ac:dyDescent="0.25">
      <c r="A1999" s="615"/>
      <c r="B1999" s="616"/>
      <c r="C1999" s="617"/>
      <c r="D1999" s="617"/>
      <c r="E1999" s="617"/>
      <c r="F1999" s="1083"/>
      <c r="G1999" s="1084"/>
      <c r="H1999" s="1069"/>
      <c r="I1999" s="618"/>
      <c r="J1999" s="619"/>
      <c r="K1999" s="618"/>
      <c r="L1999" s="620"/>
      <c r="M1999" s="621"/>
      <c r="N1999" s="620"/>
    </row>
    <row r="2000" spans="1:14" ht="11.25" customHeight="1" x14ac:dyDescent="0.25">
      <c r="A2000" s="615"/>
      <c r="B2000" s="616"/>
      <c r="C2000" s="617"/>
      <c r="D2000" s="617"/>
      <c r="E2000" s="617"/>
      <c r="F2000" s="1083"/>
      <c r="G2000" s="1084"/>
      <c r="H2000" s="1069"/>
      <c r="I2000" s="618"/>
      <c r="J2000" s="619"/>
      <c r="K2000" s="618"/>
      <c r="L2000" s="620"/>
      <c r="M2000" s="621"/>
      <c r="N2000" s="620"/>
    </row>
    <row r="2001" spans="1:14" ht="11.25" customHeight="1" x14ac:dyDescent="0.25">
      <c r="A2001" s="615"/>
      <c r="B2001" s="616"/>
      <c r="C2001" s="617"/>
      <c r="D2001" s="617"/>
      <c r="E2001" s="617"/>
      <c r="F2001" s="1083"/>
      <c r="G2001" s="1084"/>
      <c r="H2001" s="1069"/>
      <c r="I2001" s="618"/>
      <c r="J2001" s="619"/>
      <c r="K2001" s="618"/>
      <c r="L2001" s="620"/>
      <c r="M2001" s="621"/>
      <c r="N2001" s="620"/>
    </row>
    <row r="2002" spans="1:14" ht="11.25" customHeight="1" x14ac:dyDescent="0.25">
      <c r="A2002" s="615"/>
      <c r="B2002" s="616"/>
      <c r="C2002" s="617"/>
      <c r="D2002" s="617"/>
      <c r="E2002" s="617"/>
      <c r="F2002" s="1083"/>
      <c r="G2002" s="1084"/>
      <c r="H2002" s="1069"/>
      <c r="I2002" s="618"/>
      <c r="J2002" s="619"/>
      <c r="K2002" s="618"/>
      <c r="L2002" s="620"/>
      <c r="M2002" s="621"/>
      <c r="N2002" s="620"/>
    </row>
    <row r="2003" spans="1:14" ht="11.25" customHeight="1" x14ac:dyDescent="0.25">
      <c r="A2003" s="615"/>
      <c r="B2003" s="616"/>
      <c r="C2003" s="617"/>
      <c r="D2003" s="617"/>
      <c r="E2003" s="617"/>
      <c r="F2003" s="1083"/>
      <c r="G2003" s="1084"/>
      <c r="H2003" s="1069"/>
      <c r="I2003" s="618"/>
      <c r="J2003" s="619"/>
      <c r="K2003" s="618"/>
      <c r="L2003" s="620"/>
      <c r="M2003" s="621"/>
      <c r="N2003" s="620"/>
    </row>
    <row r="2004" spans="1:14" ht="11.25" customHeight="1" x14ac:dyDescent="0.25">
      <c r="A2004" s="615"/>
      <c r="B2004" s="616"/>
      <c r="C2004" s="617"/>
      <c r="D2004" s="617"/>
      <c r="E2004" s="617"/>
      <c r="F2004" s="1083"/>
      <c r="G2004" s="1084"/>
      <c r="H2004" s="1069"/>
      <c r="I2004" s="618"/>
      <c r="J2004" s="619"/>
      <c r="K2004" s="618"/>
      <c r="L2004" s="620"/>
      <c r="M2004" s="621"/>
      <c r="N2004" s="620"/>
    </row>
    <row r="2005" spans="1:14" ht="11.25" customHeight="1" x14ac:dyDescent="0.25">
      <c r="A2005" s="615"/>
      <c r="B2005" s="616"/>
      <c r="C2005" s="617"/>
      <c r="D2005" s="617"/>
      <c r="E2005" s="617"/>
      <c r="F2005" s="1083"/>
      <c r="G2005" s="1084"/>
      <c r="H2005" s="1069"/>
      <c r="I2005" s="618"/>
      <c r="J2005" s="619"/>
      <c r="K2005" s="618"/>
      <c r="L2005" s="620"/>
      <c r="M2005" s="621"/>
      <c r="N2005" s="620"/>
    </row>
    <row r="2006" spans="1:14" ht="11.25" customHeight="1" x14ac:dyDescent="0.25">
      <c r="A2006" s="615"/>
      <c r="B2006" s="616"/>
      <c r="C2006" s="617"/>
      <c r="D2006" s="617"/>
      <c r="E2006" s="617"/>
      <c r="F2006" s="1083"/>
      <c r="G2006" s="1084"/>
      <c r="H2006" s="1069"/>
      <c r="I2006" s="618"/>
      <c r="J2006" s="619"/>
      <c r="K2006" s="618"/>
      <c r="L2006" s="620"/>
      <c r="M2006" s="621"/>
      <c r="N2006" s="620"/>
    </row>
    <row r="2007" spans="1:14" ht="11.25" customHeight="1" x14ac:dyDescent="0.25">
      <c r="A2007" s="615"/>
      <c r="B2007" s="616"/>
      <c r="C2007" s="617"/>
      <c r="D2007" s="617"/>
      <c r="E2007" s="617"/>
      <c r="F2007" s="1083"/>
      <c r="G2007" s="1084"/>
      <c r="H2007" s="1069"/>
      <c r="I2007" s="618"/>
      <c r="J2007" s="619"/>
      <c r="K2007" s="618"/>
      <c r="L2007" s="620"/>
      <c r="M2007" s="621"/>
      <c r="N2007" s="620"/>
    </row>
    <row r="2008" spans="1:14" ht="11.25" customHeight="1" x14ac:dyDescent="0.25">
      <c r="A2008" s="615"/>
      <c r="B2008" s="616"/>
      <c r="C2008" s="617"/>
      <c r="D2008" s="617"/>
      <c r="E2008" s="617"/>
      <c r="F2008" s="1083"/>
      <c r="G2008" s="1084"/>
      <c r="H2008" s="1069"/>
      <c r="I2008" s="618"/>
      <c r="J2008" s="619"/>
      <c r="K2008" s="618"/>
      <c r="L2008" s="620"/>
      <c r="M2008" s="621"/>
      <c r="N2008" s="620"/>
    </row>
    <row r="2009" spans="1:14" ht="11.25" customHeight="1" x14ac:dyDescent="0.25">
      <c r="A2009" s="615"/>
      <c r="B2009" s="616"/>
      <c r="C2009" s="617"/>
      <c r="D2009" s="617"/>
      <c r="E2009" s="617"/>
      <c r="F2009" s="1083"/>
      <c r="G2009" s="1084"/>
      <c r="H2009" s="1069"/>
      <c r="I2009" s="618"/>
      <c r="J2009" s="619"/>
      <c r="K2009" s="618"/>
      <c r="L2009" s="620"/>
      <c r="M2009" s="621"/>
      <c r="N2009" s="620"/>
    </row>
    <row r="2010" spans="1:14" ht="11.25" customHeight="1" x14ac:dyDescent="0.25">
      <c r="A2010" s="615"/>
      <c r="B2010" s="616"/>
      <c r="C2010" s="617"/>
      <c r="D2010" s="617"/>
      <c r="E2010" s="617"/>
      <c r="F2010" s="1083"/>
      <c r="G2010" s="1084"/>
      <c r="H2010" s="1069"/>
      <c r="I2010" s="618"/>
      <c r="J2010" s="619"/>
      <c r="K2010" s="618"/>
      <c r="L2010" s="620"/>
      <c r="M2010" s="621"/>
      <c r="N2010" s="620"/>
    </row>
    <row r="2011" spans="1:14" ht="11.25" customHeight="1" x14ac:dyDescent="0.25">
      <c r="A2011" s="615"/>
      <c r="B2011" s="616"/>
      <c r="C2011" s="617"/>
      <c r="D2011" s="617"/>
      <c r="E2011" s="617"/>
      <c r="F2011" s="1083"/>
      <c r="G2011" s="1084"/>
      <c r="H2011" s="1069"/>
      <c r="I2011" s="618"/>
      <c r="J2011" s="619"/>
      <c r="K2011" s="618"/>
      <c r="L2011" s="620"/>
      <c r="M2011" s="621"/>
      <c r="N2011" s="620"/>
    </row>
    <row r="2012" spans="1:14" ht="11.25" customHeight="1" x14ac:dyDescent="0.25">
      <c r="A2012" s="615"/>
      <c r="B2012" s="616"/>
      <c r="C2012" s="617"/>
      <c r="D2012" s="617"/>
      <c r="E2012" s="617"/>
      <c r="F2012" s="1083"/>
      <c r="G2012" s="1084"/>
      <c r="H2012" s="1069"/>
      <c r="I2012" s="618"/>
      <c r="J2012" s="619"/>
      <c r="K2012" s="618"/>
      <c r="L2012" s="620"/>
      <c r="M2012" s="621"/>
      <c r="N2012" s="620"/>
    </row>
    <row r="2013" spans="1:14" ht="11.25" customHeight="1" x14ac:dyDescent="0.25">
      <c r="A2013" s="615"/>
      <c r="B2013" s="616"/>
      <c r="C2013" s="617"/>
      <c r="D2013" s="617"/>
      <c r="E2013" s="617"/>
      <c r="F2013" s="1083"/>
      <c r="G2013" s="1084"/>
      <c r="H2013" s="1069"/>
      <c r="I2013" s="618"/>
      <c r="J2013" s="619"/>
      <c r="K2013" s="618"/>
      <c r="L2013" s="620"/>
      <c r="M2013" s="621"/>
      <c r="N2013" s="620"/>
    </row>
    <row r="2014" spans="1:14" ht="11.25" customHeight="1" x14ac:dyDescent="0.25">
      <c r="A2014" s="615"/>
      <c r="B2014" s="616"/>
      <c r="C2014" s="617"/>
      <c r="D2014" s="617"/>
      <c r="E2014" s="617"/>
      <c r="F2014" s="1083"/>
      <c r="G2014" s="1084"/>
      <c r="H2014" s="1069"/>
      <c r="I2014" s="618"/>
      <c r="J2014" s="619"/>
      <c r="K2014" s="618"/>
      <c r="L2014" s="620"/>
      <c r="M2014" s="621"/>
      <c r="N2014" s="620"/>
    </row>
    <row r="2015" spans="1:14" ht="11.25" customHeight="1" x14ac:dyDescent="0.25">
      <c r="A2015" s="615"/>
      <c r="B2015" s="616"/>
      <c r="C2015" s="617"/>
      <c r="D2015" s="617"/>
      <c r="E2015" s="617"/>
      <c r="F2015" s="1083"/>
      <c r="G2015" s="1084"/>
      <c r="H2015" s="1069"/>
      <c r="I2015" s="618"/>
      <c r="J2015" s="619"/>
      <c r="K2015" s="618"/>
      <c r="L2015" s="620"/>
      <c r="M2015" s="621"/>
      <c r="N2015" s="620"/>
    </row>
    <row r="2016" spans="1:14" ht="11.25" customHeight="1" x14ac:dyDescent="0.25">
      <c r="A2016" s="615"/>
      <c r="B2016" s="616"/>
      <c r="C2016" s="617"/>
      <c r="D2016" s="617"/>
      <c r="E2016" s="617"/>
      <c r="F2016" s="1083"/>
      <c r="G2016" s="1084"/>
      <c r="H2016" s="1069"/>
      <c r="I2016" s="618"/>
      <c r="J2016" s="619"/>
      <c r="K2016" s="618"/>
      <c r="L2016" s="620"/>
      <c r="M2016" s="621"/>
      <c r="N2016" s="620"/>
    </row>
    <row r="2017" spans="1:14" ht="11.25" customHeight="1" x14ac:dyDescent="0.25">
      <c r="A2017" s="615"/>
      <c r="B2017" s="616"/>
      <c r="C2017" s="617"/>
      <c r="D2017" s="617"/>
      <c r="E2017" s="617"/>
      <c r="F2017" s="1083"/>
      <c r="G2017" s="1084"/>
      <c r="H2017" s="1069"/>
      <c r="I2017" s="618"/>
      <c r="J2017" s="619"/>
      <c r="K2017" s="618"/>
      <c r="L2017" s="620"/>
      <c r="M2017" s="621"/>
      <c r="N2017" s="620"/>
    </row>
    <row r="2018" spans="1:14" ht="11.25" customHeight="1" x14ac:dyDescent="0.25">
      <c r="A2018" s="615"/>
      <c r="B2018" s="616"/>
      <c r="C2018" s="617"/>
      <c r="D2018" s="617"/>
      <c r="E2018" s="617"/>
      <c r="F2018" s="1083"/>
      <c r="G2018" s="1084"/>
      <c r="H2018" s="1069"/>
      <c r="I2018" s="618"/>
      <c r="J2018" s="619"/>
      <c r="K2018" s="618"/>
      <c r="L2018" s="620"/>
      <c r="M2018" s="621"/>
      <c r="N2018" s="620"/>
    </row>
    <row r="2019" spans="1:14" ht="11.25" customHeight="1" x14ac:dyDescent="0.25">
      <c r="A2019" s="615"/>
      <c r="B2019" s="616"/>
      <c r="C2019" s="617"/>
      <c r="D2019" s="617"/>
      <c r="E2019" s="617"/>
      <c r="F2019" s="1083"/>
      <c r="G2019" s="1084"/>
      <c r="H2019" s="1069"/>
      <c r="I2019" s="618"/>
      <c r="J2019" s="619"/>
      <c r="K2019" s="618"/>
      <c r="L2019" s="620"/>
      <c r="M2019" s="621"/>
      <c r="N2019" s="620"/>
    </row>
    <row r="2020" spans="1:14" ht="11.25" customHeight="1" x14ac:dyDescent="0.25">
      <c r="A2020" s="615"/>
      <c r="B2020" s="616"/>
      <c r="C2020" s="617"/>
      <c r="D2020" s="617"/>
      <c r="E2020" s="617"/>
      <c r="F2020" s="1083"/>
      <c r="G2020" s="1084"/>
      <c r="H2020" s="1069"/>
      <c r="I2020" s="618"/>
      <c r="J2020" s="619"/>
      <c r="K2020" s="618"/>
      <c r="L2020" s="620"/>
      <c r="M2020" s="621"/>
      <c r="N2020" s="620"/>
    </row>
    <row r="2021" spans="1:14" ht="11.25" customHeight="1" x14ac:dyDescent="0.25">
      <c r="A2021" s="615"/>
      <c r="B2021" s="616"/>
      <c r="C2021" s="617"/>
      <c r="D2021" s="617"/>
      <c r="E2021" s="617"/>
      <c r="F2021" s="1083"/>
      <c r="G2021" s="1084"/>
      <c r="H2021" s="1069"/>
      <c r="I2021" s="618"/>
      <c r="J2021" s="619"/>
      <c r="K2021" s="618"/>
      <c r="L2021" s="620"/>
      <c r="M2021" s="621"/>
      <c r="N2021" s="620"/>
    </row>
    <row r="2022" spans="1:14" ht="11.25" customHeight="1" x14ac:dyDescent="0.25">
      <c r="A2022" s="615"/>
      <c r="B2022" s="616"/>
      <c r="C2022" s="617"/>
      <c r="D2022" s="617"/>
      <c r="E2022" s="617"/>
      <c r="F2022" s="1083"/>
      <c r="G2022" s="1084"/>
      <c r="H2022" s="1069"/>
      <c r="I2022" s="618"/>
      <c r="J2022" s="619"/>
      <c r="K2022" s="618"/>
      <c r="L2022" s="620"/>
      <c r="M2022" s="621"/>
      <c r="N2022" s="620"/>
    </row>
    <row r="2023" spans="1:14" ht="11.25" customHeight="1" x14ac:dyDescent="0.25">
      <c r="A2023" s="615"/>
      <c r="B2023" s="616"/>
      <c r="C2023" s="617"/>
      <c r="D2023" s="617"/>
      <c r="E2023" s="617"/>
      <c r="F2023" s="1083"/>
      <c r="G2023" s="1084"/>
      <c r="H2023" s="1069"/>
      <c r="I2023" s="618"/>
      <c r="J2023" s="619"/>
      <c r="K2023" s="618"/>
      <c r="L2023" s="620"/>
      <c r="M2023" s="621"/>
      <c r="N2023" s="620"/>
    </row>
    <row r="2024" spans="1:14" ht="11.25" customHeight="1" x14ac:dyDescent="0.25">
      <c r="A2024" s="615"/>
      <c r="B2024" s="616"/>
      <c r="C2024" s="617"/>
      <c r="D2024" s="617"/>
      <c r="E2024" s="617"/>
      <c r="F2024" s="1083"/>
      <c r="G2024" s="1084"/>
      <c r="H2024" s="1069"/>
      <c r="I2024" s="618"/>
      <c r="J2024" s="619"/>
      <c r="K2024" s="618"/>
      <c r="L2024" s="620"/>
      <c r="M2024" s="621"/>
      <c r="N2024" s="620"/>
    </row>
    <row r="2025" spans="1:14" ht="11.25" customHeight="1" x14ac:dyDescent="0.25">
      <c r="A2025" s="615"/>
      <c r="B2025" s="616"/>
      <c r="C2025" s="617"/>
      <c r="D2025" s="617"/>
      <c r="E2025" s="617"/>
      <c r="F2025" s="1083"/>
      <c r="G2025" s="1084"/>
      <c r="H2025" s="1069"/>
      <c r="I2025" s="618"/>
      <c r="J2025" s="619"/>
      <c r="K2025" s="618"/>
      <c r="L2025" s="620"/>
      <c r="M2025" s="621"/>
      <c r="N2025" s="620"/>
    </row>
    <row r="2026" spans="1:14" ht="11.25" customHeight="1" x14ac:dyDescent="0.25">
      <c r="A2026" s="615"/>
      <c r="B2026" s="616"/>
      <c r="C2026" s="617"/>
      <c r="D2026" s="617"/>
      <c r="E2026" s="617"/>
      <c r="F2026" s="1083"/>
      <c r="G2026" s="1084"/>
      <c r="H2026" s="1069"/>
      <c r="I2026" s="618"/>
      <c r="J2026" s="619"/>
      <c r="K2026" s="618"/>
      <c r="L2026" s="620"/>
      <c r="M2026" s="621"/>
      <c r="N2026" s="620"/>
    </row>
    <row r="2027" spans="1:14" ht="11.25" customHeight="1" x14ac:dyDescent="0.25">
      <c r="A2027" s="615"/>
      <c r="B2027" s="616"/>
      <c r="C2027" s="617"/>
      <c r="D2027" s="617"/>
      <c r="E2027" s="617"/>
      <c r="F2027" s="1083"/>
      <c r="G2027" s="1084"/>
      <c r="H2027" s="1069"/>
      <c r="I2027" s="618"/>
      <c r="J2027" s="619"/>
      <c r="K2027" s="618"/>
      <c r="L2027" s="620"/>
      <c r="M2027" s="621"/>
      <c r="N2027" s="620"/>
    </row>
    <row r="2028" spans="1:14" ht="11.25" customHeight="1" x14ac:dyDescent="0.25">
      <c r="A2028" s="615"/>
      <c r="B2028" s="616"/>
      <c r="C2028" s="617"/>
      <c r="D2028" s="617"/>
      <c r="E2028" s="617"/>
      <c r="F2028" s="1083"/>
      <c r="G2028" s="1084"/>
      <c r="H2028" s="1069"/>
      <c r="I2028" s="618"/>
      <c r="J2028" s="619"/>
      <c r="K2028" s="618"/>
      <c r="L2028" s="620"/>
      <c r="M2028" s="621"/>
      <c r="N2028" s="620"/>
    </row>
    <row r="2029" spans="1:14" ht="11.25" customHeight="1" x14ac:dyDescent="0.25">
      <c r="A2029" s="615"/>
      <c r="B2029" s="616"/>
      <c r="C2029" s="617"/>
      <c r="D2029" s="617"/>
      <c r="E2029" s="617"/>
      <c r="F2029" s="1083"/>
      <c r="G2029" s="1084"/>
      <c r="H2029" s="1069"/>
      <c r="I2029" s="618"/>
      <c r="J2029" s="619"/>
      <c r="K2029" s="618"/>
      <c r="L2029" s="620"/>
      <c r="M2029" s="621"/>
      <c r="N2029" s="620"/>
    </row>
    <row r="2030" spans="1:14" ht="11.25" customHeight="1" x14ac:dyDescent="0.25">
      <c r="A2030" s="615"/>
      <c r="B2030" s="616"/>
      <c r="C2030" s="617"/>
      <c r="D2030" s="617"/>
      <c r="E2030" s="617"/>
      <c r="F2030" s="1083"/>
      <c r="G2030" s="1084"/>
      <c r="H2030" s="1069"/>
      <c r="I2030" s="618"/>
      <c r="J2030" s="619"/>
      <c r="K2030" s="618"/>
      <c r="L2030" s="620"/>
      <c r="M2030" s="621"/>
      <c r="N2030" s="620"/>
    </row>
    <row r="2031" spans="1:14" ht="11.25" customHeight="1" x14ac:dyDescent="0.25">
      <c r="A2031" s="615"/>
      <c r="B2031" s="616"/>
      <c r="C2031" s="617"/>
      <c r="D2031" s="617"/>
      <c r="E2031" s="617"/>
      <c r="F2031" s="1083"/>
      <c r="G2031" s="1084"/>
      <c r="H2031" s="1069"/>
      <c r="I2031" s="618"/>
      <c r="J2031" s="619"/>
      <c r="K2031" s="618"/>
      <c r="L2031" s="620"/>
      <c r="M2031" s="621"/>
      <c r="N2031" s="620"/>
    </row>
    <row r="2032" spans="1:14" ht="11.25" customHeight="1" x14ac:dyDescent="0.25">
      <c r="A2032" s="615"/>
      <c r="B2032" s="616"/>
      <c r="C2032" s="617"/>
      <c r="D2032" s="617"/>
      <c r="E2032" s="617"/>
      <c r="F2032" s="1083"/>
      <c r="G2032" s="1084"/>
      <c r="H2032" s="1069"/>
      <c r="I2032" s="618"/>
      <c r="J2032" s="619"/>
      <c r="K2032" s="618"/>
      <c r="L2032" s="620"/>
      <c r="M2032" s="621"/>
      <c r="N2032" s="620"/>
    </row>
    <row r="2033" spans="1:14" ht="11.25" customHeight="1" x14ac:dyDescent="0.25">
      <c r="A2033" s="615"/>
      <c r="B2033" s="616"/>
      <c r="C2033" s="617"/>
      <c r="D2033" s="617"/>
      <c r="E2033" s="617"/>
      <c r="F2033" s="1083"/>
      <c r="G2033" s="1084"/>
      <c r="H2033" s="1069"/>
      <c r="I2033" s="618"/>
      <c r="J2033" s="619"/>
      <c r="K2033" s="618"/>
      <c r="L2033" s="620"/>
      <c r="M2033" s="621"/>
      <c r="N2033" s="620"/>
    </row>
    <row r="2034" spans="1:14" ht="11.25" customHeight="1" x14ac:dyDescent="0.25">
      <c r="A2034" s="615"/>
      <c r="B2034" s="616"/>
      <c r="C2034" s="617"/>
      <c r="D2034" s="617"/>
      <c r="E2034" s="617"/>
      <c r="F2034" s="1083"/>
      <c r="G2034" s="1084"/>
      <c r="H2034" s="1069"/>
      <c r="I2034" s="618"/>
      <c r="J2034" s="619"/>
      <c r="K2034" s="618"/>
      <c r="L2034" s="620"/>
      <c r="M2034" s="621"/>
      <c r="N2034" s="620"/>
    </row>
    <row r="2035" spans="1:14" ht="11.25" customHeight="1" x14ac:dyDescent="0.25">
      <c r="A2035" s="615"/>
      <c r="B2035" s="616"/>
      <c r="C2035" s="617"/>
      <c r="D2035" s="617"/>
      <c r="E2035" s="617"/>
      <c r="F2035" s="1083"/>
      <c r="G2035" s="1084"/>
      <c r="H2035" s="1069"/>
      <c r="I2035" s="618"/>
      <c r="J2035" s="619"/>
      <c r="K2035" s="618"/>
      <c r="L2035" s="620"/>
      <c r="M2035" s="621"/>
      <c r="N2035" s="620"/>
    </row>
    <row r="2036" spans="1:14" ht="11.25" customHeight="1" x14ac:dyDescent="0.25">
      <c r="A2036" s="615"/>
      <c r="B2036" s="616"/>
      <c r="C2036" s="617"/>
      <c r="D2036" s="617"/>
      <c r="E2036" s="617"/>
      <c r="F2036" s="1083"/>
      <c r="G2036" s="1084"/>
      <c r="H2036" s="1069"/>
      <c r="I2036" s="618"/>
      <c r="J2036" s="619"/>
      <c r="K2036" s="618"/>
      <c r="L2036" s="620"/>
      <c r="M2036" s="621"/>
      <c r="N2036" s="620"/>
    </row>
    <row r="2037" spans="1:14" ht="11.25" customHeight="1" x14ac:dyDescent="0.25">
      <c r="A2037" s="615"/>
      <c r="B2037" s="616"/>
      <c r="C2037" s="617"/>
      <c r="D2037" s="617"/>
      <c r="E2037" s="617"/>
      <c r="F2037" s="1083"/>
      <c r="G2037" s="1084"/>
      <c r="H2037" s="1069"/>
      <c r="I2037" s="618"/>
      <c r="J2037" s="619"/>
      <c r="K2037" s="618"/>
      <c r="L2037" s="620"/>
      <c r="M2037" s="621"/>
      <c r="N2037" s="620"/>
    </row>
    <row r="2038" spans="1:14" ht="11.25" customHeight="1" x14ac:dyDescent="0.25">
      <c r="A2038" s="615"/>
      <c r="B2038" s="616"/>
      <c r="C2038" s="617"/>
      <c r="D2038" s="617"/>
      <c r="E2038" s="617"/>
      <c r="F2038" s="1083"/>
      <c r="G2038" s="1084"/>
      <c r="H2038" s="1069"/>
      <c r="I2038" s="618"/>
      <c r="J2038" s="619"/>
      <c r="K2038" s="618"/>
      <c r="L2038" s="620"/>
      <c r="M2038" s="621"/>
      <c r="N2038" s="620"/>
    </row>
    <row r="2039" spans="1:14" ht="11.25" customHeight="1" x14ac:dyDescent="0.25">
      <c r="A2039" s="615"/>
      <c r="B2039" s="616"/>
      <c r="C2039" s="617"/>
      <c r="D2039" s="617"/>
      <c r="E2039" s="617"/>
      <c r="F2039" s="1083"/>
      <c r="G2039" s="1084"/>
      <c r="H2039" s="1069"/>
      <c r="I2039" s="618"/>
      <c r="J2039" s="619"/>
      <c r="K2039" s="618"/>
      <c r="L2039" s="620"/>
      <c r="M2039" s="621"/>
      <c r="N2039" s="620"/>
    </row>
    <row r="2040" spans="1:14" ht="11.25" customHeight="1" x14ac:dyDescent="0.25">
      <c r="A2040" s="615"/>
      <c r="B2040" s="616"/>
      <c r="C2040" s="617"/>
      <c r="D2040" s="617"/>
      <c r="E2040" s="617"/>
      <c r="F2040" s="1083"/>
      <c r="G2040" s="1084"/>
      <c r="H2040" s="1069"/>
      <c r="I2040" s="618"/>
      <c r="J2040" s="619"/>
      <c r="K2040" s="618"/>
      <c r="L2040" s="620"/>
      <c r="M2040" s="621"/>
      <c r="N2040" s="620"/>
    </row>
    <row r="2041" spans="1:14" ht="11.25" customHeight="1" x14ac:dyDescent="0.25">
      <c r="A2041" s="615"/>
      <c r="B2041" s="616"/>
      <c r="C2041" s="617"/>
      <c r="D2041" s="617"/>
      <c r="E2041" s="617"/>
      <c r="F2041" s="1083"/>
      <c r="G2041" s="1084"/>
      <c r="H2041" s="1069"/>
      <c r="I2041" s="618"/>
      <c r="J2041" s="619"/>
      <c r="K2041" s="618"/>
      <c r="L2041" s="620"/>
      <c r="M2041" s="621"/>
      <c r="N2041" s="620"/>
    </row>
    <row r="2042" spans="1:14" ht="11.25" customHeight="1" x14ac:dyDescent="0.25">
      <c r="A2042" s="615"/>
      <c r="B2042" s="616"/>
      <c r="C2042" s="617"/>
      <c r="D2042" s="617"/>
      <c r="E2042" s="617"/>
      <c r="F2042" s="1083"/>
      <c r="G2042" s="1084"/>
      <c r="H2042" s="1069"/>
      <c r="I2042" s="618"/>
      <c r="J2042" s="619"/>
      <c r="K2042" s="618"/>
      <c r="L2042" s="620"/>
      <c r="M2042" s="621"/>
      <c r="N2042" s="620"/>
    </row>
    <row r="2043" spans="1:14" ht="11.25" customHeight="1" x14ac:dyDescent="0.25">
      <c r="A2043" s="615"/>
      <c r="B2043" s="616"/>
      <c r="C2043" s="617"/>
      <c r="D2043" s="617"/>
      <c r="E2043" s="617"/>
      <c r="F2043" s="1083"/>
      <c r="G2043" s="1084"/>
      <c r="H2043" s="1069"/>
      <c r="I2043" s="618"/>
      <c r="J2043" s="619"/>
      <c r="K2043" s="618"/>
      <c r="L2043" s="620"/>
      <c r="M2043" s="621"/>
      <c r="N2043" s="620"/>
    </row>
    <row r="2044" spans="1:14" ht="11.25" customHeight="1" x14ac:dyDescent="0.25">
      <c r="A2044" s="615"/>
      <c r="B2044" s="616"/>
      <c r="C2044" s="617"/>
      <c r="D2044" s="617"/>
      <c r="E2044" s="617"/>
      <c r="F2044" s="1083"/>
      <c r="G2044" s="1084"/>
      <c r="H2044" s="1069"/>
      <c r="I2044" s="618"/>
      <c r="J2044" s="619"/>
      <c r="K2044" s="618"/>
      <c r="L2044" s="620"/>
      <c r="M2044" s="621"/>
      <c r="N2044" s="620"/>
    </row>
    <row r="2045" spans="1:14" ht="11.25" customHeight="1" x14ac:dyDescent="0.25">
      <c r="A2045" s="615"/>
      <c r="B2045" s="616"/>
      <c r="C2045" s="617"/>
      <c r="D2045" s="617"/>
      <c r="E2045" s="617"/>
      <c r="F2045" s="1083"/>
      <c r="G2045" s="1084"/>
      <c r="H2045" s="1069"/>
      <c r="I2045" s="618"/>
      <c r="J2045" s="619"/>
      <c r="K2045" s="618"/>
      <c r="L2045" s="620"/>
      <c r="M2045" s="621"/>
      <c r="N2045" s="620"/>
    </row>
    <row r="2046" spans="1:14" ht="11.25" customHeight="1" x14ac:dyDescent="0.25">
      <c r="A2046" s="615"/>
      <c r="B2046" s="616"/>
      <c r="C2046" s="617"/>
      <c r="D2046" s="617"/>
      <c r="E2046" s="617"/>
      <c r="F2046" s="1083"/>
      <c r="G2046" s="1084"/>
      <c r="H2046" s="1069"/>
      <c r="I2046" s="618"/>
      <c r="J2046" s="619"/>
      <c r="K2046" s="618"/>
      <c r="L2046" s="620"/>
      <c r="M2046" s="621"/>
      <c r="N2046" s="620"/>
    </row>
    <row r="2047" spans="1:14" ht="11.25" customHeight="1" x14ac:dyDescent="0.25">
      <c r="A2047" s="615"/>
      <c r="B2047" s="616"/>
      <c r="C2047" s="617"/>
      <c r="D2047" s="617"/>
      <c r="E2047" s="617"/>
      <c r="F2047" s="1083"/>
      <c r="G2047" s="1084"/>
      <c r="H2047" s="1069"/>
      <c r="I2047" s="618"/>
      <c r="J2047" s="619"/>
      <c r="K2047" s="618"/>
      <c r="L2047" s="620"/>
      <c r="M2047" s="621"/>
      <c r="N2047" s="620"/>
    </row>
    <row r="2048" spans="1:14" ht="11.25" customHeight="1" x14ac:dyDescent="0.25">
      <c r="A2048" s="615"/>
      <c r="B2048" s="616"/>
      <c r="C2048" s="617"/>
      <c r="D2048" s="617"/>
      <c r="E2048" s="617"/>
      <c r="F2048" s="1083"/>
      <c r="G2048" s="1084"/>
      <c r="H2048" s="1069"/>
      <c r="I2048" s="618"/>
      <c r="J2048" s="619"/>
      <c r="K2048" s="618"/>
      <c r="L2048" s="620"/>
      <c r="M2048" s="621"/>
      <c r="N2048" s="620"/>
    </row>
    <row r="2049" spans="1:14" ht="11.25" customHeight="1" x14ac:dyDescent="0.25">
      <c r="A2049" s="615"/>
      <c r="B2049" s="616"/>
      <c r="C2049" s="617"/>
      <c r="D2049" s="617"/>
      <c r="E2049" s="617"/>
      <c r="F2049" s="1083"/>
      <c r="G2049" s="1084"/>
      <c r="H2049" s="1069"/>
      <c r="I2049" s="618"/>
      <c r="J2049" s="619"/>
      <c r="K2049" s="618"/>
      <c r="L2049" s="620"/>
      <c r="M2049" s="621"/>
      <c r="N2049" s="620"/>
    </row>
    <row r="2050" spans="1:14" ht="11.25" customHeight="1" x14ac:dyDescent="0.25">
      <c r="A2050" s="615"/>
      <c r="B2050" s="616"/>
      <c r="C2050" s="617"/>
      <c r="D2050" s="617"/>
      <c r="E2050" s="617"/>
      <c r="F2050" s="1083"/>
      <c r="G2050" s="1084"/>
      <c r="H2050" s="1069"/>
      <c r="I2050" s="618"/>
      <c r="J2050" s="619"/>
      <c r="K2050" s="618"/>
      <c r="L2050" s="620"/>
      <c r="M2050" s="621"/>
      <c r="N2050" s="620"/>
    </row>
    <row r="2051" spans="1:14" ht="11.25" customHeight="1" x14ac:dyDescent="0.25">
      <c r="A2051" s="615"/>
      <c r="B2051" s="616"/>
      <c r="C2051" s="617"/>
      <c r="D2051" s="617"/>
      <c r="E2051" s="617"/>
      <c r="F2051" s="1083"/>
      <c r="G2051" s="1084"/>
      <c r="H2051" s="1069"/>
      <c r="I2051" s="618"/>
      <c r="J2051" s="619"/>
      <c r="K2051" s="618"/>
      <c r="L2051" s="620"/>
      <c r="M2051" s="621"/>
      <c r="N2051" s="620"/>
    </row>
    <row r="2052" spans="1:14" ht="11.25" customHeight="1" x14ac:dyDescent="0.25">
      <c r="A2052" s="615"/>
      <c r="B2052" s="616"/>
      <c r="C2052" s="617"/>
      <c r="D2052" s="617"/>
      <c r="E2052" s="617"/>
      <c r="F2052" s="1083"/>
      <c r="G2052" s="1084"/>
      <c r="H2052" s="1069"/>
      <c r="I2052" s="618"/>
      <c r="J2052" s="619"/>
      <c r="K2052" s="618"/>
      <c r="L2052" s="620"/>
      <c r="M2052" s="621"/>
      <c r="N2052" s="620"/>
    </row>
    <row r="2053" spans="1:14" ht="11.25" customHeight="1" x14ac:dyDescent="0.25">
      <c r="A2053" s="615"/>
      <c r="B2053" s="616"/>
      <c r="C2053" s="617"/>
      <c r="D2053" s="617"/>
      <c r="E2053" s="617"/>
      <c r="F2053" s="1083"/>
      <c r="G2053" s="1084"/>
      <c r="H2053" s="1069"/>
      <c r="I2053" s="618"/>
      <c r="J2053" s="619"/>
      <c r="K2053" s="618"/>
      <c r="L2053" s="620"/>
      <c r="M2053" s="621"/>
      <c r="N2053" s="620"/>
    </row>
    <row r="2054" spans="1:14" ht="11.25" customHeight="1" x14ac:dyDescent="0.25">
      <c r="A2054" s="615"/>
      <c r="B2054" s="616"/>
      <c r="C2054" s="617"/>
      <c r="D2054" s="617"/>
      <c r="E2054" s="617"/>
      <c r="F2054" s="1083"/>
      <c r="G2054" s="1084"/>
      <c r="H2054" s="1069"/>
      <c r="I2054" s="618"/>
      <c r="J2054" s="619"/>
      <c r="K2054" s="618"/>
      <c r="L2054" s="620"/>
      <c r="M2054" s="621"/>
      <c r="N2054" s="620"/>
    </row>
    <row r="2055" spans="1:14" ht="11.25" customHeight="1" x14ac:dyDescent="0.25">
      <c r="A2055" s="615"/>
      <c r="B2055" s="616"/>
      <c r="C2055" s="617"/>
      <c r="D2055" s="617"/>
      <c r="E2055" s="617"/>
      <c r="F2055" s="1083"/>
      <c r="G2055" s="1084"/>
      <c r="H2055" s="1069"/>
      <c r="I2055" s="618"/>
      <c r="J2055" s="619"/>
      <c r="K2055" s="618"/>
      <c r="L2055" s="620"/>
      <c r="M2055" s="621"/>
      <c r="N2055" s="620"/>
    </row>
    <row r="2056" spans="1:14" ht="11.25" customHeight="1" x14ac:dyDescent="0.25">
      <c r="A2056" s="615"/>
      <c r="B2056" s="616"/>
      <c r="C2056" s="617"/>
      <c r="D2056" s="617"/>
      <c r="E2056" s="617"/>
      <c r="F2056" s="1083"/>
      <c r="G2056" s="1084"/>
      <c r="H2056" s="1069"/>
      <c r="I2056" s="618"/>
      <c r="J2056" s="619"/>
      <c r="K2056" s="618"/>
      <c r="L2056" s="620"/>
      <c r="M2056" s="621"/>
      <c r="N2056" s="620"/>
    </row>
    <row r="2057" spans="1:14" ht="11.25" customHeight="1" x14ac:dyDescent="0.25">
      <c r="A2057" s="615"/>
      <c r="B2057" s="616"/>
      <c r="C2057" s="617"/>
      <c r="D2057" s="617"/>
      <c r="E2057" s="617"/>
      <c r="F2057" s="1083"/>
      <c r="G2057" s="1084"/>
      <c r="H2057" s="1069"/>
      <c r="I2057" s="618"/>
      <c r="J2057" s="619"/>
      <c r="K2057" s="618"/>
      <c r="L2057" s="620"/>
      <c r="M2057" s="621"/>
      <c r="N2057" s="620"/>
    </row>
    <row r="2058" spans="1:14" ht="11.25" customHeight="1" x14ac:dyDescent="0.25">
      <c r="A2058" s="615"/>
      <c r="B2058" s="616"/>
      <c r="C2058" s="617"/>
      <c r="D2058" s="617"/>
      <c r="E2058" s="617"/>
      <c r="F2058" s="1083"/>
      <c r="G2058" s="1084"/>
      <c r="H2058" s="1069"/>
      <c r="I2058" s="618"/>
      <c r="J2058" s="619"/>
      <c r="K2058" s="618"/>
      <c r="L2058" s="620"/>
      <c r="M2058" s="621"/>
      <c r="N2058" s="620"/>
    </row>
    <row r="2059" spans="1:14" ht="11.25" customHeight="1" x14ac:dyDescent="0.25">
      <c r="A2059" s="615"/>
      <c r="B2059" s="616"/>
      <c r="C2059" s="617"/>
      <c r="D2059" s="617"/>
      <c r="E2059" s="617"/>
      <c r="F2059" s="1083"/>
      <c r="G2059" s="1084"/>
      <c r="H2059" s="1069"/>
      <c r="I2059" s="618"/>
      <c r="J2059" s="619"/>
      <c r="K2059" s="618"/>
      <c r="L2059" s="620"/>
      <c r="M2059" s="621"/>
      <c r="N2059" s="620"/>
    </row>
    <row r="2060" spans="1:14" ht="11.25" customHeight="1" x14ac:dyDescent="0.25">
      <c r="A2060" s="615"/>
      <c r="B2060" s="616"/>
      <c r="C2060" s="617"/>
      <c r="D2060" s="617"/>
      <c r="E2060" s="617"/>
      <c r="F2060" s="1083"/>
      <c r="G2060" s="1084"/>
      <c r="H2060" s="1069"/>
      <c r="I2060" s="618"/>
      <c r="J2060" s="619"/>
      <c r="K2060" s="618"/>
      <c r="L2060" s="620"/>
      <c r="M2060" s="621"/>
      <c r="N2060" s="620"/>
    </row>
    <row r="2061" spans="1:14" ht="11.25" customHeight="1" x14ac:dyDescent="0.25">
      <c r="A2061" s="615"/>
      <c r="B2061" s="616"/>
      <c r="C2061" s="617"/>
      <c r="D2061" s="617"/>
      <c r="E2061" s="617"/>
      <c r="F2061" s="1083"/>
      <c r="G2061" s="1084"/>
      <c r="H2061" s="1069"/>
      <c r="I2061" s="618"/>
      <c r="J2061" s="619"/>
      <c r="K2061" s="618"/>
      <c r="L2061" s="620"/>
      <c r="M2061" s="621"/>
      <c r="N2061" s="620"/>
    </row>
    <row r="2062" spans="1:14" ht="11.25" customHeight="1" x14ac:dyDescent="0.25">
      <c r="A2062" s="615"/>
      <c r="B2062" s="616"/>
      <c r="C2062" s="617"/>
      <c r="D2062" s="617"/>
      <c r="E2062" s="617"/>
      <c r="F2062" s="1083"/>
      <c r="G2062" s="1084"/>
      <c r="H2062" s="1069"/>
      <c r="I2062" s="618"/>
      <c r="J2062" s="619"/>
      <c r="K2062" s="618"/>
      <c r="L2062" s="620"/>
      <c r="M2062" s="621"/>
      <c r="N2062" s="620"/>
    </row>
    <row r="2063" spans="1:14" ht="11.25" customHeight="1" x14ac:dyDescent="0.25">
      <c r="A2063" s="615"/>
      <c r="B2063" s="616"/>
      <c r="C2063" s="617"/>
      <c r="D2063" s="617"/>
      <c r="E2063" s="617"/>
      <c r="F2063" s="1083"/>
      <c r="G2063" s="1084"/>
      <c r="H2063" s="1069"/>
      <c r="I2063" s="618"/>
      <c r="J2063" s="619"/>
      <c r="K2063" s="618"/>
      <c r="L2063" s="620"/>
      <c r="M2063" s="621"/>
      <c r="N2063" s="620"/>
    </row>
    <row r="2064" spans="1:14" ht="11.25" customHeight="1" x14ac:dyDescent="0.25">
      <c r="A2064" s="615"/>
      <c r="B2064" s="616"/>
      <c r="C2064" s="617"/>
      <c r="D2064" s="617"/>
      <c r="E2064" s="617"/>
      <c r="F2064" s="1083"/>
      <c r="G2064" s="1084"/>
      <c r="H2064" s="1069"/>
      <c r="I2064" s="618"/>
      <c r="J2064" s="619"/>
      <c r="K2064" s="618"/>
      <c r="L2064" s="620"/>
      <c r="M2064" s="621"/>
      <c r="N2064" s="620"/>
    </row>
    <row r="2065" spans="1:14" ht="11.25" customHeight="1" x14ac:dyDescent="0.25">
      <c r="A2065" s="615"/>
      <c r="B2065" s="616"/>
      <c r="C2065" s="617"/>
      <c r="D2065" s="617"/>
      <c r="E2065" s="617"/>
      <c r="F2065" s="1083"/>
      <c r="G2065" s="1084"/>
      <c r="H2065" s="1069"/>
      <c r="I2065" s="618"/>
      <c r="J2065" s="619"/>
      <c r="K2065" s="618"/>
      <c r="L2065" s="620"/>
      <c r="M2065" s="621"/>
      <c r="N2065" s="620"/>
    </row>
    <row r="2066" spans="1:14" ht="11.25" customHeight="1" x14ac:dyDescent="0.25">
      <c r="A2066" s="615"/>
      <c r="B2066" s="616"/>
      <c r="C2066" s="617"/>
      <c r="D2066" s="617"/>
      <c r="E2066" s="617"/>
      <c r="F2066" s="1083"/>
      <c r="G2066" s="1084"/>
      <c r="H2066" s="1069"/>
      <c r="I2066" s="618"/>
      <c r="J2066" s="619"/>
      <c r="K2066" s="618"/>
      <c r="L2066" s="620"/>
      <c r="M2066" s="621"/>
      <c r="N2066" s="620"/>
    </row>
    <row r="2067" spans="1:14" ht="11.25" customHeight="1" x14ac:dyDescent="0.25">
      <c r="A2067" s="615"/>
      <c r="B2067" s="616"/>
      <c r="C2067" s="617"/>
      <c r="D2067" s="617"/>
      <c r="E2067" s="617"/>
      <c r="F2067" s="1083"/>
      <c r="G2067" s="1084"/>
      <c r="H2067" s="1069"/>
      <c r="I2067" s="618"/>
      <c r="J2067" s="619"/>
      <c r="K2067" s="618"/>
      <c r="L2067" s="620"/>
      <c r="M2067" s="621"/>
      <c r="N2067" s="620"/>
    </row>
    <row r="2068" spans="1:14" ht="11.25" customHeight="1" x14ac:dyDescent="0.25">
      <c r="A2068" s="615"/>
      <c r="B2068" s="616"/>
      <c r="C2068" s="617"/>
      <c r="D2068" s="617"/>
      <c r="E2068" s="617"/>
      <c r="F2068" s="1083"/>
      <c r="G2068" s="1084"/>
      <c r="H2068" s="1069"/>
      <c r="I2068" s="618"/>
      <c r="J2068" s="619"/>
      <c r="K2068" s="618"/>
      <c r="L2068" s="620"/>
      <c r="M2068" s="621"/>
      <c r="N2068" s="620"/>
    </row>
    <row r="2069" spans="1:14" ht="11.25" customHeight="1" x14ac:dyDescent="0.25">
      <c r="A2069" s="615"/>
      <c r="B2069" s="616"/>
      <c r="C2069" s="617"/>
      <c r="D2069" s="617"/>
      <c r="E2069" s="617"/>
      <c r="F2069" s="1083"/>
      <c r="G2069" s="1084"/>
      <c r="H2069" s="1069"/>
      <c r="I2069" s="618"/>
      <c r="J2069" s="619"/>
      <c r="K2069" s="618"/>
      <c r="L2069" s="620"/>
      <c r="M2069" s="621"/>
      <c r="N2069" s="620"/>
    </row>
    <row r="2070" spans="1:14" ht="11.25" customHeight="1" x14ac:dyDescent="0.25">
      <c r="A2070" s="615"/>
      <c r="B2070" s="616"/>
      <c r="C2070" s="617"/>
      <c r="D2070" s="617"/>
      <c r="E2070" s="617"/>
      <c r="F2070" s="1083"/>
      <c r="G2070" s="1084"/>
      <c r="H2070" s="1069"/>
      <c r="I2070" s="618"/>
      <c r="J2070" s="619"/>
      <c r="K2070" s="618"/>
      <c r="L2070" s="620"/>
      <c r="M2070" s="621"/>
      <c r="N2070" s="620"/>
    </row>
    <row r="2071" spans="1:14" ht="11.25" customHeight="1" x14ac:dyDescent="0.25">
      <c r="A2071" s="615"/>
      <c r="B2071" s="616"/>
      <c r="C2071" s="617"/>
      <c r="D2071" s="617"/>
      <c r="E2071" s="617"/>
      <c r="F2071" s="1083"/>
      <c r="G2071" s="1084"/>
      <c r="H2071" s="1069"/>
      <c r="I2071" s="618"/>
      <c r="J2071" s="619"/>
      <c r="K2071" s="618"/>
      <c r="L2071" s="620"/>
      <c r="M2071" s="621"/>
      <c r="N2071" s="620"/>
    </row>
    <row r="2072" spans="1:14" ht="11.25" customHeight="1" x14ac:dyDescent="0.25">
      <c r="A2072" s="615"/>
      <c r="B2072" s="616"/>
      <c r="C2072" s="617"/>
      <c r="D2072" s="617"/>
      <c r="E2072" s="617"/>
      <c r="F2072" s="1083"/>
      <c r="G2072" s="1084"/>
      <c r="H2072" s="1069"/>
      <c r="I2072" s="618"/>
      <c r="J2072" s="619"/>
      <c r="K2072" s="618"/>
      <c r="L2072" s="620"/>
      <c r="M2072" s="621"/>
      <c r="N2072" s="620"/>
    </row>
    <row r="2073" spans="1:14" ht="11.25" customHeight="1" x14ac:dyDescent="0.25">
      <c r="A2073" s="615"/>
      <c r="B2073" s="616"/>
      <c r="C2073" s="617"/>
      <c r="D2073" s="617"/>
      <c r="E2073" s="617"/>
      <c r="F2073" s="1083"/>
      <c r="G2073" s="1084"/>
      <c r="H2073" s="1069"/>
      <c r="I2073" s="618"/>
      <c r="J2073" s="619"/>
      <c r="K2073" s="618"/>
      <c r="L2073" s="620"/>
      <c r="M2073" s="621"/>
      <c r="N2073" s="620"/>
    </row>
    <row r="2074" spans="1:14" ht="11.25" customHeight="1" x14ac:dyDescent="0.25">
      <c r="A2074" s="615"/>
      <c r="B2074" s="616"/>
      <c r="C2074" s="617"/>
      <c r="D2074" s="617"/>
      <c r="E2074" s="617"/>
      <c r="F2074" s="1083"/>
      <c r="G2074" s="1084"/>
      <c r="H2074" s="1069"/>
      <c r="I2074" s="618"/>
      <c r="J2074" s="619"/>
      <c r="K2074" s="618"/>
      <c r="L2074" s="620"/>
      <c r="M2074" s="621"/>
      <c r="N2074" s="620"/>
    </row>
    <row r="2075" spans="1:14" ht="11.25" customHeight="1" x14ac:dyDescent="0.25">
      <c r="A2075" s="615"/>
      <c r="B2075" s="616"/>
      <c r="C2075" s="617"/>
      <c r="D2075" s="617"/>
      <c r="E2075" s="617"/>
      <c r="F2075" s="1083"/>
      <c r="G2075" s="1084"/>
      <c r="H2075" s="1069"/>
      <c r="I2075" s="618"/>
      <c r="J2075" s="619"/>
      <c r="K2075" s="618"/>
      <c r="L2075" s="620"/>
      <c r="M2075" s="621"/>
      <c r="N2075" s="620"/>
    </row>
    <row r="2076" spans="1:14" ht="11.25" customHeight="1" x14ac:dyDescent="0.25">
      <c r="A2076" s="615"/>
      <c r="B2076" s="616"/>
      <c r="C2076" s="617"/>
      <c r="D2076" s="617"/>
      <c r="E2076" s="617"/>
      <c r="F2076" s="1083"/>
      <c r="G2076" s="1084"/>
      <c r="H2076" s="1069"/>
      <c r="I2076" s="618"/>
      <c r="J2076" s="619"/>
      <c r="K2076" s="618"/>
      <c r="L2076" s="620"/>
      <c r="M2076" s="621"/>
      <c r="N2076" s="620"/>
    </row>
    <row r="2077" spans="1:14" ht="11.25" customHeight="1" x14ac:dyDescent="0.25">
      <c r="A2077" s="615"/>
      <c r="B2077" s="616"/>
      <c r="C2077" s="617"/>
      <c r="D2077" s="617"/>
      <c r="E2077" s="617"/>
      <c r="F2077" s="1083"/>
      <c r="G2077" s="1084"/>
      <c r="H2077" s="1069"/>
      <c r="I2077" s="618"/>
      <c r="J2077" s="619"/>
      <c r="K2077" s="618"/>
      <c r="L2077" s="620"/>
      <c r="M2077" s="621"/>
      <c r="N2077" s="620"/>
    </row>
    <row r="2078" spans="1:14" ht="11.25" customHeight="1" x14ac:dyDescent="0.25">
      <c r="A2078" s="615"/>
      <c r="B2078" s="616"/>
      <c r="C2078" s="617"/>
      <c r="D2078" s="617"/>
      <c r="E2078" s="617"/>
      <c r="F2078" s="1083"/>
      <c r="G2078" s="1084"/>
      <c r="H2078" s="1069"/>
      <c r="I2078" s="618"/>
      <c r="J2078" s="619"/>
      <c r="K2078" s="618"/>
      <c r="L2078" s="620"/>
      <c r="M2078" s="621"/>
      <c r="N2078" s="620"/>
    </row>
    <row r="2079" spans="1:14" ht="11.25" customHeight="1" x14ac:dyDescent="0.25">
      <c r="A2079" s="615"/>
      <c r="B2079" s="616"/>
      <c r="C2079" s="617"/>
      <c r="D2079" s="617"/>
      <c r="E2079" s="617"/>
      <c r="F2079" s="1083"/>
      <c r="G2079" s="1084"/>
      <c r="H2079" s="1069"/>
      <c r="I2079" s="618"/>
      <c r="J2079" s="619"/>
      <c r="K2079" s="618"/>
      <c r="L2079" s="620"/>
      <c r="M2079" s="621"/>
      <c r="N2079" s="620"/>
    </row>
    <row r="2080" spans="1:14" ht="11.25" customHeight="1" x14ac:dyDescent="0.25">
      <c r="A2080" s="615"/>
      <c r="B2080" s="616"/>
      <c r="C2080" s="617"/>
      <c r="D2080" s="617"/>
      <c r="E2080" s="617"/>
      <c r="F2080" s="1083"/>
      <c r="G2080" s="1084"/>
      <c r="H2080" s="1069"/>
      <c r="I2080" s="618"/>
      <c r="J2080" s="619"/>
      <c r="K2080" s="618"/>
      <c r="L2080" s="620"/>
      <c r="M2080" s="621"/>
      <c r="N2080" s="620"/>
    </row>
    <row r="2081" spans="1:14" ht="11.25" customHeight="1" x14ac:dyDescent="0.25">
      <c r="A2081" s="615"/>
      <c r="B2081" s="616"/>
      <c r="C2081" s="617"/>
      <c r="D2081" s="617"/>
      <c r="E2081" s="617"/>
      <c r="F2081" s="1083"/>
      <c r="G2081" s="1084"/>
      <c r="H2081" s="1069"/>
      <c r="I2081" s="618"/>
      <c r="J2081" s="619"/>
      <c r="K2081" s="618"/>
      <c r="L2081" s="620"/>
      <c r="M2081" s="621"/>
      <c r="N2081" s="620"/>
    </row>
    <row r="2082" spans="1:14" ht="11.25" customHeight="1" x14ac:dyDescent="0.25">
      <c r="A2082" s="615"/>
      <c r="B2082" s="616"/>
      <c r="C2082" s="617"/>
      <c r="D2082" s="617"/>
      <c r="E2082" s="617"/>
      <c r="F2082" s="1083"/>
      <c r="G2082" s="1084"/>
      <c r="H2082" s="1069"/>
      <c r="I2082" s="618"/>
      <c r="J2082" s="619"/>
      <c r="K2082" s="618"/>
      <c r="L2082" s="620"/>
      <c r="M2082" s="621"/>
      <c r="N2082" s="620"/>
    </row>
    <row r="2083" spans="1:14" ht="11.25" customHeight="1" x14ac:dyDescent="0.25">
      <c r="A2083" s="615"/>
      <c r="B2083" s="616"/>
      <c r="C2083" s="617"/>
      <c r="D2083" s="617"/>
      <c r="E2083" s="617"/>
      <c r="F2083" s="1083"/>
      <c r="G2083" s="1084"/>
      <c r="H2083" s="1069"/>
      <c r="I2083" s="618"/>
      <c r="J2083" s="619"/>
      <c r="K2083" s="618"/>
      <c r="L2083" s="620"/>
      <c r="M2083" s="621"/>
      <c r="N2083" s="620"/>
    </row>
    <row r="2084" spans="1:14" ht="11.25" customHeight="1" x14ac:dyDescent="0.25">
      <c r="A2084" s="615"/>
      <c r="B2084" s="616"/>
      <c r="C2084" s="617"/>
      <c r="D2084" s="617"/>
      <c r="E2084" s="617"/>
      <c r="F2084" s="1083"/>
      <c r="G2084" s="1084"/>
      <c r="H2084" s="1069"/>
      <c r="I2084" s="618"/>
      <c r="J2084" s="619"/>
      <c r="K2084" s="618"/>
      <c r="L2084" s="620"/>
      <c r="M2084" s="621"/>
      <c r="N2084" s="620"/>
    </row>
    <row r="2085" spans="1:14" ht="11.25" customHeight="1" x14ac:dyDescent="0.25">
      <c r="A2085" s="615"/>
      <c r="B2085" s="616"/>
      <c r="C2085" s="617"/>
      <c r="D2085" s="617"/>
      <c r="E2085" s="617"/>
      <c r="F2085" s="1083"/>
      <c r="G2085" s="1084"/>
      <c r="H2085" s="1069"/>
      <c r="I2085" s="618"/>
      <c r="J2085" s="619"/>
      <c r="K2085" s="618"/>
      <c r="L2085" s="620"/>
      <c r="M2085" s="621"/>
      <c r="N2085" s="620"/>
    </row>
    <row r="2086" spans="1:14" ht="11.25" customHeight="1" x14ac:dyDescent="0.25">
      <c r="A2086" s="615"/>
      <c r="B2086" s="616"/>
      <c r="C2086" s="617"/>
      <c r="D2086" s="617"/>
      <c r="E2086" s="617"/>
      <c r="F2086" s="1083"/>
      <c r="G2086" s="1084"/>
      <c r="H2086" s="1069"/>
      <c r="I2086" s="618"/>
      <c r="J2086" s="619"/>
      <c r="K2086" s="618"/>
      <c r="L2086" s="620"/>
      <c r="M2086" s="621"/>
      <c r="N2086" s="620"/>
    </row>
    <row r="2087" spans="1:14" ht="11.25" customHeight="1" x14ac:dyDescent="0.25">
      <c r="A2087" s="615"/>
      <c r="B2087" s="616"/>
      <c r="C2087" s="617"/>
      <c r="D2087" s="617"/>
      <c r="E2087" s="617"/>
      <c r="F2087" s="1083"/>
      <c r="G2087" s="1084"/>
      <c r="H2087" s="1069"/>
      <c r="I2087" s="618"/>
      <c r="J2087" s="619"/>
      <c r="K2087" s="618"/>
      <c r="L2087" s="620"/>
      <c r="M2087" s="621"/>
      <c r="N2087" s="620"/>
    </row>
    <row r="2088" spans="1:14" ht="11.25" customHeight="1" x14ac:dyDescent="0.25">
      <c r="A2088" s="615"/>
      <c r="B2088" s="616"/>
      <c r="C2088" s="617"/>
      <c r="D2088" s="617"/>
      <c r="E2088" s="617"/>
      <c r="F2088" s="1083"/>
      <c r="G2088" s="1084"/>
      <c r="H2088" s="1069"/>
      <c r="I2088" s="618"/>
      <c r="J2088" s="619"/>
      <c r="K2088" s="618"/>
      <c r="L2088" s="620"/>
      <c r="M2088" s="621"/>
      <c r="N2088" s="620"/>
    </row>
    <row r="2089" spans="1:14" ht="11.25" customHeight="1" x14ac:dyDescent="0.25">
      <c r="A2089" s="615"/>
      <c r="B2089" s="616"/>
      <c r="C2089" s="617"/>
      <c r="D2089" s="617"/>
      <c r="E2089" s="617"/>
      <c r="F2089" s="1083"/>
      <c r="G2089" s="1084"/>
      <c r="H2089" s="1069"/>
      <c r="I2089" s="618"/>
      <c r="J2089" s="619"/>
      <c r="K2089" s="618"/>
      <c r="L2089" s="620"/>
      <c r="M2089" s="621"/>
      <c r="N2089" s="620"/>
    </row>
    <row r="2090" spans="1:14" ht="11.25" customHeight="1" x14ac:dyDescent="0.25">
      <c r="A2090" s="615"/>
      <c r="B2090" s="616"/>
      <c r="C2090" s="617"/>
      <c r="D2090" s="617"/>
      <c r="E2090" s="617"/>
      <c r="F2090" s="1083"/>
      <c r="G2090" s="1084"/>
      <c r="H2090" s="1069"/>
      <c r="I2090" s="618"/>
      <c r="J2090" s="619"/>
      <c r="K2090" s="618"/>
      <c r="L2090" s="620"/>
      <c r="M2090" s="621"/>
      <c r="N2090" s="620"/>
    </row>
    <row r="2091" spans="1:14" ht="11.25" customHeight="1" x14ac:dyDescent="0.25">
      <c r="A2091" s="615"/>
      <c r="B2091" s="616"/>
      <c r="C2091" s="617"/>
      <c r="D2091" s="617"/>
      <c r="E2091" s="617"/>
      <c r="F2091" s="1083"/>
      <c r="G2091" s="1084"/>
      <c r="H2091" s="1069"/>
      <c r="I2091" s="618"/>
      <c r="J2091" s="619"/>
      <c r="K2091" s="618"/>
      <c r="L2091" s="620"/>
      <c r="M2091" s="621"/>
      <c r="N2091" s="620"/>
    </row>
    <row r="2092" spans="1:14" ht="11.25" customHeight="1" x14ac:dyDescent="0.25">
      <c r="A2092" s="615"/>
      <c r="B2092" s="616"/>
      <c r="C2092" s="617"/>
      <c r="D2092" s="617"/>
      <c r="E2092" s="617"/>
      <c r="F2092" s="1083"/>
      <c r="G2092" s="1084"/>
      <c r="H2092" s="1069"/>
      <c r="I2092" s="618"/>
      <c r="J2092" s="619"/>
      <c r="K2092" s="618"/>
      <c r="L2092" s="620"/>
      <c r="M2092" s="621"/>
      <c r="N2092" s="620"/>
    </row>
    <row r="2093" spans="1:14" ht="11.25" customHeight="1" x14ac:dyDescent="0.25">
      <c r="A2093" s="615"/>
      <c r="B2093" s="616"/>
      <c r="C2093" s="617"/>
      <c r="D2093" s="617"/>
      <c r="E2093" s="617"/>
      <c r="F2093" s="1083"/>
      <c r="G2093" s="1084"/>
      <c r="H2093" s="1069"/>
      <c r="I2093" s="618"/>
      <c r="J2093" s="619"/>
      <c r="K2093" s="618"/>
      <c r="L2093" s="620"/>
      <c r="M2093" s="621"/>
      <c r="N2093" s="620"/>
    </row>
    <row r="2094" spans="1:14" ht="11.25" customHeight="1" x14ac:dyDescent="0.25">
      <c r="A2094" s="615"/>
      <c r="B2094" s="616"/>
      <c r="C2094" s="617"/>
      <c r="D2094" s="617"/>
      <c r="E2094" s="617"/>
      <c r="F2094" s="1083"/>
      <c r="G2094" s="1084"/>
      <c r="H2094" s="1069"/>
      <c r="I2094" s="618"/>
      <c r="J2094" s="619"/>
      <c r="K2094" s="618"/>
      <c r="L2094" s="620"/>
      <c r="M2094" s="621"/>
      <c r="N2094" s="620"/>
    </row>
    <row r="2095" spans="1:14" ht="11.25" customHeight="1" x14ac:dyDescent="0.25">
      <c r="A2095" s="615"/>
      <c r="B2095" s="616"/>
      <c r="C2095" s="617"/>
      <c r="D2095" s="617"/>
      <c r="E2095" s="617"/>
      <c r="F2095" s="1083"/>
      <c r="G2095" s="1084"/>
      <c r="H2095" s="1069"/>
      <c r="I2095" s="618"/>
      <c r="J2095" s="619"/>
      <c r="K2095" s="618"/>
      <c r="L2095" s="620"/>
      <c r="M2095" s="621"/>
      <c r="N2095" s="620"/>
    </row>
    <row r="2096" spans="1:14" ht="11.25" customHeight="1" x14ac:dyDescent="0.25">
      <c r="A2096" s="615"/>
      <c r="B2096" s="616"/>
      <c r="C2096" s="617"/>
      <c r="D2096" s="617"/>
      <c r="E2096" s="617"/>
      <c r="F2096" s="1083"/>
      <c r="G2096" s="1084"/>
      <c r="H2096" s="1069"/>
      <c r="I2096" s="618"/>
      <c r="J2096" s="619"/>
      <c r="K2096" s="618"/>
      <c r="L2096" s="620"/>
      <c r="M2096" s="621"/>
      <c r="N2096" s="620"/>
    </row>
    <row r="2097" spans="1:14" ht="11.25" customHeight="1" x14ac:dyDescent="0.25">
      <c r="A2097" s="615"/>
      <c r="B2097" s="616"/>
      <c r="C2097" s="617"/>
      <c r="D2097" s="617"/>
      <c r="E2097" s="617"/>
      <c r="F2097" s="1083"/>
      <c r="G2097" s="1084"/>
      <c r="H2097" s="1069"/>
      <c r="I2097" s="618"/>
      <c r="J2097" s="619"/>
      <c r="K2097" s="618"/>
      <c r="L2097" s="620"/>
      <c r="M2097" s="621"/>
      <c r="N2097" s="620"/>
    </row>
    <row r="2098" spans="1:14" ht="11.25" customHeight="1" x14ac:dyDescent="0.25">
      <c r="A2098" s="615"/>
      <c r="B2098" s="616"/>
      <c r="C2098" s="617"/>
      <c r="D2098" s="617"/>
      <c r="E2098" s="617"/>
      <c r="F2098" s="1083"/>
      <c r="G2098" s="1084"/>
      <c r="H2098" s="1069"/>
      <c r="I2098" s="618"/>
      <c r="J2098" s="619"/>
      <c r="K2098" s="618"/>
      <c r="L2098" s="620"/>
      <c r="M2098" s="621"/>
      <c r="N2098" s="620"/>
    </row>
    <row r="2099" spans="1:14" ht="11.25" customHeight="1" x14ac:dyDescent="0.25">
      <c r="A2099" s="615"/>
      <c r="B2099" s="616"/>
      <c r="C2099" s="617"/>
      <c r="D2099" s="617"/>
      <c r="E2099" s="617"/>
      <c r="F2099" s="1083"/>
      <c r="G2099" s="1084"/>
      <c r="H2099" s="1069"/>
      <c r="I2099" s="618"/>
      <c r="J2099" s="619"/>
      <c r="K2099" s="618"/>
      <c r="L2099" s="620"/>
      <c r="M2099" s="621"/>
      <c r="N2099" s="620"/>
    </row>
    <row r="2100" spans="1:14" ht="11.25" customHeight="1" x14ac:dyDescent="0.25">
      <c r="A2100" s="615"/>
      <c r="B2100" s="616"/>
      <c r="C2100" s="617"/>
      <c r="D2100" s="617"/>
      <c r="E2100" s="617"/>
      <c r="F2100" s="1083"/>
      <c r="G2100" s="1084"/>
      <c r="H2100" s="1069"/>
      <c r="I2100" s="618"/>
      <c r="J2100" s="619"/>
      <c r="K2100" s="618"/>
      <c r="L2100" s="620"/>
      <c r="M2100" s="621"/>
      <c r="N2100" s="620"/>
    </row>
    <row r="2101" spans="1:14" ht="11.25" customHeight="1" x14ac:dyDescent="0.25">
      <c r="A2101" s="615"/>
      <c r="B2101" s="616"/>
      <c r="C2101" s="617"/>
      <c r="D2101" s="617"/>
      <c r="E2101" s="617"/>
      <c r="F2101" s="1083"/>
      <c r="G2101" s="1084"/>
      <c r="H2101" s="1069"/>
      <c r="I2101" s="618"/>
      <c r="J2101" s="619"/>
      <c r="K2101" s="618"/>
      <c r="L2101" s="620"/>
      <c r="M2101" s="621"/>
      <c r="N2101" s="620"/>
    </row>
    <row r="2102" spans="1:14" ht="11.25" customHeight="1" x14ac:dyDescent="0.25">
      <c r="A2102" s="615"/>
      <c r="B2102" s="616"/>
      <c r="C2102" s="617"/>
      <c r="D2102" s="617"/>
      <c r="E2102" s="617"/>
      <c r="F2102" s="1083"/>
      <c r="G2102" s="1084"/>
      <c r="H2102" s="1069"/>
      <c r="I2102" s="618"/>
      <c r="J2102" s="619"/>
      <c r="K2102" s="618"/>
      <c r="L2102" s="620"/>
      <c r="M2102" s="621"/>
      <c r="N2102" s="620"/>
    </row>
    <row r="2103" spans="1:14" ht="11.25" customHeight="1" x14ac:dyDescent="0.25">
      <c r="A2103" s="622"/>
      <c r="B2103" s="616"/>
      <c r="C2103" s="617"/>
      <c r="D2103" s="617"/>
      <c r="E2103" s="617"/>
      <c r="F2103" s="1083"/>
      <c r="G2103" s="1084"/>
      <c r="H2103" s="1069"/>
      <c r="I2103" s="618"/>
      <c r="J2103" s="619"/>
      <c r="K2103" s="618"/>
      <c r="L2103" s="620"/>
      <c r="M2103" s="621"/>
      <c r="N2103" s="620"/>
    </row>
    <row r="2104" spans="1:14" ht="11.25" customHeight="1" x14ac:dyDescent="0.25">
      <c r="A2104" s="623"/>
      <c r="B2104" s="624"/>
      <c r="C2104" s="625"/>
      <c r="D2104" s="625"/>
      <c r="E2104" s="617"/>
      <c r="F2104" s="1083"/>
      <c r="G2104" s="1084"/>
      <c r="H2104" s="1069"/>
      <c r="I2104" s="391"/>
      <c r="J2104" s="390"/>
      <c r="K2104" s="391"/>
      <c r="L2104" s="110"/>
      <c r="M2104" s="130"/>
      <c r="N2104" s="110"/>
    </row>
    <row r="2105" spans="1:14" ht="11.25" customHeight="1" x14ac:dyDescent="0.25">
      <c r="A2105" s="623"/>
      <c r="B2105" s="624"/>
      <c r="C2105" s="625"/>
      <c r="D2105" s="625"/>
      <c r="E2105" s="617"/>
      <c r="F2105" s="1083"/>
      <c r="G2105" s="1084"/>
      <c r="H2105" s="1069"/>
      <c r="I2105" s="391"/>
      <c r="J2105" s="390"/>
      <c r="K2105" s="391"/>
      <c r="L2105" s="110"/>
      <c r="M2105" s="130"/>
      <c r="N2105" s="110"/>
    </row>
    <row r="2106" spans="1:14" ht="11.25" customHeight="1" x14ac:dyDescent="0.25">
      <c r="A2106" s="623"/>
      <c r="B2106" s="624"/>
      <c r="C2106" s="625"/>
      <c r="D2106" s="625"/>
      <c r="E2106" s="617"/>
      <c r="F2106" s="1083"/>
      <c r="G2106" s="1084"/>
      <c r="H2106" s="1069"/>
      <c r="I2106" s="391"/>
      <c r="J2106" s="390"/>
      <c r="K2106" s="391"/>
      <c r="L2106" s="110"/>
      <c r="M2106" s="130"/>
      <c r="N2106" s="110"/>
    </row>
    <row r="2107" spans="1:14" ht="11.25" customHeight="1" x14ac:dyDescent="0.25">
      <c r="A2107" s="623"/>
      <c r="B2107" s="624"/>
      <c r="C2107" s="625"/>
      <c r="D2107" s="625"/>
      <c r="E2107" s="617"/>
      <c r="F2107" s="1083"/>
      <c r="G2107" s="1084"/>
      <c r="H2107" s="1069"/>
      <c r="I2107" s="391"/>
      <c r="J2107" s="390"/>
      <c r="K2107" s="391"/>
      <c r="L2107" s="110"/>
      <c r="M2107" s="130"/>
      <c r="N2107" s="110"/>
    </row>
    <row r="2108" spans="1:14" ht="11.25" customHeight="1" x14ac:dyDescent="0.25">
      <c r="A2108" s="623"/>
      <c r="B2108" s="624"/>
      <c r="C2108" s="625"/>
      <c r="D2108" s="625"/>
      <c r="E2108" s="617"/>
      <c r="F2108" s="1083"/>
      <c r="G2108" s="1084"/>
      <c r="H2108" s="1069"/>
      <c r="I2108" s="391"/>
      <c r="J2108" s="390"/>
      <c r="K2108" s="391"/>
      <c r="L2108" s="110"/>
      <c r="M2108" s="130"/>
      <c r="N2108" s="110"/>
    </row>
    <row r="2109" spans="1:14" ht="11.25" customHeight="1" x14ac:dyDescent="0.25">
      <c r="A2109" s="626"/>
      <c r="B2109" s="627"/>
      <c r="C2109" s="628"/>
      <c r="D2109" s="628"/>
      <c r="E2109" s="1085"/>
      <c r="F2109" s="1086"/>
      <c r="G2109" s="1089"/>
      <c r="H2109" s="1070"/>
      <c r="I2109" s="491"/>
      <c r="J2109" s="629"/>
      <c r="K2109" s="491"/>
      <c r="L2109" s="113"/>
      <c r="M2109" s="143"/>
      <c r="N2109" s="113"/>
    </row>
    <row r="2110" spans="1:14" ht="11.25" customHeight="1" x14ac:dyDescent="0.25">
      <c r="A2110" s="630" t="s">
        <v>543</v>
      </c>
      <c r="B2110" s="631"/>
      <c r="C2110" s="632"/>
      <c r="D2110" s="632"/>
      <c r="E2110" s="632"/>
      <c r="F2110" s="631"/>
      <c r="G2110" s="1061"/>
      <c r="H2110" s="1071"/>
      <c r="I2110" s="633"/>
      <c r="J2110" s="467"/>
      <c r="K2110" s="633"/>
      <c r="L2110" s="236"/>
      <c r="M2110" s="127"/>
      <c r="N2110" s="236"/>
    </row>
    <row r="2111" spans="1:14" ht="11.25" customHeight="1" x14ac:dyDescent="0.25">
      <c r="A2111" s="615" t="s">
        <v>544</v>
      </c>
      <c r="B2111" s="624"/>
      <c r="C2111" s="625"/>
      <c r="D2111" s="625"/>
      <c r="E2111" s="617"/>
      <c r="F2111" s="1083"/>
      <c r="G2111" s="1084"/>
      <c r="H2111" s="1069"/>
      <c r="I2111" s="391"/>
      <c r="J2111" s="390"/>
      <c r="K2111" s="391"/>
      <c r="L2111" s="110"/>
      <c r="M2111" s="130"/>
      <c r="N2111" s="110"/>
    </row>
    <row r="2112" spans="1:14" ht="11.25" customHeight="1" x14ac:dyDescent="0.25">
      <c r="A2112" s="634"/>
      <c r="B2112" s="624"/>
      <c r="C2112" s="625"/>
      <c r="D2112" s="625"/>
      <c r="E2112" s="617"/>
      <c r="F2112" s="1083"/>
      <c r="G2112" s="1084"/>
      <c r="H2112" s="1069"/>
      <c r="I2112" s="391"/>
      <c r="J2112" s="390"/>
      <c r="K2112" s="391"/>
      <c r="L2112" s="110"/>
      <c r="M2112" s="130"/>
      <c r="N2112" s="110"/>
    </row>
    <row r="2113" spans="1:14" ht="11.25" customHeight="1" x14ac:dyDescent="0.25">
      <c r="A2113" s="832" t="s">
        <v>545</v>
      </c>
      <c r="B2113" s="624"/>
      <c r="C2113" s="625"/>
      <c r="D2113" s="625"/>
      <c r="E2113" s="617"/>
      <c r="F2113" s="1083"/>
      <c r="G2113" s="1084"/>
      <c r="H2113" s="1069"/>
      <c r="I2113" s="391"/>
      <c r="J2113" s="390"/>
      <c r="K2113" s="391"/>
      <c r="L2113" s="110"/>
      <c r="M2113" s="130"/>
      <c r="N2113" s="110"/>
    </row>
    <row r="2114" spans="1:14" ht="11.25" customHeight="1" x14ac:dyDescent="0.25">
      <c r="A2114" s="615" t="s">
        <v>546</v>
      </c>
      <c r="B2114" s="624"/>
      <c r="C2114" s="625"/>
      <c r="D2114" s="625"/>
      <c r="E2114" s="617"/>
      <c r="F2114" s="1083"/>
      <c r="G2114" s="1084"/>
      <c r="H2114" s="1069"/>
      <c r="I2114" s="391"/>
      <c r="J2114" s="390"/>
      <c r="K2114" s="391"/>
      <c r="L2114" s="110"/>
      <c r="M2114" s="130"/>
      <c r="N2114" s="110"/>
    </row>
    <row r="2115" spans="1:14" ht="11.25" customHeight="1" x14ac:dyDescent="0.25">
      <c r="A2115" s="634"/>
      <c r="B2115" s="624"/>
      <c r="C2115" s="625"/>
      <c r="D2115" s="625"/>
      <c r="E2115" s="617"/>
      <c r="F2115" s="1083"/>
      <c r="G2115" s="1084"/>
      <c r="H2115" s="1069"/>
      <c r="I2115" s="391"/>
      <c r="J2115" s="390"/>
      <c r="K2115" s="391"/>
      <c r="L2115" s="110"/>
      <c r="M2115" s="130"/>
      <c r="N2115" s="110"/>
    </row>
    <row r="2116" spans="1:14" ht="11.25" customHeight="1" x14ac:dyDescent="0.25">
      <c r="A2116" s="623"/>
      <c r="B2116" s="624"/>
      <c r="C2116" s="625"/>
      <c r="D2116" s="625"/>
      <c r="E2116" s="617"/>
      <c r="F2116" s="1083"/>
      <c r="G2116" s="1084"/>
      <c r="H2116" s="1069"/>
      <c r="I2116" s="391"/>
      <c r="J2116" s="390"/>
      <c r="K2116" s="391"/>
      <c r="L2116" s="110"/>
      <c r="M2116" s="130"/>
      <c r="N2116" s="110"/>
    </row>
    <row r="2117" spans="1:14" ht="11.25" customHeight="1" x14ac:dyDescent="0.25">
      <c r="A2117" s="623"/>
      <c r="B2117" s="624"/>
      <c r="C2117" s="625"/>
      <c r="D2117" s="625"/>
      <c r="E2117" s="617"/>
      <c r="F2117" s="1083"/>
      <c r="G2117" s="1084"/>
      <c r="H2117" s="1069"/>
      <c r="I2117" s="391"/>
      <c r="J2117" s="390"/>
      <c r="K2117" s="391"/>
      <c r="L2117" s="110"/>
      <c r="M2117" s="130"/>
      <c r="N2117" s="110"/>
    </row>
    <row r="2118" spans="1:14" ht="11.25" customHeight="1" x14ac:dyDescent="0.25">
      <c r="A2118" s="635"/>
      <c r="B2118" s="636"/>
      <c r="C2118" s="637"/>
      <c r="D2118" s="637"/>
      <c r="E2118" s="1087"/>
      <c r="F2118" s="1088"/>
      <c r="G2118" s="1090"/>
      <c r="H2118" s="1072"/>
      <c r="I2118" s="317"/>
      <c r="J2118" s="638"/>
      <c r="K2118" s="317"/>
      <c r="L2118" s="319"/>
      <c r="M2118" s="325"/>
      <c r="N2118" s="319"/>
    </row>
    <row r="2119" spans="1:14" ht="11.25" customHeight="1" x14ac:dyDescent="0.25">
      <c r="A2119" s="639" t="s">
        <v>547</v>
      </c>
      <c r="F2119" s="48"/>
      <c r="G2119" s="48"/>
      <c r="H2119" s="48"/>
    </row>
    <row r="2120" spans="1:14" ht="11.25" customHeight="1" x14ac:dyDescent="0.25">
      <c r="A2120" s="640" t="s">
        <v>548</v>
      </c>
    </row>
    <row r="2121" spans="1:14" ht="11.25" customHeight="1" x14ac:dyDescent="0.25">
      <c r="A2121" s="640" t="s">
        <v>549</v>
      </c>
    </row>
    <row r="2122" spans="1:14" ht="11.25" customHeight="1" x14ac:dyDescent="0.25">
      <c r="A2122" s="640" t="s">
        <v>550</v>
      </c>
    </row>
    <row r="2123" spans="1:14" ht="11.25" customHeight="1" x14ac:dyDescent="0.25">
      <c r="A2123" s="640" t="s">
        <v>1552</v>
      </c>
    </row>
    <row r="2124" spans="1:14" ht="11.25" customHeight="1" x14ac:dyDescent="0.25">
      <c r="A2124" s="5" t="s">
        <v>1550</v>
      </c>
    </row>
    <row r="2125" spans="1:14" ht="11.25" customHeight="1" x14ac:dyDescent="0.25">
      <c r="A2125" s="5" t="s">
        <v>1551</v>
      </c>
    </row>
    <row r="2126" spans="1:14" ht="11.25" customHeight="1" x14ac:dyDescent="0.25"/>
    <row r="2127" spans="1:14" ht="11.25" customHeight="1" x14ac:dyDescent="0.25"/>
    <row r="2128" spans="1:14" ht="11.25" customHeight="1" x14ac:dyDescent="0.25"/>
    <row r="2129" ht="11.25" customHeight="1" x14ac:dyDescent="0.25"/>
    <row r="2130" ht="11.25" customHeight="1" x14ac:dyDescent="0.25"/>
    <row r="2131" ht="11.25" customHeight="1" x14ac:dyDescent="0.25"/>
    <row r="2132" ht="11.25" customHeight="1" x14ac:dyDescent="0.25"/>
    <row r="2133" ht="11.25" customHeight="1" x14ac:dyDescent="0.25"/>
    <row r="2136" ht="11.25" customHeight="1" x14ac:dyDescent="0.25"/>
    <row r="2139" ht="11.25" customHeight="1" x14ac:dyDescent="0.25"/>
    <row r="2140" ht="11.25" customHeight="1" x14ac:dyDescent="0.25"/>
    <row r="2141" ht="11.25" customHeight="1" x14ac:dyDescent="0.25"/>
    <row r="2142" ht="11.25" customHeight="1" x14ac:dyDescent="0.25"/>
    <row r="2143" ht="11.25" customHeight="1" x14ac:dyDescent="0.25"/>
    <row r="2144" ht="11.25" customHeight="1" x14ac:dyDescent="0.25"/>
    <row r="2145" spans="2:2" ht="11.25" customHeight="1" x14ac:dyDescent="0.25"/>
    <row r="2146" spans="2:2" ht="11.25" customHeight="1" x14ac:dyDescent="0.25"/>
    <row r="2147" spans="2:2" ht="11.25" customHeight="1" x14ac:dyDescent="0.25"/>
    <row r="2148" spans="2:2" ht="11.25" customHeight="1" x14ac:dyDescent="0.25"/>
    <row r="2149" spans="2:2" ht="11.25" customHeight="1" x14ac:dyDescent="0.25"/>
    <row r="2150" spans="2:2" ht="11.25" customHeight="1" x14ac:dyDescent="0.25"/>
    <row r="2151" spans="2:2" ht="11.25" customHeight="1" x14ac:dyDescent="0.25">
      <c r="B2151" s="128"/>
    </row>
    <row r="2152" spans="2:2" ht="11.25" customHeight="1" x14ac:dyDescent="0.25"/>
    <row r="2153" spans="2:2" ht="11.25" customHeight="1" x14ac:dyDescent="0.25"/>
    <row r="2154" spans="2:2" ht="11.25" customHeight="1" x14ac:dyDescent="0.25"/>
    <row r="2155" spans="2:2" ht="11.25" customHeight="1" x14ac:dyDescent="0.25"/>
    <row r="2156" spans="2:2" ht="11.25" customHeight="1" x14ac:dyDescent="0.25"/>
    <row r="2157" spans="2:2" ht="11.25" customHeight="1" x14ac:dyDescent="0.25"/>
    <row r="2158" spans="2:2" ht="11.25" customHeight="1" x14ac:dyDescent="0.25"/>
    <row r="2159" spans="2:2" ht="11.25" customHeight="1" x14ac:dyDescent="0.25"/>
    <row r="2160" spans="2:2" ht="11.25" customHeight="1" x14ac:dyDescent="0.25"/>
    <row r="2161" ht="11.25" customHeight="1" x14ac:dyDescent="0.25"/>
    <row r="2162" ht="11.25" customHeight="1" x14ac:dyDescent="0.25"/>
    <row r="2163" ht="11.25" customHeight="1" x14ac:dyDescent="0.25"/>
    <row r="2164" ht="11.25" customHeight="1" x14ac:dyDescent="0.25"/>
    <row r="2165" ht="11.25" customHeight="1" x14ac:dyDescent="0.25"/>
    <row r="2166" ht="11.25" customHeight="1" x14ac:dyDescent="0.25"/>
    <row r="2167" ht="11.25" customHeight="1" x14ac:dyDescent="0.25"/>
    <row r="2168" ht="11.25" customHeight="1" x14ac:dyDescent="0.25"/>
    <row r="2169" ht="11.25" customHeight="1" x14ac:dyDescent="0.25"/>
    <row r="2170" ht="11.25" customHeight="1" x14ac:dyDescent="0.25"/>
    <row r="2171" ht="11.25" customHeight="1" x14ac:dyDescent="0.25"/>
    <row r="2172" ht="11.25" customHeight="1" x14ac:dyDescent="0.25"/>
    <row r="2173" ht="11.25" customHeight="1" x14ac:dyDescent="0.25"/>
    <row r="2174" ht="11.25" customHeight="1" x14ac:dyDescent="0.25"/>
    <row r="2175" ht="11.25" customHeight="1" x14ac:dyDescent="0.25"/>
  </sheetData>
  <dataConsolidate/>
  <mergeCells count="7">
    <mergeCell ref="I2:N2"/>
    <mergeCell ref="I3:J3"/>
    <mergeCell ref="K3:L3"/>
    <mergeCell ref="M3:N3"/>
    <mergeCell ref="A2:A3"/>
    <mergeCell ref="B2:B4"/>
    <mergeCell ref="C2:C4"/>
  </mergeCells>
  <phoneticPr fontId="3" type="noConversion"/>
  <dataValidations count="3">
    <dataValidation type="list" allowBlank="1" showInputMessage="1" showErrorMessage="1" promptTitle="Y/N" prompt="Please select" sqref="E6:E2109 E2111:E2118">
      <formula1>Y_N</formula1>
    </dataValidation>
    <dataValidation type="list" allowBlank="1" showInputMessage="1" showErrorMessage="1" promptTitle="Asset Class" prompt="Please select" sqref="F6:F2109 F2111:F2118">
      <formula1>Asset_Class</formula1>
    </dataValidation>
    <dataValidation type="list" allowBlank="1" showInputMessage="1" showErrorMessage="1" promptTitle="Asset Sub-Class" prompt="Please select" sqref="G6:G2109 G2111:G2118">
      <formula1>Asset_sub_class</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sqref="A1:M1"/>
    </sheetView>
  </sheetViews>
  <sheetFormatPr defaultRowHeight="12.75" x14ac:dyDescent="0.25"/>
  <cols>
    <col min="1" max="1" width="35.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1373" t="str">
        <f>muni&amp;" - "&amp;ADJB20&amp;" - "&amp;Date</f>
        <v>LIM354 Polokwane - Supporting Table SB20 Not required - 25 February 2016</v>
      </c>
      <c r="B1" s="1373"/>
      <c r="C1" s="1373"/>
      <c r="D1" s="1373"/>
      <c r="E1" s="1373"/>
      <c r="F1" s="1373"/>
      <c r="G1" s="1373"/>
      <c r="H1" s="1373"/>
      <c r="I1" s="1373"/>
      <c r="J1" s="1373"/>
      <c r="K1" s="1373"/>
      <c r="L1" s="1373"/>
      <c r="M1" s="1373"/>
    </row>
    <row r="2" spans="1:13" ht="38.25" x14ac:dyDescent="0.25">
      <c r="A2" s="1318" t="str">
        <f>desc</f>
        <v>Description</v>
      </c>
      <c r="B2" s="1318" t="str">
        <f>head27</f>
        <v>Ref</v>
      </c>
      <c r="C2" s="1315" t="str">
        <f>Head2</f>
        <v>Budget Year 2015/16</v>
      </c>
      <c r="D2" s="1316"/>
      <c r="E2" s="1316"/>
      <c r="F2" s="1316"/>
      <c r="G2" s="1316"/>
      <c r="H2" s="1316"/>
      <c r="I2" s="1316"/>
      <c r="J2" s="1316"/>
      <c r="K2" s="1316"/>
      <c r="L2" s="103" t="str">
        <f>Head10</f>
        <v>Budget Year +1 2016/17</v>
      </c>
      <c r="M2" s="61" t="str">
        <f>Head11</f>
        <v>Budget Year +2 2017/18</v>
      </c>
    </row>
    <row r="3" spans="1:13" ht="25.5" x14ac:dyDescent="0.25">
      <c r="A3" s="1319"/>
      <c r="B3" s="1319"/>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41" t="str">
        <f>Head7</f>
        <v>Adjusted Budget</v>
      </c>
      <c r="M3" s="642" t="str">
        <f>Head7</f>
        <v>Adjusted Budget</v>
      </c>
    </row>
    <row r="4" spans="1:13" x14ac:dyDescent="0.25">
      <c r="A4" s="1319"/>
      <c r="B4" s="1319"/>
      <c r="C4" s="14"/>
      <c r="D4" s="15">
        <v>3</v>
      </c>
      <c r="E4" s="15">
        <v>4</v>
      </c>
      <c r="F4" s="15">
        <v>5</v>
      </c>
      <c r="G4" s="15">
        <v>6</v>
      </c>
      <c r="H4" s="15">
        <v>8</v>
      </c>
      <c r="I4" s="15">
        <v>9</v>
      </c>
      <c r="J4" s="16">
        <v>10</v>
      </c>
      <c r="K4" s="16">
        <v>11</v>
      </c>
      <c r="L4" s="16"/>
      <c r="M4" s="17"/>
    </row>
    <row r="5" spans="1:13" x14ac:dyDescent="0.25">
      <c r="A5" s="66" t="s">
        <v>641</v>
      </c>
      <c r="B5" s="154"/>
      <c r="C5" s="484" t="s">
        <v>581</v>
      </c>
      <c r="D5" s="68" t="s">
        <v>582</v>
      </c>
      <c r="E5" s="68" t="s">
        <v>583</v>
      </c>
      <c r="F5" s="69" t="s">
        <v>584</v>
      </c>
      <c r="G5" s="69" t="s">
        <v>585</v>
      </c>
      <c r="H5" s="69" t="s">
        <v>586</v>
      </c>
      <c r="I5" s="70" t="s">
        <v>587</v>
      </c>
      <c r="J5" s="514" t="s">
        <v>588</v>
      </c>
      <c r="K5" s="514" t="s">
        <v>589</v>
      </c>
      <c r="L5" s="514"/>
      <c r="M5" s="71"/>
    </row>
    <row r="6" spans="1:13" ht="12.75" customHeight="1" x14ac:dyDescent="0.25">
      <c r="A6" s="126" t="s">
        <v>551</v>
      </c>
      <c r="B6" s="73"/>
      <c r="C6" s="74"/>
      <c r="D6" s="75"/>
      <c r="E6" s="75"/>
      <c r="F6" s="75"/>
      <c r="G6" s="75"/>
      <c r="H6" s="75"/>
      <c r="I6" s="75"/>
      <c r="J6" s="517"/>
      <c r="K6" s="517"/>
      <c r="L6" s="517"/>
      <c r="M6" s="76"/>
    </row>
    <row r="7" spans="1:13" ht="12.75" customHeight="1" x14ac:dyDescent="0.25">
      <c r="A7" s="486" t="s">
        <v>552</v>
      </c>
      <c r="B7" s="73"/>
      <c r="C7" s="130"/>
      <c r="D7" s="109"/>
      <c r="E7" s="109"/>
      <c r="F7" s="109"/>
      <c r="G7" s="109"/>
      <c r="H7" s="109"/>
      <c r="I7" s="109"/>
      <c r="J7" s="517">
        <f t="shared" ref="J7:J16" si="0">SUM(E7:I7)</f>
        <v>0</v>
      </c>
      <c r="K7" s="517">
        <f t="shared" ref="K7:K16" si="1">IF(D7=0,C7+J7,D7+J7)</f>
        <v>0</v>
      </c>
      <c r="L7" s="390"/>
      <c r="M7" s="110"/>
    </row>
    <row r="8" spans="1:13" ht="12.75" customHeight="1" x14ac:dyDescent="0.25">
      <c r="A8" s="486" t="s">
        <v>553</v>
      </c>
      <c r="B8" s="73"/>
      <c r="C8" s="130"/>
      <c r="D8" s="109"/>
      <c r="E8" s="109"/>
      <c r="F8" s="109"/>
      <c r="G8" s="109"/>
      <c r="H8" s="109"/>
      <c r="I8" s="109"/>
      <c r="J8" s="517">
        <f t="shared" si="0"/>
        <v>0</v>
      </c>
      <c r="K8" s="517">
        <f t="shared" si="1"/>
        <v>0</v>
      </c>
      <c r="L8" s="390"/>
      <c r="M8" s="110"/>
    </row>
    <row r="9" spans="1:13" ht="12.75" customHeight="1" x14ac:dyDescent="0.25">
      <c r="A9" s="486" t="s">
        <v>554</v>
      </c>
      <c r="B9" s="73"/>
      <c r="C9" s="130"/>
      <c r="D9" s="109"/>
      <c r="E9" s="109"/>
      <c r="F9" s="109"/>
      <c r="G9" s="109"/>
      <c r="H9" s="109"/>
      <c r="I9" s="109"/>
      <c r="J9" s="517">
        <f t="shared" si="0"/>
        <v>0</v>
      </c>
      <c r="K9" s="517">
        <f t="shared" si="1"/>
        <v>0</v>
      </c>
      <c r="L9" s="390"/>
      <c r="M9" s="110"/>
    </row>
    <row r="10" spans="1:13" ht="12.75" customHeight="1" x14ac:dyDescent="0.25">
      <c r="A10" s="486"/>
      <c r="B10" s="73"/>
      <c r="C10" s="130"/>
      <c r="D10" s="109"/>
      <c r="E10" s="109"/>
      <c r="F10" s="109"/>
      <c r="G10" s="109"/>
      <c r="H10" s="109"/>
      <c r="I10" s="109"/>
      <c r="J10" s="517">
        <f t="shared" si="0"/>
        <v>0</v>
      </c>
      <c r="K10" s="517">
        <f t="shared" si="1"/>
        <v>0</v>
      </c>
      <c r="L10" s="390"/>
      <c r="M10" s="110"/>
    </row>
    <row r="11" spans="1:13" ht="12.75" customHeight="1" x14ac:dyDescent="0.25">
      <c r="A11" s="486"/>
      <c r="B11" s="73"/>
      <c r="C11" s="130"/>
      <c r="D11" s="109"/>
      <c r="E11" s="109"/>
      <c r="F11" s="109"/>
      <c r="G11" s="109"/>
      <c r="H11" s="109"/>
      <c r="I11" s="109"/>
      <c r="J11" s="517">
        <f t="shared" si="0"/>
        <v>0</v>
      </c>
      <c r="K11" s="517">
        <f t="shared" si="1"/>
        <v>0</v>
      </c>
      <c r="L11" s="390"/>
      <c r="M11" s="110"/>
    </row>
    <row r="12" spans="1:13" ht="12.75" customHeight="1" x14ac:dyDescent="0.25">
      <c r="A12" s="486"/>
      <c r="B12" s="73"/>
      <c r="C12" s="130"/>
      <c r="D12" s="109"/>
      <c r="E12" s="109"/>
      <c r="F12" s="109"/>
      <c r="G12" s="109"/>
      <c r="H12" s="109"/>
      <c r="I12" s="109"/>
      <c r="J12" s="517">
        <f t="shared" si="0"/>
        <v>0</v>
      </c>
      <c r="K12" s="517">
        <f t="shared" si="1"/>
        <v>0</v>
      </c>
      <c r="L12" s="390"/>
      <c r="M12" s="110"/>
    </row>
    <row r="13" spans="1:13" ht="12.75" customHeight="1" x14ac:dyDescent="0.25">
      <c r="A13" s="486"/>
      <c r="B13" s="73"/>
      <c r="C13" s="130"/>
      <c r="D13" s="109"/>
      <c r="E13" s="109"/>
      <c r="F13" s="109"/>
      <c r="G13" s="109"/>
      <c r="H13" s="109"/>
      <c r="I13" s="109"/>
      <c r="J13" s="517">
        <f t="shared" si="0"/>
        <v>0</v>
      </c>
      <c r="K13" s="517">
        <f t="shared" si="1"/>
        <v>0</v>
      </c>
      <c r="L13" s="390"/>
      <c r="M13" s="110"/>
    </row>
    <row r="14" spans="1:13" ht="12.75" customHeight="1" x14ac:dyDescent="0.25">
      <c r="A14" s="486"/>
      <c r="B14" s="73"/>
      <c r="C14" s="130"/>
      <c r="D14" s="109"/>
      <c r="E14" s="109"/>
      <c r="F14" s="109"/>
      <c r="G14" s="109"/>
      <c r="H14" s="109"/>
      <c r="I14" s="109"/>
      <c r="J14" s="517">
        <f t="shared" si="0"/>
        <v>0</v>
      </c>
      <c r="K14" s="517">
        <f t="shared" si="1"/>
        <v>0</v>
      </c>
      <c r="L14" s="390"/>
      <c r="M14" s="110"/>
    </row>
    <row r="15" spans="1:13" ht="12.75" customHeight="1" x14ac:dyDescent="0.25">
      <c r="A15" s="486"/>
      <c r="B15" s="73"/>
      <c r="C15" s="130"/>
      <c r="D15" s="109"/>
      <c r="E15" s="109"/>
      <c r="F15" s="109"/>
      <c r="G15" s="109"/>
      <c r="H15" s="109"/>
      <c r="I15" s="109"/>
      <c r="J15" s="517">
        <f t="shared" si="0"/>
        <v>0</v>
      </c>
      <c r="K15" s="517">
        <f t="shared" si="1"/>
        <v>0</v>
      </c>
      <c r="L15" s="390"/>
      <c r="M15" s="110"/>
    </row>
    <row r="16" spans="1:13" ht="12.75" customHeight="1" x14ac:dyDescent="0.25">
      <c r="A16" s="486"/>
      <c r="B16" s="73"/>
      <c r="C16" s="130"/>
      <c r="D16" s="109"/>
      <c r="E16" s="109"/>
      <c r="F16" s="109"/>
      <c r="G16" s="109"/>
      <c r="H16" s="109"/>
      <c r="I16" s="109"/>
      <c r="J16" s="517">
        <f t="shared" si="0"/>
        <v>0</v>
      </c>
      <c r="K16" s="517">
        <f t="shared" si="1"/>
        <v>0</v>
      </c>
      <c r="L16" s="390"/>
      <c r="M16" s="110"/>
    </row>
    <row r="17" spans="1:13" ht="12.75" customHeight="1" x14ac:dyDescent="0.25">
      <c r="A17" s="163" t="s">
        <v>555</v>
      </c>
      <c r="B17" s="79">
        <v>1</v>
      </c>
      <c r="C17" s="80">
        <f t="shared" ref="C17:M17" si="2">SUM(C7:C16)</f>
        <v>0</v>
      </c>
      <c r="D17" s="81">
        <f t="shared" si="2"/>
        <v>0</v>
      </c>
      <c r="E17" s="81">
        <f t="shared" si="2"/>
        <v>0</v>
      </c>
      <c r="F17" s="81">
        <f t="shared" si="2"/>
        <v>0</v>
      </c>
      <c r="G17" s="81">
        <f t="shared" si="2"/>
        <v>0</v>
      </c>
      <c r="H17" s="81">
        <f t="shared" si="2"/>
        <v>0</v>
      </c>
      <c r="I17" s="81">
        <f t="shared" si="2"/>
        <v>0</v>
      </c>
      <c r="J17" s="528">
        <f t="shared" si="2"/>
        <v>0</v>
      </c>
      <c r="K17" s="528">
        <f t="shared" si="2"/>
        <v>0</v>
      </c>
      <c r="L17" s="528">
        <f t="shared" si="2"/>
        <v>0</v>
      </c>
      <c r="M17" s="82">
        <f t="shared" si="2"/>
        <v>0</v>
      </c>
    </row>
    <row r="18" spans="1:13" ht="5.0999999999999996" customHeight="1" x14ac:dyDescent="0.25">
      <c r="A18" s="136"/>
      <c r="B18" s="73"/>
      <c r="C18" s="74"/>
      <c r="D18" s="75"/>
      <c r="E18" s="75"/>
      <c r="F18" s="75"/>
      <c r="G18" s="75"/>
      <c r="H18" s="75"/>
      <c r="I18" s="75"/>
      <c r="J18" s="517"/>
      <c r="K18" s="517"/>
      <c r="L18" s="517"/>
      <c r="M18" s="76"/>
    </row>
    <row r="19" spans="1:13" ht="12.75" customHeight="1" x14ac:dyDescent="0.25">
      <c r="A19" s="126" t="s">
        <v>556</v>
      </c>
      <c r="B19" s="115"/>
      <c r="C19" s="74"/>
      <c r="D19" s="75"/>
      <c r="E19" s="75"/>
      <c r="F19" s="75"/>
      <c r="G19" s="75"/>
      <c r="H19" s="75"/>
      <c r="I19" s="75"/>
      <c r="J19" s="517"/>
      <c r="K19" s="517"/>
      <c r="L19" s="517"/>
      <c r="M19" s="76"/>
    </row>
    <row r="20" spans="1:13" ht="12.75" customHeight="1" x14ac:dyDescent="0.25">
      <c r="A20" s="486" t="s">
        <v>557</v>
      </c>
      <c r="B20" s="643"/>
      <c r="C20" s="130"/>
      <c r="D20" s="109"/>
      <c r="E20" s="109"/>
      <c r="F20" s="109"/>
      <c r="G20" s="109"/>
      <c r="H20" s="109"/>
      <c r="I20" s="109"/>
      <c r="J20" s="517">
        <f t="shared" ref="J20:J29" si="3">SUM(E20:I20)</f>
        <v>0</v>
      </c>
      <c r="K20" s="517">
        <f t="shared" ref="K20:K29" si="4">IF(D20=0,C20+J20,D20+J20)</f>
        <v>0</v>
      </c>
      <c r="L20" s="390"/>
      <c r="M20" s="110"/>
    </row>
    <row r="21" spans="1:13" ht="12.75" customHeight="1" x14ac:dyDescent="0.25">
      <c r="A21" s="486" t="s">
        <v>558</v>
      </c>
      <c r="B21" s="643"/>
      <c r="C21" s="130"/>
      <c r="D21" s="109"/>
      <c r="E21" s="109"/>
      <c r="F21" s="109"/>
      <c r="G21" s="109"/>
      <c r="H21" s="109"/>
      <c r="I21" s="109"/>
      <c r="J21" s="517">
        <f t="shared" si="3"/>
        <v>0</v>
      </c>
      <c r="K21" s="517">
        <f t="shared" si="4"/>
        <v>0</v>
      </c>
      <c r="L21" s="390"/>
      <c r="M21" s="110"/>
    </row>
    <row r="22" spans="1:13" ht="12.75" customHeight="1" x14ac:dyDescent="0.25">
      <c r="A22" s="486" t="s">
        <v>559</v>
      </c>
      <c r="B22" s="643"/>
      <c r="C22" s="130"/>
      <c r="D22" s="109"/>
      <c r="E22" s="109"/>
      <c r="F22" s="109"/>
      <c r="G22" s="109"/>
      <c r="H22" s="109"/>
      <c r="I22" s="109"/>
      <c r="J22" s="517">
        <f t="shared" si="3"/>
        <v>0</v>
      </c>
      <c r="K22" s="517">
        <f t="shared" si="4"/>
        <v>0</v>
      </c>
      <c r="L22" s="390"/>
      <c r="M22" s="110"/>
    </row>
    <row r="23" spans="1:13" ht="12.75" customHeight="1" x14ac:dyDescent="0.25">
      <c r="A23" s="486"/>
      <c r="B23" s="643"/>
      <c r="C23" s="130"/>
      <c r="D23" s="109"/>
      <c r="E23" s="109"/>
      <c r="F23" s="109"/>
      <c r="G23" s="109"/>
      <c r="H23" s="109"/>
      <c r="I23" s="109"/>
      <c r="J23" s="517">
        <f t="shared" si="3"/>
        <v>0</v>
      </c>
      <c r="K23" s="517">
        <f t="shared" si="4"/>
        <v>0</v>
      </c>
      <c r="L23" s="390"/>
      <c r="M23" s="110"/>
    </row>
    <row r="24" spans="1:13" ht="12.75" customHeight="1" x14ac:dyDescent="0.25">
      <c r="A24" s="486"/>
      <c r="B24" s="643"/>
      <c r="C24" s="130"/>
      <c r="D24" s="109"/>
      <c r="E24" s="109"/>
      <c r="F24" s="109"/>
      <c r="G24" s="109"/>
      <c r="H24" s="109"/>
      <c r="I24" s="109"/>
      <c r="J24" s="517">
        <f t="shared" si="3"/>
        <v>0</v>
      </c>
      <c r="K24" s="517">
        <f t="shared" si="4"/>
        <v>0</v>
      </c>
      <c r="L24" s="390"/>
      <c r="M24" s="110"/>
    </row>
    <row r="25" spans="1:13" ht="12.75" customHeight="1" x14ac:dyDescent="0.25">
      <c r="A25" s="486"/>
      <c r="B25" s="643"/>
      <c r="C25" s="130"/>
      <c r="D25" s="109"/>
      <c r="E25" s="109"/>
      <c r="F25" s="109"/>
      <c r="G25" s="109"/>
      <c r="H25" s="109"/>
      <c r="I25" s="109"/>
      <c r="J25" s="517">
        <f t="shared" si="3"/>
        <v>0</v>
      </c>
      <c r="K25" s="517">
        <f t="shared" si="4"/>
        <v>0</v>
      </c>
      <c r="L25" s="390"/>
      <c r="M25" s="110"/>
    </row>
    <row r="26" spans="1:13" ht="12.75" customHeight="1" x14ac:dyDescent="0.25">
      <c r="A26" s="486"/>
      <c r="B26" s="643"/>
      <c r="C26" s="130"/>
      <c r="D26" s="109"/>
      <c r="E26" s="109"/>
      <c r="F26" s="109"/>
      <c r="G26" s="109"/>
      <c r="H26" s="109"/>
      <c r="I26" s="109"/>
      <c r="J26" s="517">
        <f t="shared" si="3"/>
        <v>0</v>
      </c>
      <c r="K26" s="517">
        <f t="shared" si="4"/>
        <v>0</v>
      </c>
      <c r="L26" s="390"/>
      <c r="M26" s="110"/>
    </row>
    <row r="27" spans="1:13" ht="12.75" customHeight="1" x14ac:dyDescent="0.25">
      <c r="A27" s="486"/>
      <c r="B27" s="643"/>
      <c r="C27" s="130"/>
      <c r="D27" s="109"/>
      <c r="E27" s="109"/>
      <c r="F27" s="109"/>
      <c r="G27" s="109"/>
      <c r="H27" s="109"/>
      <c r="I27" s="109"/>
      <c r="J27" s="517">
        <f t="shared" si="3"/>
        <v>0</v>
      </c>
      <c r="K27" s="517">
        <f t="shared" si="4"/>
        <v>0</v>
      </c>
      <c r="L27" s="390"/>
      <c r="M27" s="110"/>
    </row>
    <row r="28" spans="1:13" ht="12.75" customHeight="1" x14ac:dyDescent="0.25">
      <c r="A28" s="486"/>
      <c r="B28" s="643"/>
      <c r="C28" s="130"/>
      <c r="D28" s="109"/>
      <c r="E28" s="109"/>
      <c r="F28" s="109"/>
      <c r="G28" s="109"/>
      <c r="H28" s="109"/>
      <c r="I28" s="109"/>
      <c r="J28" s="517">
        <f t="shared" si="3"/>
        <v>0</v>
      </c>
      <c r="K28" s="517">
        <f t="shared" si="4"/>
        <v>0</v>
      </c>
      <c r="L28" s="390"/>
      <c r="M28" s="110"/>
    </row>
    <row r="29" spans="1:13" ht="12.75" customHeight="1" x14ac:dyDescent="0.25">
      <c r="A29" s="486"/>
      <c r="B29" s="643"/>
      <c r="C29" s="130"/>
      <c r="D29" s="109"/>
      <c r="E29" s="109"/>
      <c r="F29" s="109"/>
      <c r="G29" s="109"/>
      <c r="H29" s="109"/>
      <c r="I29" s="109"/>
      <c r="J29" s="517">
        <f t="shared" si="3"/>
        <v>0</v>
      </c>
      <c r="K29" s="517">
        <f t="shared" si="4"/>
        <v>0</v>
      </c>
      <c r="L29" s="390"/>
      <c r="M29" s="110"/>
    </row>
    <row r="30" spans="1:13" ht="12.75" customHeight="1" x14ac:dyDescent="0.25">
      <c r="A30" s="163" t="s">
        <v>560</v>
      </c>
      <c r="B30" s="79">
        <v>2</v>
      </c>
      <c r="C30" s="80">
        <f t="shared" ref="C30:M30" si="5">SUM(C20:C29)</f>
        <v>0</v>
      </c>
      <c r="D30" s="81">
        <f t="shared" si="5"/>
        <v>0</v>
      </c>
      <c r="E30" s="81">
        <f t="shared" si="5"/>
        <v>0</v>
      </c>
      <c r="F30" s="81">
        <f t="shared" si="5"/>
        <v>0</v>
      </c>
      <c r="G30" s="81">
        <f t="shared" si="5"/>
        <v>0</v>
      </c>
      <c r="H30" s="81">
        <f t="shared" si="5"/>
        <v>0</v>
      </c>
      <c r="I30" s="81">
        <f t="shared" si="5"/>
        <v>0</v>
      </c>
      <c r="J30" s="528">
        <f t="shared" si="5"/>
        <v>0</v>
      </c>
      <c r="K30" s="528">
        <f t="shared" si="5"/>
        <v>0</v>
      </c>
      <c r="L30" s="528">
        <f t="shared" si="5"/>
        <v>0</v>
      </c>
      <c r="M30" s="82">
        <f t="shared" si="5"/>
        <v>0</v>
      </c>
    </row>
    <row r="31" spans="1:13" ht="5.0999999999999996" customHeight="1" x14ac:dyDescent="0.25">
      <c r="A31" s="136"/>
      <c r="B31" s="73"/>
      <c r="C31" s="74"/>
      <c r="D31" s="75"/>
      <c r="E31" s="75"/>
      <c r="F31" s="75"/>
      <c r="G31" s="75"/>
      <c r="H31" s="75"/>
      <c r="I31" s="75"/>
      <c r="J31" s="517"/>
      <c r="K31" s="517"/>
      <c r="L31" s="517"/>
      <c r="M31" s="76"/>
    </row>
    <row r="32" spans="1:13" ht="12.75" customHeight="1" x14ac:dyDescent="0.25">
      <c r="A32" s="126" t="s">
        <v>561</v>
      </c>
      <c r="B32" s="137"/>
      <c r="C32" s="74"/>
      <c r="D32" s="75"/>
      <c r="E32" s="75"/>
      <c r="F32" s="75"/>
      <c r="G32" s="75"/>
      <c r="H32" s="75"/>
      <c r="I32" s="75"/>
      <c r="J32" s="517"/>
      <c r="K32" s="517"/>
      <c r="L32" s="517"/>
      <c r="M32" s="76"/>
    </row>
    <row r="33" spans="1:13" ht="12.75" customHeight="1" x14ac:dyDescent="0.25">
      <c r="A33" s="486" t="s">
        <v>562</v>
      </c>
      <c r="B33" s="137"/>
      <c r="C33" s="130"/>
      <c r="D33" s="109"/>
      <c r="E33" s="109"/>
      <c r="F33" s="109"/>
      <c r="G33" s="109"/>
      <c r="H33" s="109"/>
      <c r="I33" s="109"/>
      <c r="J33" s="517">
        <f t="shared" ref="J33:J42" si="6">SUM(E33:I33)</f>
        <v>0</v>
      </c>
      <c r="K33" s="517">
        <f t="shared" ref="K33:K42" si="7">IF(D33=0,C33+J33,D33+J33)</f>
        <v>0</v>
      </c>
      <c r="L33" s="390"/>
      <c r="M33" s="110"/>
    </row>
    <row r="34" spans="1:13" ht="12.75" customHeight="1" x14ac:dyDescent="0.25">
      <c r="A34" s="486" t="s">
        <v>563</v>
      </c>
      <c r="B34" s="137"/>
      <c r="C34" s="130"/>
      <c r="D34" s="109"/>
      <c r="E34" s="109"/>
      <c r="F34" s="109"/>
      <c r="G34" s="109"/>
      <c r="H34" s="109"/>
      <c r="I34" s="109"/>
      <c r="J34" s="517">
        <f t="shared" si="6"/>
        <v>0</v>
      </c>
      <c r="K34" s="517">
        <f t="shared" si="7"/>
        <v>0</v>
      </c>
      <c r="L34" s="390"/>
      <c r="M34" s="110"/>
    </row>
    <row r="35" spans="1:13" ht="12.75" customHeight="1" x14ac:dyDescent="0.25">
      <c r="A35" s="486" t="s">
        <v>564</v>
      </c>
      <c r="B35" s="137"/>
      <c r="C35" s="130"/>
      <c r="D35" s="109"/>
      <c r="E35" s="109"/>
      <c r="F35" s="109"/>
      <c r="G35" s="109"/>
      <c r="H35" s="109"/>
      <c r="I35" s="109"/>
      <c r="J35" s="517">
        <f t="shared" si="6"/>
        <v>0</v>
      </c>
      <c r="K35" s="517">
        <f t="shared" si="7"/>
        <v>0</v>
      </c>
      <c r="L35" s="390"/>
      <c r="M35" s="110"/>
    </row>
    <row r="36" spans="1:13" ht="12.75" customHeight="1" x14ac:dyDescent="0.25">
      <c r="A36" s="486"/>
      <c r="B36" s="137"/>
      <c r="C36" s="130"/>
      <c r="D36" s="109"/>
      <c r="E36" s="109"/>
      <c r="F36" s="109"/>
      <c r="G36" s="109"/>
      <c r="H36" s="109"/>
      <c r="I36" s="109"/>
      <c r="J36" s="517">
        <f t="shared" si="6"/>
        <v>0</v>
      </c>
      <c r="K36" s="517">
        <f t="shared" si="7"/>
        <v>0</v>
      </c>
      <c r="L36" s="390"/>
      <c r="M36" s="110"/>
    </row>
    <row r="37" spans="1:13" ht="12.75" customHeight="1" x14ac:dyDescent="0.25">
      <c r="A37" s="486"/>
      <c r="B37" s="137"/>
      <c r="C37" s="130"/>
      <c r="D37" s="109"/>
      <c r="E37" s="109"/>
      <c r="F37" s="109"/>
      <c r="G37" s="109"/>
      <c r="H37" s="109"/>
      <c r="I37" s="109"/>
      <c r="J37" s="517">
        <f t="shared" si="6"/>
        <v>0</v>
      </c>
      <c r="K37" s="517">
        <f t="shared" si="7"/>
        <v>0</v>
      </c>
      <c r="L37" s="390"/>
      <c r="M37" s="110"/>
    </row>
    <row r="38" spans="1:13" ht="12.75" customHeight="1" x14ac:dyDescent="0.25">
      <c r="A38" s="486"/>
      <c r="B38" s="137"/>
      <c r="C38" s="130"/>
      <c r="D38" s="109"/>
      <c r="E38" s="109"/>
      <c r="F38" s="109"/>
      <c r="G38" s="109"/>
      <c r="H38" s="109"/>
      <c r="I38" s="109"/>
      <c r="J38" s="517">
        <f t="shared" si="6"/>
        <v>0</v>
      </c>
      <c r="K38" s="517">
        <f t="shared" si="7"/>
        <v>0</v>
      </c>
      <c r="L38" s="390"/>
      <c r="M38" s="110"/>
    </row>
    <row r="39" spans="1:13" ht="12.75" customHeight="1" x14ac:dyDescent="0.25">
      <c r="A39" s="486"/>
      <c r="B39" s="137"/>
      <c r="C39" s="130"/>
      <c r="D39" s="109"/>
      <c r="E39" s="109"/>
      <c r="F39" s="109"/>
      <c r="G39" s="109"/>
      <c r="H39" s="109"/>
      <c r="I39" s="109"/>
      <c r="J39" s="517">
        <f t="shared" si="6"/>
        <v>0</v>
      </c>
      <c r="K39" s="517">
        <f t="shared" si="7"/>
        <v>0</v>
      </c>
      <c r="L39" s="390"/>
      <c r="M39" s="110"/>
    </row>
    <row r="40" spans="1:13" ht="12.75" customHeight="1" x14ac:dyDescent="0.25">
      <c r="A40" s="486"/>
      <c r="B40" s="137"/>
      <c r="C40" s="130"/>
      <c r="D40" s="109"/>
      <c r="E40" s="109"/>
      <c r="F40" s="109"/>
      <c r="G40" s="109"/>
      <c r="H40" s="109"/>
      <c r="I40" s="109"/>
      <c r="J40" s="517">
        <f t="shared" si="6"/>
        <v>0</v>
      </c>
      <c r="K40" s="517">
        <f t="shared" si="7"/>
        <v>0</v>
      </c>
      <c r="L40" s="390"/>
      <c r="M40" s="110"/>
    </row>
    <row r="41" spans="1:13" ht="12.75" customHeight="1" x14ac:dyDescent="0.25">
      <c r="A41" s="486"/>
      <c r="B41" s="137"/>
      <c r="C41" s="130"/>
      <c r="D41" s="109"/>
      <c r="E41" s="109"/>
      <c r="F41" s="109"/>
      <c r="G41" s="109"/>
      <c r="H41" s="109"/>
      <c r="I41" s="109"/>
      <c r="J41" s="517">
        <f t="shared" si="6"/>
        <v>0</v>
      </c>
      <c r="K41" s="517">
        <f t="shared" si="7"/>
        <v>0</v>
      </c>
      <c r="L41" s="390"/>
      <c r="M41" s="110"/>
    </row>
    <row r="42" spans="1:13" ht="12.75" customHeight="1" x14ac:dyDescent="0.25">
      <c r="A42" s="486"/>
      <c r="B42" s="137"/>
      <c r="C42" s="130"/>
      <c r="D42" s="109"/>
      <c r="E42" s="109"/>
      <c r="F42" s="109"/>
      <c r="G42" s="109"/>
      <c r="H42" s="109"/>
      <c r="I42" s="109"/>
      <c r="J42" s="517">
        <f t="shared" si="6"/>
        <v>0</v>
      </c>
      <c r="K42" s="517">
        <f t="shared" si="7"/>
        <v>0</v>
      </c>
      <c r="L42" s="390"/>
      <c r="M42" s="110"/>
    </row>
    <row r="43" spans="1:13" ht="12.75" customHeight="1" x14ac:dyDescent="0.25">
      <c r="A43" s="155" t="s">
        <v>479</v>
      </c>
      <c r="B43" s="156">
        <v>2</v>
      </c>
      <c r="C43" s="157">
        <f t="shared" ref="C43:M43" si="8">SUM(C32:C42)</f>
        <v>0</v>
      </c>
      <c r="D43" s="117">
        <f t="shared" si="8"/>
        <v>0</v>
      </c>
      <c r="E43" s="117">
        <f t="shared" si="8"/>
        <v>0</v>
      </c>
      <c r="F43" s="117">
        <f t="shared" si="8"/>
        <v>0</v>
      </c>
      <c r="G43" s="117">
        <f t="shared" si="8"/>
        <v>0</v>
      </c>
      <c r="H43" s="117">
        <f t="shared" si="8"/>
        <v>0</v>
      </c>
      <c r="I43" s="117">
        <f t="shared" si="8"/>
        <v>0</v>
      </c>
      <c r="J43" s="531">
        <f t="shared" si="8"/>
        <v>0</v>
      </c>
      <c r="K43" s="531">
        <f t="shared" si="8"/>
        <v>0</v>
      </c>
      <c r="L43" s="531">
        <f t="shared" si="8"/>
        <v>0</v>
      </c>
      <c r="M43" s="118">
        <f t="shared" si="8"/>
        <v>0</v>
      </c>
    </row>
    <row r="44" spans="1:13" ht="12.75" customHeight="1" x14ac:dyDescent="0.25">
      <c r="A44" s="158" t="str">
        <f>head27a</f>
        <v>References</v>
      </c>
      <c r="B44" s="121"/>
      <c r="C44" s="510"/>
      <c r="D44" s="510"/>
      <c r="E44" s="510"/>
      <c r="F44" s="510"/>
      <c r="G44" s="510"/>
      <c r="H44" s="510"/>
      <c r="I44" s="510"/>
      <c r="J44" s="510"/>
      <c r="K44" s="510"/>
      <c r="L44" s="510"/>
      <c r="M44" s="510"/>
    </row>
    <row r="45" spans="1:13" ht="12.75" customHeight="1" x14ac:dyDescent="0.25">
      <c r="A45" s="99" t="s">
        <v>565</v>
      </c>
      <c r="B45" s="93"/>
      <c r="C45" s="96"/>
      <c r="D45" s="96"/>
      <c r="E45" s="96"/>
      <c r="F45" s="96"/>
      <c r="G45" s="96"/>
      <c r="H45" s="96"/>
      <c r="I45" s="96"/>
      <c r="J45" s="96"/>
      <c r="K45" s="96"/>
      <c r="L45" s="96"/>
      <c r="M45" s="96"/>
    </row>
    <row r="46" spans="1:13" ht="12.75" customHeight="1" x14ac:dyDescent="0.25">
      <c r="A46" s="99" t="s">
        <v>566</v>
      </c>
      <c r="B46" s="93"/>
      <c r="C46" s="96"/>
      <c r="D46" s="96"/>
      <c r="E46" s="96"/>
      <c r="F46" s="96"/>
      <c r="G46" s="96"/>
      <c r="H46" s="96"/>
      <c r="I46" s="96"/>
      <c r="J46" s="96"/>
      <c r="K46" s="96"/>
      <c r="L46" s="96"/>
      <c r="M46" s="96"/>
    </row>
    <row r="47" spans="1:13" ht="12.75" customHeight="1" x14ac:dyDescent="0.25">
      <c r="A47" s="1314" t="s">
        <v>1099</v>
      </c>
      <c r="B47" s="1314"/>
      <c r="C47" s="1314"/>
      <c r="D47" s="1314"/>
      <c r="E47" s="1314"/>
      <c r="F47" s="1314"/>
      <c r="G47" s="1314"/>
      <c r="H47" s="1314"/>
      <c r="I47" s="1314"/>
      <c r="J47" s="1314"/>
      <c r="K47" s="1314"/>
      <c r="L47" s="1314"/>
      <c r="M47" s="1314"/>
    </row>
    <row r="48" spans="1:13" ht="12.75" customHeight="1" x14ac:dyDescent="0.25">
      <c r="A48" s="1314" t="s">
        <v>567</v>
      </c>
      <c r="B48" s="1314"/>
      <c r="C48" s="1314"/>
      <c r="D48" s="1314"/>
      <c r="E48" s="1314"/>
      <c r="F48" s="1314"/>
      <c r="G48" s="1314"/>
      <c r="H48" s="1314"/>
      <c r="I48" s="1314"/>
      <c r="J48" s="1314"/>
      <c r="K48" s="1314"/>
      <c r="L48" s="1314"/>
      <c r="M48" s="1314"/>
    </row>
    <row r="49" spans="1:13" ht="12.75" customHeight="1" x14ac:dyDescent="0.25">
      <c r="A49" s="1314" t="s">
        <v>568</v>
      </c>
      <c r="B49" s="1314"/>
      <c r="C49" s="1314"/>
      <c r="D49" s="1314"/>
      <c r="E49" s="1314"/>
      <c r="F49" s="1314"/>
      <c r="G49" s="1314"/>
      <c r="H49" s="1314"/>
      <c r="I49" s="1314"/>
      <c r="J49" s="1314"/>
      <c r="K49" s="1314"/>
      <c r="L49" s="1314"/>
      <c r="M49" s="1314"/>
    </row>
    <row r="50" spans="1:13" ht="12.75" customHeight="1" x14ac:dyDescent="0.25">
      <c r="A50" s="1314" t="s">
        <v>569</v>
      </c>
      <c r="B50" s="1314"/>
      <c r="C50" s="1314"/>
      <c r="D50" s="1314"/>
      <c r="E50" s="1314"/>
      <c r="F50" s="1314"/>
      <c r="G50" s="1314"/>
      <c r="H50" s="1314"/>
      <c r="I50" s="1314"/>
      <c r="J50" s="1314"/>
      <c r="K50" s="1314"/>
      <c r="L50" s="1314"/>
      <c r="M50" s="1314"/>
    </row>
    <row r="51" spans="1:13" ht="12.75" customHeight="1" x14ac:dyDescent="0.25">
      <c r="A51" s="95" t="s">
        <v>570</v>
      </c>
      <c r="B51" s="93"/>
      <c r="C51" s="96"/>
      <c r="D51" s="96"/>
      <c r="E51" s="96"/>
      <c r="F51" s="96"/>
      <c r="G51" s="96"/>
      <c r="H51" s="96"/>
      <c r="I51" s="96"/>
      <c r="J51" s="96"/>
      <c r="K51" s="96"/>
      <c r="L51" s="96"/>
      <c r="M51" s="96"/>
    </row>
    <row r="52" spans="1:13" ht="12.75" customHeight="1" x14ac:dyDescent="0.25">
      <c r="A52" s="99" t="s">
        <v>571</v>
      </c>
      <c r="B52" s="93"/>
      <c r="C52" s="96"/>
      <c r="D52" s="96"/>
      <c r="E52" s="96"/>
      <c r="F52" s="96"/>
      <c r="G52" s="96"/>
      <c r="H52" s="96"/>
      <c r="I52" s="96"/>
      <c r="J52" s="96"/>
      <c r="K52" s="96"/>
      <c r="L52" s="96"/>
      <c r="M52" s="96"/>
    </row>
    <row r="53" spans="1:13" ht="12.75" customHeight="1" x14ac:dyDescent="0.25">
      <c r="A53" s="1314" t="s">
        <v>572</v>
      </c>
      <c r="B53" s="1314"/>
      <c r="C53" s="1314"/>
      <c r="D53" s="1314"/>
      <c r="E53" s="1314"/>
      <c r="F53" s="1314"/>
      <c r="G53" s="1314"/>
      <c r="H53" s="1314"/>
      <c r="I53" s="1314"/>
      <c r="J53" s="1314"/>
      <c r="K53" s="1314"/>
      <c r="L53" s="1314"/>
      <c r="M53" s="1314"/>
    </row>
    <row r="54" spans="1:13" ht="12.75" customHeight="1" x14ac:dyDescent="0.25">
      <c r="A54" s="99" t="s">
        <v>573</v>
      </c>
      <c r="B54" s="93"/>
      <c r="C54" s="96"/>
      <c r="D54" s="96"/>
      <c r="E54" s="96"/>
      <c r="F54" s="96"/>
      <c r="G54" s="96"/>
      <c r="H54" s="96"/>
      <c r="I54" s="96"/>
      <c r="J54" s="96"/>
      <c r="K54" s="96"/>
      <c r="L54" s="96"/>
      <c r="M54" s="96"/>
    </row>
    <row r="55" spans="1:13" ht="12.75" customHeight="1" x14ac:dyDescent="0.25">
      <c r="A55" s="100" t="s">
        <v>574</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57" zoomScaleNormal="100" workbookViewId="0">
      <selection activeCell="C57" sqref="C57"/>
    </sheetView>
  </sheetViews>
  <sheetFormatPr defaultRowHeight="11.25" x14ac:dyDescent="0.2"/>
  <cols>
    <col min="1" max="1" width="37.5703125" style="955" customWidth="1"/>
    <col min="2" max="2" width="7.7109375" style="963" customWidth="1"/>
    <col min="3" max="3" width="47.85546875" style="964" customWidth="1"/>
    <col min="4" max="4" width="20" style="955" hidden="1" customWidth="1"/>
    <col min="5" max="5" width="43.42578125" style="955" customWidth="1"/>
    <col min="6" max="16384" width="9.140625" style="955"/>
  </cols>
  <sheetData>
    <row r="1" spans="1:5" ht="35.25" customHeight="1" x14ac:dyDescent="0.2">
      <c r="A1" s="952" t="s">
        <v>1472</v>
      </c>
      <c r="B1" s="953"/>
      <c r="C1" s="954" t="s">
        <v>1473</v>
      </c>
      <c r="E1" s="952" t="s">
        <v>1474</v>
      </c>
    </row>
    <row r="2" spans="1:5" x14ac:dyDescent="0.2">
      <c r="A2" s="955" t="str">
        <f>B2&amp;" - "&amp;C2</f>
        <v>Vote 1 - COUNCIL</v>
      </c>
      <c r="B2" s="956" t="s">
        <v>727</v>
      </c>
      <c r="C2" s="957" t="s">
        <v>1671</v>
      </c>
      <c r="E2" s="958"/>
    </row>
    <row r="3" spans="1:5" x14ac:dyDescent="0.2">
      <c r="A3" s="955" t="str">
        <f>B13&amp;" - "&amp; C13</f>
        <v>Vote 2 - Office of the Municipal Manger</v>
      </c>
      <c r="B3" s="959">
        <v>1.1000000000000001</v>
      </c>
      <c r="C3" s="960" t="s">
        <v>1672</v>
      </c>
      <c r="D3" s="955" t="str">
        <f t="shared" ref="D3:D12" si="0">CONCATENATE(B3, " - ", C3)</f>
        <v>1.1 - Council</v>
      </c>
      <c r="E3" s="960" t="s">
        <v>1672</v>
      </c>
    </row>
    <row r="4" spans="1:5" x14ac:dyDescent="0.2">
      <c r="A4" s="955" t="str">
        <f>B24&amp;" - "&amp;C24</f>
        <v>Vote 3 - Strategic Planning Monitoring and Evaluation</v>
      </c>
      <c r="B4" s="959">
        <v>1.2</v>
      </c>
      <c r="C4" s="960" t="s">
        <v>1673</v>
      </c>
      <c r="D4" s="955" t="str">
        <f t="shared" si="0"/>
        <v>1.2 - Office of executive Mayor</v>
      </c>
      <c r="E4" s="960" t="s">
        <v>1673</v>
      </c>
    </row>
    <row r="5" spans="1:5" x14ac:dyDescent="0.2">
      <c r="A5" s="955" t="str">
        <f>B35&amp;" - "&amp;C35</f>
        <v>Vote 4 - Engineering Services</v>
      </c>
      <c r="B5" s="959">
        <v>1.3</v>
      </c>
      <c r="C5" s="960" t="s">
        <v>1674</v>
      </c>
      <c r="D5" s="955" t="str">
        <f t="shared" si="0"/>
        <v>1.3 - Office of Speaker</v>
      </c>
      <c r="E5" s="960" t="s">
        <v>1674</v>
      </c>
    </row>
    <row r="6" spans="1:5" x14ac:dyDescent="0.2">
      <c r="A6" s="955" t="str">
        <f>B46&amp;" - "&amp;C46</f>
        <v>Vote 5 -  Community Services</v>
      </c>
      <c r="B6" s="959">
        <v>1.4</v>
      </c>
      <c r="C6" s="960" t="s">
        <v>1675</v>
      </c>
      <c r="D6" s="955" t="str">
        <f t="shared" si="0"/>
        <v>1.4 - Office of Chief Whip</v>
      </c>
      <c r="E6" s="960" t="s">
        <v>1675</v>
      </c>
    </row>
    <row r="7" spans="1:5" x14ac:dyDescent="0.2">
      <c r="A7" s="955" t="str">
        <f>B57&amp;" - "&amp;C57</f>
        <v>Vote 6 - Community Development</v>
      </c>
      <c r="B7" s="959">
        <v>1.5</v>
      </c>
      <c r="C7" s="960"/>
      <c r="D7" s="955" t="str">
        <f t="shared" si="0"/>
        <v xml:space="preserve">1,5 - </v>
      </c>
      <c r="E7" s="961"/>
    </row>
    <row r="8" spans="1:5" x14ac:dyDescent="0.2">
      <c r="A8" s="955" t="str">
        <f>B68&amp;" - "&amp;C68</f>
        <v>Vote 7 - Corporate  and Shared Services</v>
      </c>
      <c r="B8" s="959">
        <v>1.6</v>
      </c>
      <c r="C8" s="960"/>
      <c r="D8" s="955" t="str">
        <f t="shared" si="0"/>
        <v xml:space="preserve">1,6 - </v>
      </c>
      <c r="E8" s="961"/>
    </row>
    <row r="9" spans="1:5" x14ac:dyDescent="0.2">
      <c r="A9" s="955" t="str">
        <f>B79&amp;" - "&amp;C79</f>
        <v>Vote 8 - Planning and Economic Development</v>
      </c>
      <c r="B9" s="959">
        <v>1.7</v>
      </c>
      <c r="C9" s="960"/>
      <c r="D9" s="955" t="str">
        <f t="shared" si="0"/>
        <v xml:space="preserve">1,7 - </v>
      </c>
      <c r="E9" s="961"/>
    </row>
    <row r="10" spans="1:5" x14ac:dyDescent="0.2">
      <c r="A10" s="955" t="str">
        <f>B90&amp;" - "&amp;C90</f>
        <v>Vote 9 - Budget and Treasury</v>
      </c>
      <c r="B10" s="959">
        <v>1.8</v>
      </c>
      <c r="C10" s="960"/>
      <c r="D10" s="955" t="str">
        <f t="shared" si="0"/>
        <v xml:space="preserve">1,8 - </v>
      </c>
      <c r="E10" s="961"/>
    </row>
    <row r="11" spans="1:5" x14ac:dyDescent="0.2">
      <c r="A11" s="955" t="str">
        <f>B101&amp;" - "&amp;C101</f>
        <v>Vote 10 - Transport Operations</v>
      </c>
      <c r="B11" s="959">
        <v>1.9</v>
      </c>
      <c r="C11" s="960"/>
      <c r="D11" s="955" t="str">
        <f t="shared" si="0"/>
        <v xml:space="preserve">1,9 - </v>
      </c>
      <c r="E11" s="961"/>
    </row>
    <row r="12" spans="1:5" x14ac:dyDescent="0.2">
      <c r="A12" s="955" t="str">
        <f>B112&amp;" - "&amp;C112</f>
        <v>Vote 11 - [NAME OF VOTE 11]</v>
      </c>
      <c r="B12" s="959" t="s">
        <v>1476</v>
      </c>
      <c r="C12" s="960"/>
      <c r="D12" s="955" t="str">
        <f t="shared" si="0"/>
        <v xml:space="preserve">1.10 - </v>
      </c>
      <c r="E12" s="961"/>
    </row>
    <row r="13" spans="1:5" x14ac:dyDescent="0.2">
      <c r="A13" s="955" t="str">
        <f>B123&amp;" - "&amp;C123</f>
        <v>Vote 12 - [NAME OF VOTE 12]</v>
      </c>
      <c r="B13" s="956" t="s">
        <v>728</v>
      </c>
      <c r="C13" s="957" t="s">
        <v>1676</v>
      </c>
      <c r="E13" s="958"/>
    </row>
    <row r="14" spans="1:5" x14ac:dyDescent="0.2">
      <c r="A14" s="955" t="str">
        <f>B134&amp;" - "&amp;C134</f>
        <v>Vote 13 - [NAME OF VOTE 13]</v>
      </c>
      <c r="B14" s="959">
        <v>2.1</v>
      </c>
      <c r="C14" s="960" t="s">
        <v>1677</v>
      </c>
      <c r="D14" s="955" t="str">
        <f t="shared" ref="D14:D23" si="1">CONCATENATE(B14, " - ", C14)</f>
        <v>2,1 - Office of the Municipal Manager</v>
      </c>
      <c r="E14" s="961" t="s">
        <v>1738</v>
      </c>
    </row>
    <row r="15" spans="1:5" x14ac:dyDescent="0.2">
      <c r="A15" s="955" t="str">
        <f>B145&amp;" - "&amp;C145</f>
        <v>Vote 14 - [NAME OF VOTE 14]</v>
      </c>
      <c r="B15" s="959">
        <v>2.2000000000000002</v>
      </c>
      <c r="C15" s="960" t="s">
        <v>1678</v>
      </c>
      <c r="D15" s="955" t="str">
        <f t="shared" si="1"/>
        <v>2,2 - Communications and Marketing</v>
      </c>
      <c r="E15" s="961" t="s">
        <v>1739</v>
      </c>
    </row>
    <row r="16" spans="1:5" x14ac:dyDescent="0.2">
      <c r="A16" s="955" t="str">
        <f>B156&amp;" - "&amp;C156</f>
        <v>Vote 15 - [NAME OF VOTE 15]</v>
      </c>
      <c r="B16" s="959">
        <v>2.2999999999999998</v>
      </c>
      <c r="C16" s="960" t="s">
        <v>1681</v>
      </c>
      <c r="D16" s="955" t="str">
        <f t="shared" si="1"/>
        <v>2,3 - Risk Management</v>
      </c>
      <c r="E16" s="961" t="s">
        <v>1740</v>
      </c>
    </row>
    <row r="17" spans="1:5" x14ac:dyDescent="0.2">
      <c r="B17" s="959">
        <v>2.4</v>
      </c>
      <c r="C17" s="960" t="s">
        <v>1682</v>
      </c>
      <c r="D17" s="955" t="str">
        <f t="shared" si="1"/>
        <v>2,4 - Internal Audit</v>
      </c>
      <c r="E17" s="961" t="s">
        <v>1741</v>
      </c>
    </row>
    <row r="18" spans="1:5" x14ac:dyDescent="0.2">
      <c r="B18" s="959">
        <v>2.5</v>
      </c>
      <c r="C18" s="960"/>
      <c r="D18" s="955" t="str">
        <f t="shared" si="1"/>
        <v xml:space="preserve">2,5 - </v>
      </c>
      <c r="E18" s="961"/>
    </row>
    <row r="19" spans="1:5" x14ac:dyDescent="0.2">
      <c r="B19" s="959">
        <v>2.6</v>
      </c>
      <c r="C19" s="960"/>
      <c r="D19" s="955" t="str">
        <f t="shared" si="1"/>
        <v xml:space="preserve">2,6 - </v>
      </c>
      <c r="E19" s="961"/>
    </row>
    <row r="20" spans="1:5" x14ac:dyDescent="0.2">
      <c r="B20" s="959">
        <v>2.7</v>
      </c>
      <c r="C20" s="960"/>
      <c r="D20" s="955" t="str">
        <f t="shared" si="1"/>
        <v xml:space="preserve">2,7 - </v>
      </c>
      <c r="E20" s="961"/>
    </row>
    <row r="21" spans="1:5" x14ac:dyDescent="0.2">
      <c r="A21" s="958"/>
      <c r="B21" s="959">
        <v>2.8</v>
      </c>
      <c r="C21" s="960"/>
      <c r="D21" s="955" t="str">
        <f t="shared" si="1"/>
        <v xml:space="preserve">2,8 - </v>
      </c>
      <c r="E21" s="961"/>
    </row>
    <row r="22" spans="1:5" x14ac:dyDescent="0.2">
      <c r="B22" s="959">
        <v>2.9</v>
      </c>
      <c r="C22" s="960"/>
      <c r="D22" s="955" t="str">
        <f t="shared" si="1"/>
        <v xml:space="preserve">2,9 - </v>
      </c>
      <c r="E22" s="961"/>
    </row>
    <row r="23" spans="1:5" x14ac:dyDescent="0.2">
      <c r="B23" s="959" t="s">
        <v>1477</v>
      </c>
      <c r="C23" s="960"/>
      <c r="D23" s="955" t="str">
        <f t="shared" si="1"/>
        <v xml:space="preserve">2.10 - </v>
      </c>
      <c r="E23" s="961"/>
    </row>
    <row r="24" spans="1:5" x14ac:dyDescent="0.2">
      <c r="B24" s="956" t="s">
        <v>729</v>
      </c>
      <c r="C24" s="957" t="s">
        <v>1679</v>
      </c>
      <c r="E24" s="961"/>
    </row>
    <row r="25" spans="1:5" x14ac:dyDescent="0.2">
      <c r="B25" s="959">
        <v>3.1</v>
      </c>
      <c r="C25" s="960" t="s">
        <v>1680</v>
      </c>
      <c r="D25" s="955" t="str">
        <f t="shared" ref="D25:D34" si="2">CONCATENATE(B25, " - ", C25)</f>
        <v>3.1 - Director Strategic Planning Monitoring and Evaluation</v>
      </c>
      <c r="E25" s="961" t="s">
        <v>1742</v>
      </c>
    </row>
    <row r="26" spans="1:5" x14ac:dyDescent="0.2">
      <c r="B26" s="959">
        <v>3.2</v>
      </c>
      <c r="C26" s="960" t="s">
        <v>1681</v>
      </c>
      <c r="D26" s="955" t="str">
        <f t="shared" si="2"/>
        <v>3.2 - Risk Management</v>
      </c>
      <c r="E26" s="961" t="s">
        <v>1743</v>
      </c>
    </row>
    <row r="27" spans="1:5" x14ac:dyDescent="0.2">
      <c r="B27" s="959">
        <v>3.3</v>
      </c>
      <c r="C27" s="960" t="s">
        <v>1682</v>
      </c>
      <c r="D27" s="955" t="str">
        <f t="shared" si="2"/>
        <v>3.3 - Internal Audit</v>
      </c>
      <c r="E27" s="961" t="s">
        <v>1744</v>
      </c>
    </row>
    <row r="28" spans="1:5" x14ac:dyDescent="0.2">
      <c r="B28" s="959">
        <v>3.4</v>
      </c>
      <c r="C28" s="960" t="s">
        <v>1683</v>
      </c>
      <c r="D28" s="955" t="str">
        <f t="shared" si="2"/>
        <v>3.4 - Project Management</v>
      </c>
      <c r="E28" s="961" t="s">
        <v>1745</v>
      </c>
    </row>
    <row r="29" spans="1:5" x14ac:dyDescent="0.2">
      <c r="B29" s="959">
        <v>3.5</v>
      </c>
      <c r="C29" s="960" t="s">
        <v>1684</v>
      </c>
      <c r="D29" s="955" t="str">
        <f t="shared" si="2"/>
        <v>3.5 - Perfomance Management</v>
      </c>
      <c r="E29" s="961" t="s">
        <v>1746</v>
      </c>
    </row>
    <row r="30" spans="1:5" x14ac:dyDescent="0.2">
      <c r="B30" s="959">
        <v>3.6</v>
      </c>
      <c r="C30" s="960" t="s">
        <v>1685</v>
      </c>
      <c r="D30" s="955" t="str">
        <f t="shared" si="2"/>
        <v>3.6 - IDP</v>
      </c>
      <c r="E30" s="961" t="s">
        <v>1747</v>
      </c>
    </row>
    <row r="31" spans="1:5" x14ac:dyDescent="0.2">
      <c r="B31" s="959">
        <v>3.7</v>
      </c>
      <c r="C31" s="960" t="s">
        <v>1686</v>
      </c>
      <c r="D31" s="955" t="str">
        <f t="shared" si="2"/>
        <v>3.7 - Cluster Offices</v>
      </c>
      <c r="E31" s="961" t="s">
        <v>1748</v>
      </c>
    </row>
    <row r="32" spans="1:5" x14ac:dyDescent="0.2">
      <c r="B32" s="959">
        <v>3.8</v>
      </c>
      <c r="C32" s="960" t="s">
        <v>1475</v>
      </c>
      <c r="D32" s="955" t="str">
        <f t="shared" si="2"/>
        <v>3,8 - [Name of sub-vote]</v>
      </c>
      <c r="E32" s="961"/>
    </row>
    <row r="33" spans="2:5" x14ac:dyDescent="0.2">
      <c r="B33" s="959">
        <v>3.9</v>
      </c>
      <c r="C33" s="960" t="s">
        <v>1475</v>
      </c>
      <c r="D33" s="955" t="str">
        <f t="shared" si="2"/>
        <v>3,9 - [Name of sub-vote]</v>
      </c>
      <c r="E33" s="961"/>
    </row>
    <row r="34" spans="2:5" x14ac:dyDescent="0.2">
      <c r="B34" s="959" t="s">
        <v>1478</v>
      </c>
      <c r="C34" s="960" t="s">
        <v>1475</v>
      </c>
      <c r="D34" s="955" t="str">
        <f t="shared" si="2"/>
        <v>3.10 - [Name of sub-vote]</v>
      </c>
      <c r="E34" s="961"/>
    </row>
    <row r="35" spans="2:5" x14ac:dyDescent="0.2">
      <c r="B35" s="956" t="s">
        <v>730</v>
      </c>
      <c r="C35" s="957" t="s">
        <v>1687</v>
      </c>
      <c r="E35" s="961"/>
    </row>
    <row r="36" spans="2:5" x14ac:dyDescent="0.2">
      <c r="B36" s="959">
        <v>4.0999999999999996</v>
      </c>
      <c r="C36" s="960" t="s">
        <v>1688</v>
      </c>
      <c r="D36" s="955" t="str">
        <f t="shared" ref="D36:D45" si="3">CONCATENATE(B36, " - ", C36)</f>
        <v>4.1 - Roads and streets</v>
      </c>
      <c r="E36" s="961" t="s">
        <v>1751</v>
      </c>
    </row>
    <row r="37" spans="2:5" x14ac:dyDescent="0.2">
      <c r="B37" s="959">
        <v>4.2</v>
      </c>
      <c r="C37" s="960" t="s">
        <v>1689</v>
      </c>
      <c r="D37" s="955" t="str">
        <f t="shared" si="3"/>
        <v>4.2 - Stormwater</v>
      </c>
      <c r="E37" s="961" t="s">
        <v>1749</v>
      </c>
    </row>
    <row r="38" spans="2:5" x14ac:dyDescent="0.2">
      <c r="B38" s="959">
        <v>4.3</v>
      </c>
      <c r="C38" s="960" t="s">
        <v>1690</v>
      </c>
      <c r="D38" s="955" t="str">
        <f t="shared" si="3"/>
        <v>4.3 - Sewer Purification</v>
      </c>
      <c r="E38" s="961" t="s">
        <v>1752</v>
      </c>
    </row>
    <row r="39" spans="2:5" x14ac:dyDescent="0.2">
      <c r="B39" s="959">
        <v>4.4000000000000004</v>
      </c>
      <c r="C39" s="960" t="s">
        <v>1691</v>
      </c>
      <c r="D39" s="955" t="str">
        <f t="shared" si="3"/>
        <v>4.4 - Sewer Reticulation</v>
      </c>
      <c r="E39" s="961" t="s">
        <v>1750</v>
      </c>
    </row>
    <row r="40" spans="2:5" x14ac:dyDescent="0.2">
      <c r="B40" s="959">
        <v>4.5</v>
      </c>
      <c r="C40" s="960" t="s">
        <v>1135</v>
      </c>
      <c r="D40" s="955" t="str">
        <f t="shared" si="3"/>
        <v>4.5 - Water Distribution</v>
      </c>
      <c r="E40" s="961" t="s">
        <v>1753</v>
      </c>
    </row>
    <row r="41" spans="2:5" x14ac:dyDescent="0.2">
      <c r="B41" s="959">
        <v>4.5999999999999996</v>
      </c>
      <c r="C41" s="960" t="s">
        <v>1692</v>
      </c>
      <c r="D41" s="955" t="str">
        <f t="shared" si="3"/>
        <v>4.6 - Water Purification</v>
      </c>
      <c r="E41" s="961" t="s">
        <v>1754</v>
      </c>
    </row>
    <row r="42" spans="2:5" x14ac:dyDescent="0.2">
      <c r="B42" s="959">
        <v>4.7</v>
      </c>
      <c r="C42" s="960" t="s">
        <v>1693</v>
      </c>
      <c r="D42" s="955" t="str">
        <f t="shared" si="3"/>
        <v>4.7 - Water Provision</v>
      </c>
      <c r="E42" s="961" t="s">
        <v>1755</v>
      </c>
    </row>
    <row r="43" spans="2:5" x14ac:dyDescent="0.2">
      <c r="B43" s="959">
        <v>4.8</v>
      </c>
      <c r="C43" s="960" t="s">
        <v>1694</v>
      </c>
      <c r="D43" s="955" t="str">
        <f t="shared" si="3"/>
        <v>4.8 - Electrical Workshop</v>
      </c>
      <c r="E43" s="961" t="s">
        <v>1756</v>
      </c>
    </row>
    <row r="44" spans="2:5" x14ac:dyDescent="0.2">
      <c r="B44" s="959">
        <v>4.9000000000000004</v>
      </c>
      <c r="C44" s="960" t="s">
        <v>1133</v>
      </c>
      <c r="D44" s="955" t="str">
        <f t="shared" si="3"/>
        <v>4.9 - Electricity Distribution</v>
      </c>
      <c r="E44" s="961" t="s">
        <v>1757</v>
      </c>
    </row>
    <row r="45" spans="2:5" x14ac:dyDescent="0.2">
      <c r="B45" s="959" t="s">
        <v>1479</v>
      </c>
      <c r="C45" s="960" t="s">
        <v>1695</v>
      </c>
      <c r="D45" s="955" t="str">
        <f t="shared" si="3"/>
        <v>4.10 - Other Engineering services</v>
      </c>
      <c r="E45" s="961" t="s">
        <v>1778</v>
      </c>
    </row>
    <row r="46" spans="2:5" x14ac:dyDescent="0.2">
      <c r="B46" s="956" t="s">
        <v>731</v>
      </c>
      <c r="C46" s="957" t="s">
        <v>1696</v>
      </c>
      <c r="E46" s="961"/>
    </row>
    <row r="47" spans="2:5" x14ac:dyDescent="0.2">
      <c r="B47" s="959">
        <v>5.0999999999999996</v>
      </c>
      <c r="C47" s="960" t="s">
        <v>268</v>
      </c>
      <c r="D47" s="955" t="str">
        <f t="shared" ref="D47:D56" si="4">CONCATENATE(B47, " - ", C47)</f>
        <v>5.1 - Sport and Recreation</v>
      </c>
      <c r="E47" s="961" t="s">
        <v>1758</v>
      </c>
    </row>
    <row r="48" spans="2:5" x14ac:dyDescent="0.2">
      <c r="B48" s="959">
        <v>5.2</v>
      </c>
      <c r="C48" s="960" t="s">
        <v>1697</v>
      </c>
      <c r="D48" s="955" t="str">
        <f t="shared" si="4"/>
        <v>5.2 - Swimming Pools</v>
      </c>
      <c r="E48" s="961" t="s">
        <v>1759</v>
      </c>
    </row>
    <row r="49" spans="2:5" x14ac:dyDescent="0.2">
      <c r="B49" s="959">
        <v>5.3</v>
      </c>
      <c r="C49" s="960" t="s">
        <v>1698</v>
      </c>
      <c r="D49" s="955" t="str">
        <f t="shared" si="4"/>
        <v>5.3 - Facility commercialization</v>
      </c>
      <c r="E49" s="961" t="s">
        <v>1760</v>
      </c>
    </row>
    <row r="50" spans="2:5" x14ac:dyDescent="0.2">
      <c r="B50" s="959">
        <v>5.4</v>
      </c>
      <c r="C50" s="960" t="s">
        <v>1652</v>
      </c>
      <c r="D50" s="955" t="str">
        <f t="shared" si="4"/>
        <v>5.4 - Civic Centre</v>
      </c>
      <c r="E50" s="961" t="s">
        <v>1761</v>
      </c>
    </row>
    <row r="51" spans="2:5" x14ac:dyDescent="0.2">
      <c r="B51" s="959">
        <v>5.5</v>
      </c>
      <c r="C51" s="960" t="s">
        <v>1139</v>
      </c>
      <c r="D51" s="955" t="str">
        <f t="shared" si="4"/>
        <v>5.5 - Public Toilets</v>
      </c>
      <c r="E51" s="961" t="s">
        <v>1762</v>
      </c>
    </row>
    <row r="52" spans="2:5" x14ac:dyDescent="0.2">
      <c r="B52" s="959">
        <v>5.6</v>
      </c>
      <c r="C52" s="960" t="s">
        <v>1699</v>
      </c>
      <c r="D52" s="955" t="str">
        <f t="shared" si="4"/>
        <v>5.6 - Community centres</v>
      </c>
      <c r="E52" s="961" t="s">
        <v>1763</v>
      </c>
    </row>
    <row r="53" spans="2:5" x14ac:dyDescent="0.2">
      <c r="B53" s="959">
        <v>5.7</v>
      </c>
      <c r="C53" s="960" t="s">
        <v>1700</v>
      </c>
      <c r="D53" s="955" t="str">
        <f t="shared" si="4"/>
        <v>5.7 - Art Museum</v>
      </c>
      <c r="E53" s="961" t="s">
        <v>1764</v>
      </c>
    </row>
    <row r="54" spans="2:5" x14ac:dyDescent="0.2">
      <c r="B54" s="959">
        <v>5.8</v>
      </c>
      <c r="C54" s="960" t="s">
        <v>504</v>
      </c>
      <c r="D54" s="955" t="str">
        <f t="shared" si="4"/>
        <v>5.8 - Libraries</v>
      </c>
      <c r="E54" s="961" t="s">
        <v>1765</v>
      </c>
    </row>
    <row r="55" spans="2:5" x14ac:dyDescent="0.2">
      <c r="B55" s="959">
        <v>5.9</v>
      </c>
      <c r="C55" s="960" t="s">
        <v>1735</v>
      </c>
      <c r="D55" s="955" t="str">
        <f t="shared" si="4"/>
        <v>5.9 - Museums</v>
      </c>
      <c r="E55" s="961" t="s">
        <v>1766</v>
      </c>
    </row>
    <row r="56" spans="2:5" x14ac:dyDescent="0.2">
      <c r="B56" s="959" t="s">
        <v>1480</v>
      </c>
      <c r="C56" s="960" t="s">
        <v>1702</v>
      </c>
      <c r="D56" s="955" t="str">
        <f t="shared" si="4"/>
        <v>5.10 - Other Community Development</v>
      </c>
      <c r="E56" s="961" t="s">
        <v>1767</v>
      </c>
    </row>
    <row r="57" spans="2:5" x14ac:dyDescent="0.2">
      <c r="B57" s="956" t="s">
        <v>732</v>
      </c>
      <c r="C57" s="957" t="s">
        <v>1701</v>
      </c>
      <c r="E57" s="961"/>
    </row>
    <row r="58" spans="2:5" x14ac:dyDescent="0.2">
      <c r="B58" s="959">
        <v>6.1</v>
      </c>
      <c r="C58" s="960" t="s">
        <v>1703</v>
      </c>
      <c r="D58" s="955" t="str">
        <f t="shared" ref="D58:D67" si="5">CONCATENATE(B58, " - ", C58)</f>
        <v>6.1 - Information Services</v>
      </c>
      <c r="E58" s="961" t="s">
        <v>1768</v>
      </c>
    </row>
    <row r="59" spans="2:5" x14ac:dyDescent="0.2">
      <c r="B59" s="959">
        <v>6.2</v>
      </c>
      <c r="C59" s="960" t="s">
        <v>1704</v>
      </c>
      <c r="D59" s="955" t="str">
        <f t="shared" si="5"/>
        <v>6.2 - Organisational Development</v>
      </c>
      <c r="E59" s="961" t="s">
        <v>1769</v>
      </c>
    </row>
    <row r="60" spans="2:5" x14ac:dyDescent="0.2">
      <c r="B60" s="959">
        <v>6.3</v>
      </c>
      <c r="C60" s="960" t="s">
        <v>1705</v>
      </c>
      <c r="D60" s="955" t="str">
        <f t="shared" si="5"/>
        <v>6.3 - Personnel</v>
      </c>
      <c r="E60" s="961" t="s">
        <v>1770</v>
      </c>
    </row>
    <row r="61" spans="2:5" x14ac:dyDescent="0.2">
      <c r="B61" s="959">
        <v>6.4</v>
      </c>
      <c r="C61" s="960" t="s">
        <v>1706</v>
      </c>
      <c r="D61" s="955" t="str">
        <f t="shared" si="5"/>
        <v>6.4 - Training and Skills Development</v>
      </c>
      <c r="E61" s="961" t="s">
        <v>1771</v>
      </c>
    </row>
    <row r="62" spans="2:5" x14ac:dyDescent="0.2">
      <c r="B62" s="959">
        <v>6.5</v>
      </c>
      <c r="C62" s="960" t="s">
        <v>1707</v>
      </c>
      <c r="D62" s="955" t="str">
        <f t="shared" si="5"/>
        <v>6.5 - Occupational Health and Safety</v>
      </c>
      <c r="E62" s="961" t="s">
        <v>1772</v>
      </c>
    </row>
    <row r="63" spans="2:5" x14ac:dyDescent="0.2">
      <c r="B63" s="959">
        <v>6.6</v>
      </c>
      <c r="C63" s="960" t="s">
        <v>1708</v>
      </c>
      <c r="D63" s="955" t="str">
        <f t="shared" si="5"/>
        <v>6.6 - Legal Services</v>
      </c>
      <c r="E63" s="961" t="s">
        <v>1773</v>
      </c>
    </row>
    <row r="64" spans="2:5" x14ac:dyDescent="0.2">
      <c r="B64" s="959">
        <v>6.7</v>
      </c>
      <c r="C64" s="960" t="s">
        <v>1709</v>
      </c>
      <c r="D64" s="955" t="str">
        <f t="shared" si="5"/>
        <v>6.7 - Secretariat</v>
      </c>
      <c r="E64" s="961" t="s">
        <v>1774</v>
      </c>
    </row>
    <row r="65" spans="2:5" x14ac:dyDescent="0.2">
      <c r="B65" s="959">
        <v>6.8</v>
      </c>
      <c r="C65" s="960" t="s">
        <v>1736</v>
      </c>
      <c r="D65" s="955" t="str">
        <f t="shared" si="5"/>
        <v>6.8 - Mechanical Workshop</v>
      </c>
      <c r="E65" s="961" t="s">
        <v>1775</v>
      </c>
    </row>
    <row r="66" spans="2:5" x14ac:dyDescent="0.2">
      <c r="B66" s="959">
        <v>6.9</v>
      </c>
      <c r="C66" s="960" t="s">
        <v>1711</v>
      </c>
      <c r="D66" s="955" t="str">
        <f t="shared" si="5"/>
        <v>6.9 - Fleet Management</v>
      </c>
      <c r="E66" s="961" t="s">
        <v>1776</v>
      </c>
    </row>
    <row r="67" spans="2:5" x14ac:dyDescent="0.2">
      <c r="B67" s="959" t="s">
        <v>1481</v>
      </c>
      <c r="C67" s="960" t="s">
        <v>1712</v>
      </c>
      <c r="D67" s="955" t="str">
        <f t="shared" si="5"/>
        <v>6.10 - Other Corporate and Shared services</v>
      </c>
      <c r="E67" s="961" t="s">
        <v>1777</v>
      </c>
    </row>
    <row r="68" spans="2:5" x14ac:dyDescent="0.2">
      <c r="B68" s="962" t="s">
        <v>733</v>
      </c>
      <c r="C68" s="957" t="s">
        <v>1710</v>
      </c>
      <c r="E68" s="961"/>
    </row>
    <row r="69" spans="2:5" x14ac:dyDescent="0.2">
      <c r="B69" s="959">
        <v>7.1</v>
      </c>
      <c r="C69" s="960" t="s">
        <v>1703</v>
      </c>
      <c r="D69" s="955" t="str">
        <f t="shared" ref="D69:D78" si="6">CONCATENATE(B69, " - ", C69)</f>
        <v>7.1 - Information Services</v>
      </c>
      <c r="E69" s="961" t="s">
        <v>1779</v>
      </c>
    </row>
    <row r="70" spans="2:5" x14ac:dyDescent="0.2">
      <c r="B70" s="959">
        <v>7.2</v>
      </c>
      <c r="C70" s="960" t="s">
        <v>1704</v>
      </c>
      <c r="D70" s="955" t="str">
        <f t="shared" si="6"/>
        <v>7.2 - Organisational Development</v>
      </c>
      <c r="E70" s="961" t="s">
        <v>1780</v>
      </c>
    </row>
    <row r="71" spans="2:5" x14ac:dyDescent="0.2">
      <c r="B71" s="959">
        <v>7.3</v>
      </c>
      <c r="C71" s="960" t="s">
        <v>1705</v>
      </c>
      <c r="D71" s="955" t="str">
        <f t="shared" si="6"/>
        <v>7.3 - Personnel</v>
      </c>
      <c r="E71" s="961" t="s">
        <v>1781</v>
      </c>
    </row>
    <row r="72" spans="2:5" x14ac:dyDescent="0.2">
      <c r="B72" s="959">
        <v>7.4</v>
      </c>
      <c r="C72" s="960" t="s">
        <v>1706</v>
      </c>
      <c r="D72" s="955" t="str">
        <f t="shared" si="6"/>
        <v>7.4 - Training and Skills Development</v>
      </c>
      <c r="E72" s="961" t="s">
        <v>1782</v>
      </c>
    </row>
    <row r="73" spans="2:5" x14ac:dyDescent="0.2">
      <c r="B73" s="959">
        <v>7.5</v>
      </c>
      <c r="C73" s="960" t="s">
        <v>1707</v>
      </c>
      <c r="D73" s="955" t="str">
        <f t="shared" si="6"/>
        <v>7.5 - Occupational Health and Safety</v>
      </c>
      <c r="E73" s="961" t="s">
        <v>1783</v>
      </c>
    </row>
    <row r="74" spans="2:5" x14ac:dyDescent="0.2">
      <c r="B74" s="959">
        <v>7.6</v>
      </c>
      <c r="C74" s="960" t="s">
        <v>1708</v>
      </c>
      <c r="D74" s="955" t="str">
        <f t="shared" si="6"/>
        <v>7.6 - Legal Services</v>
      </c>
      <c r="E74" s="961" t="s">
        <v>1784</v>
      </c>
    </row>
    <row r="75" spans="2:5" x14ac:dyDescent="0.2">
      <c r="B75" s="959">
        <v>7.7</v>
      </c>
      <c r="C75" s="960" t="s">
        <v>1709</v>
      </c>
      <c r="D75" s="955" t="str">
        <f t="shared" si="6"/>
        <v>7.7 - Secretariat</v>
      </c>
      <c r="E75" s="961" t="s">
        <v>1785</v>
      </c>
    </row>
    <row r="76" spans="2:5" x14ac:dyDescent="0.2">
      <c r="B76" s="959">
        <v>7.8</v>
      </c>
      <c r="C76" s="960" t="s">
        <v>1736</v>
      </c>
      <c r="D76" s="955" t="str">
        <f t="shared" si="6"/>
        <v>7.8 - Mechanical Workshop</v>
      </c>
      <c r="E76" s="961" t="s">
        <v>1786</v>
      </c>
    </row>
    <row r="77" spans="2:5" x14ac:dyDescent="0.2">
      <c r="B77" s="959">
        <v>7.9</v>
      </c>
      <c r="C77" s="960" t="s">
        <v>1711</v>
      </c>
      <c r="D77" s="955" t="str">
        <f t="shared" si="6"/>
        <v>7.9 - Fleet Management</v>
      </c>
      <c r="E77" s="961" t="s">
        <v>1787</v>
      </c>
    </row>
    <row r="78" spans="2:5" x14ac:dyDescent="0.2">
      <c r="B78" s="959" t="s">
        <v>1482</v>
      </c>
      <c r="C78" s="960" t="s">
        <v>1712</v>
      </c>
      <c r="D78" s="955" t="str">
        <f t="shared" si="6"/>
        <v>7.10 - Other Corporate and Shared services</v>
      </c>
      <c r="E78" s="961" t="s">
        <v>1786</v>
      </c>
    </row>
    <row r="79" spans="2:5" x14ac:dyDescent="0.2">
      <c r="B79" s="962" t="s">
        <v>734</v>
      </c>
      <c r="C79" s="957" t="s">
        <v>1718</v>
      </c>
      <c r="E79" s="961"/>
    </row>
    <row r="80" spans="2:5" x14ac:dyDescent="0.2">
      <c r="B80" s="959">
        <v>8.1</v>
      </c>
      <c r="C80" s="960" t="s">
        <v>1713</v>
      </c>
      <c r="D80" s="955" t="str">
        <f t="shared" ref="D80:D89" si="7">CONCATENATE(B80, " - ", C80)</f>
        <v>8.1 - Landuse Management</v>
      </c>
      <c r="E80" s="961" t="s">
        <v>1788</v>
      </c>
    </row>
    <row r="81" spans="2:5" x14ac:dyDescent="0.2">
      <c r="B81" s="959">
        <v>8.1999999999999993</v>
      </c>
      <c r="C81" s="960" t="s">
        <v>1714</v>
      </c>
      <c r="D81" s="955" t="str">
        <f t="shared" si="7"/>
        <v>8.2 - Spatial Planning</v>
      </c>
      <c r="E81" s="961" t="s">
        <v>1789</v>
      </c>
    </row>
    <row r="82" spans="2:5" x14ac:dyDescent="0.2">
      <c r="B82" s="959">
        <v>8.3000000000000007</v>
      </c>
      <c r="C82" s="960" t="s">
        <v>1715</v>
      </c>
      <c r="D82" s="955" t="str">
        <f t="shared" si="7"/>
        <v>8.3 - Property Management</v>
      </c>
      <c r="E82" s="961" t="s">
        <v>1790</v>
      </c>
    </row>
    <row r="83" spans="2:5" x14ac:dyDescent="0.2">
      <c r="B83" s="959">
        <v>8.4</v>
      </c>
      <c r="C83" s="960" t="s">
        <v>660</v>
      </c>
      <c r="D83" s="955" t="str">
        <f t="shared" si="7"/>
        <v>8.4 - Housing</v>
      </c>
      <c r="E83" s="961" t="s">
        <v>1791</v>
      </c>
    </row>
    <row r="84" spans="2:5" x14ac:dyDescent="0.2">
      <c r="B84" s="959">
        <v>8.5</v>
      </c>
      <c r="C84" s="960" t="s">
        <v>1717</v>
      </c>
      <c r="D84" s="955" t="str">
        <f t="shared" si="7"/>
        <v>8.5 - Building Inspectorate</v>
      </c>
      <c r="E84" s="961" t="s">
        <v>1792</v>
      </c>
    </row>
    <row r="85" spans="2:5" x14ac:dyDescent="0.2">
      <c r="B85" s="959">
        <v>8.6</v>
      </c>
      <c r="C85" s="960" t="s">
        <v>1737</v>
      </c>
      <c r="D85" s="955" t="str">
        <f t="shared" si="7"/>
        <v>8.6 - Enterprise Development</v>
      </c>
      <c r="E85" s="961" t="s">
        <v>1793</v>
      </c>
    </row>
    <row r="86" spans="2:5" x14ac:dyDescent="0.2">
      <c r="B86" s="959">
        <v>8.6999999999999993</v>
      </c>
      <c r="C86" s="960" t="s">
        <v>1719</v>
      </c>
      <c r="D86" s="955" t="str">
        <f t="shared" si="7"/>
        <v>8.7 - Investment Promotion and Tourism</v>
      </c>
      <c r="E86" s="961" t="s">
        <v>1794</v>
      </c>
    </row>
    <row r="87" spans="2:5" x14ac:dyDescent="0.2">
      <c r="B87" s="959">
        <v>8.8000000000000007</v>
      </c>
      <c r="C87" s="960" t="s">
        <v>1720</v>
      </c>
      <c r="D87" s="955" t="str">
        <f t="shared" si="7"/>
        <v>8.8 - Economic Planning and Development</v>
      </c>
      <c r="E87" s="961" t="s">
        <v>1795</v>
      </c>
    </row>
    <row r="88" spans="2:5" x14ac:dyDescent="0.2">
      <c r="B88" s="959">
        <v>8.9</v>
      </c>
      <c r="C88" s="960" t="s">
        <v>1721</v>
      </c>
      <c r="D88" s="955" t="str">
        <f t="shared" si="7"/>
        <v>8.9 - Other Planning and Economic Development</v>
      </c>
      <c r="E88" s="961" t="s">
        <v>1796</v>
      </c>
    </row>
    <row r="89" spans="2:5" x14ac:dyDescent="0.2">
      <c r="B89" s="959" t="s">
        <v>1483</v>
      </c>
      <c r="C89" s="960"/>
      <c r="D89" s="955" t="str">
        <f t="shared" si="7"/>
        <v xml:space="preserve">8.10 - </v>
      </c>
      <c r="E89" s="961"/>
    </row>
    <row r="90" spans="2:5" x14ac:dyDescent="0.2">
      <c r="B90" s="962" t="s">
        <v>735</v>
      </c>
      <c r="C90" s="957" t="s">
        <v>1723</v>
      </c>
      <c r="E90" s="961"/>
    </row>
    <row r="91" spans="2:5" x14ac:dyDescent="0.2">
      <c r="B91" s="959">
        <v>9.1</v>
      </c>
      <c r="C91" s="960" t="s">
        <v>1422</v>
      </c>
      <c r="D91" s="955" t="str">
        <f t="shared" ref="D91:D100" si="8">CONCATENATE(B91, " - ", C91)</f>
        <v>9.1 - Chief Financial Officer</v>
      </c>
      <c r="E91" s="961" t="s">
        <v>1798</v>
      </c>
    </row>
    <row r="92" spans="2:5" x14ac:dyDescent="0.2">
      <c r="B92" s="959">
        <v>9.1999999999999993</v>
      </c>
      <c r="C92" s="960" t="s">
        <v>1722</v>
      </c>
      <c r="D92" s="955" t="str">
        <f t="shared" si="8"/>
        <v>9.2 - Inter Govenmental Transfers</v>
      </c>
      <c r="E92" s="961" t="s">
        <v>1797</v>
      </c>
    </row>
    <row r="93" spans="2:5" x14ac:dyDescent="0.2">
      <c r="B93" s="959">
        <v>9.3000000000000007</v>
      </c>
      <c r="C93" s="960" t="s">
        <v>1723</v>
      </c>
      <c r="D93" s="955" t="str">
        <f t="shared" si="8"/>
        <v>9.3 - Budget and Treasury</v>
      </c>
      <c r="E93" s="961" t="s">
        <v>1799</v>
      </c>
    </row>
    <row r="94" spans="2:5" x14ac:dyDescent="0.2">
      <c r="B94" s="959">
        <v>9.4</v>
      </c>
      <c r="C94" s="960" t="s">
        <v>1724</v>
      </c>
      <c r="D94" s="955" t="str">
        <f t="shared" si="8"/>
        <v>9.4 - Assesment Rates</v>
      </c>
      <c r="E94" s="961" t="s">
        <v>1800</v>
      </c>
    </row>
    <row r="95" spans="2:5" x14ac:dyDescent="0.2">
      <c r="B95" s="959">
        <v>9.5</v>
      </c>
      <c r="C95" s="960" t="s">
        <v>1725</v>
      </c>
      <c r="D95" s="955" t="str">
        <f t="shared" si="8"/>
        <v>9.5 - Supply Chain Management</v>
      </c>
      <c r="E95" s="961" t="s">
        <v>1801</v>
      </c>
    </row>
    <row r="96" spans="2:5" x14ac:dyDescent="0.2">
      <c r="B96" s="959">
        <v>9.6</v>
      </c>
      <c r="C96" s="960"/>
      <c r="D96" s="955" t="str">
        <f t="shared" si="8"/>
        <v xml:space="preserve">9.6 - </v>
      </c>
      <c r="E96" s="961"/>
    </row>
    <row r="97" spans="2:5" x14ac:dyDescent="0.2">
      <c r="B97" s="959">
        <v>9.6999999999999993</v>
      </c>
      <c r="C97" s="960"/>
      <c r="D97" s="955" t="str">
        <f t="shared" si="8"/>
        <v xml:space="preserve">9.7 - </v>
      </c>
      <c r="E97" s="961"/>
    </row>
    <row r="98" spans="2:5" x14ac:dyDescent="0.2">
      <c r="B98" s="959">
        <v>9.8000000000000007</v>
      </c>
      <c r="C98" s="960"/>
      <c r="D98" s="955" t="str">
        <f t="shared" si="8"/>
        <v xml:space="preserve">9.8 - </v>
      </c>
      <c r="E98" s="961"/>
    </row>
    <row r="99" spans="2:5" x14ac:dyDescent="0.2">
      <c r="B99" s="959">
        <v>9.9</v>
      </c>
      <c r="C99" s="960"/>
      <c r="D99" s="955" t="str">
        <f t="shared" si="8"/>
        <v xml:space="preserve">9.9 - </v>
      </c>
      <c r="E99" s="961"/>
    </row>
    <row r="100" spans="2:5" x14ac:dyDescent="0.2">
      <c r="B100" s="959" t="s">
        <v>1484</v>
      </c>
      <c r="C100" s="960"/>
      <c r="D100" s="955" t="str">
        <f t="shared" si="8"/>
        <v xml:space="preserve">9.10 - </v>
      </c>
      <c r="E100" s="961"/>
    </row>
    <row r="101" spans="2:5" x14ac:dyDescent="0.2">
      <c r="B101" s="962" t="s">
        <v>736</v>
      </c>
      <c r="C101" s="957" t="s">
        <v>1716</v>
      </c>
      <c r="E101" s="961"/>
    </row>
    <row r="102" spans="2:5" x14ac:dyDescent="0.2">
      <c r="B102" s="959">
        <v>10.1</v>
      </c>
      <c r="C102" s="960" t="s">
        <v>1716</v>
      </c>
      <c r="D102" s="955" t="str">
        <f t="shared" ref="D102:D111" si="9">CONCATENATE(B102, " - ", C102)</f>
        <v>10.1 - Transport Operations</v>
      </c>
      <c r="E102" s="961" t="s">
        <v>1802</v>
      </c>
    </row>
    <row r="103" spans="2:5" x14ac:dyDescent="0.2">
      <c r="B103" s="959">
        <v>10.199999999999999</v>
      </c>
      <c r="C103" s="960"/>
      <c r="D103" s="955" t="str">
        <f t="shared" si="9"/>
        <v xml:space="preserve">10.2 - </v>
      </c>
      <c r="E103" s="961"/>
    </row>
    <row r="104" spans="2:5" x14ac:dyDescent="0.2">
      <c r="B104" s="959">
        <v>10.3</v>
      </c>
      <c r="C104" s="960"/>
      <c r="D104" s="955" t="str">
        <f t="shared" si="9"/>
        <v xml:space="preserve">10.3 - </v>
      </c>
      <c r="E104" s="961"/>
    </row>
    <row r="105" spans="2:5" x14ac:dyDescent="0.2">
      <c r="B105" s="959">
        <v>10.4</v>
      </c>
      <c r="C105" s="960" t="s">
        <v>1475</v>
      </c>
      <c r="D105" s="955" t="str">
        <f t="shared" si="9"/>
        <v>10,4 - [Name of sub-vote]</v>
      </c>
      <c r="E105" s="961"/>
    </row>
    <row r="106" spans="2:5" x14ac:dyDescent="0.2">
      <c r="B106" s="959">
        <v>10.5</v>
      </c>
      <c r="C106" s="960" t="s">
        <v>1475</v>
      </c>
      <c r="D106" s="955" t="str">
        <f t="shared" si="9"/>
        <v>10,5 - [Name of sub-vote]</v>
      </c>
      <c r="E106" s="961"/>
    </row>
    <row r="107" spans="2:5" x14ac:dyDescent="0.2">
      <c r="B107" s="959">
        <v>10.6</v>
      </c>
      <c r="C107" s="960" t="s">
        <v>1475</v>
      </c>
      <c r="D107" s="955" t="str">
        <f t="shared" si="9"/>
        <v>10,6 - [Name of sub-vote]</v>
      </c>
      <c r="E107" s="961"/>
    </row>
    <row r="108" spans="2:5" x14ac:dyDescent="0.2">
      <c r="B108" s="959">
        <v>10.7</v>
      </c>
      <c r="C108" s="960" t="s">
        <v>1475</v>
      </c>
      <c r="D108" s="955" t="str">
        <f t="shared" si="9"/>
        <v>10,7 - [Name of sub-vote]</v>
      </c>
      <c r="E108" s="961"/>
    </row>
    <row r="109" spans="2:5" x14ac:dyDescent="0.2">
      <c r="B109" s="959">
        <v>10.8</v>
      </c>
      <c r="C109" s="960" t="s">
        <v>1475</v>
      </c>
      <c r="D109" s="955" t="str">
        <f t="shared" si="9"/>
        <v>10,8 - [Name of sub-vote]</v>
      </c>
      <c r="E109" s="961"/>
    </row>
    <row r="110" spans="2:5" x14ac:dyDescent="0.2">
      <c r="B110" s="959">
        <v>10.9</v>
      </c>
      <c r="C110" s="960" t="s">
        <v>1475</v>
      </c>
      <c r="D110" s="955" t="str">
        <f t="shared" si="9"/>
        <v>10,9 - [Name of sub-vote]</v>
      </c>
      <c r="E110" s="961"/>
    </row>
    <row r="111" spans="2:5" x14ac:dyDescent="0.2">
      <c r="B111" s="959" t="s">
        <v>1485</v>
      </c>
      <c r="C111" s="960" t="s">
        <v>1475</v>
      </c>
      <c r="D111" s="955" t="str">
        <f t="shared" si="9"/>
        <v>10.10 - [Name of sub-vote]</v>
      </c>
      <c r="E111" s="961"/>
    </row>
    <row r="112" spans="2:5" x14ac:dyDescent="0.2">
      <c r="B112" s="962" t="s">
        <v>737</v>
      </c>
      <c r="C112" s="957" t="s">
        <v>1486</v>
      </c>
      <c r="E112" s="961"/>
    </row>
    <row r="113" spans="2:5" x14ac:dyDescent="0.2">
      <c r="B113" s="959">
        <v>11.1</v>
      </c>
      <c r="C113" s="960" t="s">
        <v>1475</v>
      </c>
      <c r="D113" s="955" t="str">
        <f t="shared" ref="D113:D122" si="10">CONCATENATE(B113, " - ", C113)</f>
        <v>11,1 - [Name of sub-vote]</v>
      </c>
      <c r="E113" s="961" t="s">
        <v>1487</v>
      </c>
    </row>
    <row r="114" spans="2:5" x14ac:dyDescent="0.2">
      <c r="B114" s="959">
        <v>11.2</v>
      </c>
      <c r="C114" s="960" t="s">
        <v>1475</v>
      </c>
      <c r="D114" s="955" t="str">
        <f t="shared" si="10"/>
        <v>11,2 - [Name of sub-vote]</v>
      </c>
      <c r="E114" s="961"/>
    </row>
    <row r="115" spans="2:5" x14ac:dyDescent="0.2">
      <c r="B115" s="959">
        <v>11.3</v>
      </c>
      <c r="C115" s="960" t="s">
        <v>1475</v>
      </c>
      <c r="D115" s="955" t="str">
        <f t="shared" si="10"/>
        <v>11,3 - [Name of sub-vote]</v>
      </c>
      <c r="E115" s="961"/>
    </row>
    <row r="116" spans="2:5" x14ac:dyDescent="0.2">
      <c r="B116" s="959">
        <v>11.4</v>
      </c>
      <c r="C116" s="960" t="s">
        <v>1475</v>
      </c>
      <c r="D116" s="955" t="str">
        <f t="shared" si="10"/>
        <v>11,4 - [Name of sub-vote]</v>
      </c>
      <c r="E116" s="961"/>
    </row>
    <row r="117" spans="2:5" x14ac:dyDescent="0.2">
      <c r="B117" s="959">
        <v>11.5</v>
      </c>
      <c r="C117" s="960" t="s">
        <v>1475</v>
      </c>
      <c r="D117" s="955" t="str">
        <f t="shared" si="10"/>
        <v>11,5 - [Name of sub-vote]</v>
      </c>
      <c r="E117" s="961"/>
    </row>
    <row r="118" spans="2:5" x14ac:dyDescent="0.2">
      <c r="B118" s="959">
        <v>11.6</v>
      </c>
      <c r="C118" s="960" t="s">
        <v>1475</v>
      </c>
      <c r="D118" s="955" t="str">
        <f t="shared" si="10"/>
        <v>11,6 - [Name of sub-vote]</v>
      </c>
      <c r="E118" s="961"/>
    </row>
    <row r="119" spans="2:5" x14ac:dyDescent="0.2">
      <c r="B119" s="959">
        <v>11.7</v>
      </c>
      <c r="C119" s="960" t="s">
        <v>1475</v>
      </c>
      <c r="D119" s="955" t="str">
        <f t="shared" si="10"/>
        <v>11,7 - [Name of sub-vote]</v>
      </c>
      <c r="E119" s="961"/>
    </row>
    <row r="120" spans="2:5" x14ac:dyDescent="0.2">
      <c r="B120" s="959">
        <v>11.8</v>
      </c>
      <c r="C120" s="960" t="s">
        <v>1475</v>
      </c>
      <c r="D120" s="955" t="str">
        <f t="shared" si="10"/>
        <v>11,8 - [Name of sub-vote]</v>
      </c>
      <c r="E120" s="961"/>
    </row>
    <row r="121" spans="2:5" x14ac:dyDescent="0.2">
      <c r="B121" s="959">
        <v>11.9</v>
      </c>
      <c r="C121" s="960" t="s">
        <v>1475</v>
      </c>
      <c r="D121" s="955" t="str">
        <f t="shared" si="10"/>
        <v>11,9 - [Name of sub-vote]</v>
      </c>
      <c r="E121" s="961"/>
    </row>
    <row r="122" spans="2:5" x14ac:dyDescent="0.2">
      <c r="B122" s="959" t="s">
        <v>1488</v>
      </c>
      <c r="C122" s="960" t="s">
        <v>1475</v>
      </c>
      <c r="D122" s="955" t="str">
        <f t="shared" si="10"/>
        <v>11.10 - [Name of sub-vote]</v>
      </c>
      <c r="E122" s="961"/>
    </row>
    <row r="123" spans="2:5" x14ac:dyDescent="0.2">
      <c r="B123" s="962" t="s">
        <v>738</v>
      </c>
      <c r="C123" s="957" t="s">
        <v>1489</v>
      </c>
      <c r="E123" s="961"/>
    </row>
    <row r="124" spans="2:5" x14ac:dyDescent="0.2">
      <c r="B124" s="959">
        <v>12.1</v>
      </c>
      <c r="C124" s="960" t="s">
        <v>1475</v>
      </c>
      <c r="D124" s="955" t="str">
        <f t="shared" ref="D124:D133" si="11">CONCATENATE(B124, " - ", C124)</f>
        <v>12,1 - [Name of sub-vote]</v>
      </c>
      <c r="E124" s="961" t="s">
        <v>1490</v>
      </c>
    </row>
    <row r="125" spans="2:5" x14ac:dyDescent="0.2">
      <c r="B125" s="959">
        <v>12.2</v>
      </c>
      <c r="C125" s="960" t="s">
        <v>1475</v>
      </c>
      <c r="D125" s="955" t="str">
        <f t="shared" si="11"/>
        <v>12,2 - [Name of sub-vote]</v>
      </c>
      <c r="E125" s="961"/>
    </row>
    <row r="126" spans="2:5" x14ac:dyDescent="0.2">
      <c r="B126" s="959">
        <v>12.3</v>
      </c>
      <c r="C126" s="960" t="s">
        <v>1475</v>
      </c>
      <c r="D126" s="955" t="str">
        <f t="shared" si="11"/>
        <v>12,3 - [Name of sub-vote]</v>
      </c>
      <c r="E126" s="961"/>
    </row>
    <row r="127" spans="2:5" x14ac:dyDescent="0.2">
      <c r="B127" s="959">
        <v>12.4</v>
      </c>
      <c r="C127" s="960" t="s">
        <v>1475</v>
      </c>
      <c r="D127" s="955" t="str">
        <f t="shared" si="11"/>
        <v>12,4 - [Name of sub-vote]</v>
      </c>
      <c r="E127" s="961"/>
    </row>
    <row r="128" spans="2:5" x14ac:dyDescent="0.2">
      <c r="B128" s="959">
        <v>12.5</v>
      </c>
      <c r="C128" s="960" t="s">
        <v>1475</v>
      </c>
      <c r="D128" s="955" t="str">
        <f t="shared" si="11"/>
        <v>12,5 - [Name of sub-vote]</v>
      </c>
      <c r="E128" s="961"/>
    </row>
    <row r="129" spans="2:5" x14ac:dyDescent="0.2">
      <c r="B129" s="959">
        <v>12.6</v>
      </c>
      <c r="C129" s="960" t="s">
        <v>1475</v>
      </c>
      <c r="D129" s="955" t="str">
        <f t="shared" si="11"/>
        <v>12,6 - [Name of sub-vote]</v>
      </c>
      <c r="E129" s="961"/>
    </row>
    <row r="130" spans="2:5" x14ac:dyDescent="0.2">
      <c r="B130" s="959">
        <v>12.7</v>
      </c>
      <c r="C130" s="960" t="s">
        <v>1475</v>
      </c>
      <c r="D130" s="955" t="str">
        <f t="shared" si="11"/>
        <v>12,7 - [Name of sub-vote]</v>
      </c>
      <c r="E130" s="961"/>
    </row>
    <row r="131" spans="2:5" x14ac:dyDescent="0.2">
      <c r="B131" s="959">
        <v>12.8</v>
      </c>
      <c r="C131" s="960" t="s">
        <v>1475</v>
      </c>
      <c r="D131" s="955" t="str">
        <f t="shared" si="11"/>
        <v>12,8 - [Name of sub-vote]</v>
      </c>
      <c r="E131" s="961"/>
    </row>
    <row r="132" spans="2:5" x14ac:dyDescent="0.2">
      <c r="B132" s="959">
        <v>12.9</v>
      </c>
      <c r="C132" s="960" t="s">
        <v>1475</v>
      </c>
      <c r="D132" s="955" t="str">
        <f t="shared" si="11"/>
        <v>12,9 - [Name of sub-vote]</v>
      </c>
      <c r="E132" s="961"/>
    </row>
    <row r="133" spans="2:5" x14ac:dyDescent="0.2">
      <c r="B133" s="959" t="s">
        <v>1491</v>
      </c>
      <c r="C133" s="960" t="s">
        <v>1475</v>
      </c>
      <c r="D133" s="955" t="str">
        <f t="shared" si="11"/>
        <v>12.10 - [Name of sub-vote]</v>
      </c>
      <c r="E133" s="961"/>
    </row>
    <row r="134" spans="2:5" x14ac:dyDescent="0.2">
      <c r="B134" s="962" t="s">
        <v>739</v>
      </c>
      <c r="C134" s="957" t="s">
        <v>1492</v>
      </c>
      <c r="E134" s="961"/>
    </row>
    <row r="135" spans="2:5" x14ac:dyDescent="0.2">
      <c r="B135" s="959">
        <v>13.1</v>
      </c>
      <c r="C135" s="960" t="s">
        <v>1475</v>
      </c>
      <c r="D135" s="955" t="str">
        <f t="shared" ref="D135:D144" si="12">CONCATENATE(B135, " - ", C135)</f>
        <v>13,1 - [Name of sub-vote]</v>
      </c>
      <c r="E135" s="961" t="s">
        <v>1493</v>
      </c>
    </row>
    <row r="136" spans="2:5" x14ac:dyDescent="0.2">
      <c r="B136" s="959">
        <v>13.2</v>
      </c>
      <c r="C136" s="960" t="s">
        <v>1475</v>
      </c>
      <c r="D136" s="955" t="str">
        <f t="shared" si="12"/>
        <v>13,2 - [Name of sub-vote]</v>
      </c>
      <c r="E136" s="961"/>
    </row>
    <row r="137" spans="2:5" x14ac:dyDescent="0.2">
      <c r="B137" s="959">
        <v>13.3</v>
      </c>
      <c r="C137" s="960" t="s">
        <v>1475</v>
      </c>
      <c r="D137" s="955" t="str">
        <f t="shared" si="12"/>
        <v>13,3 - [Name of sub-vote]</v>
      </c>
      <c r="E137" s="961"/>
    </row>
    <row r="138" spans="2:5" x14ac:dyDescent="0.2">
      <c r="B138" s="959">
        <v>13.4</v>
      </c>
      <c r="C138" s="960" t="s">
        <v>1475</v>
      </c>
      <c r="D138" s="955" t="str">
        <f t="shared" si="12"/>
        <v>13,4 - [Name of sub-vote]</v>
      </c>
      <c r="E138" s="961"/>
    </row>
    <row r="139" spans="2:5" x14ac:dyDescent="0.2">
      <c r="B139" s="959">
        <v>13.5</v>
      </c>
      <c r="C139" s="960" t="s">
        <v>1475</v>
      </c>
      <c r="D139" s="955" t="str">
        <f t="shared" si="12"/>
        <v>13,5 - [Name of sub-vote]</v>
      </c>
      <c r="E139" s="961"/>
    </row>
    <row r="140" spans="2:5" x14ac:dyDescent="0.2">
      <c r="B140" s="959">
        <v>13.6</v>
      </c>
      <c r="C140" s="960" t="s">
        <v>1475</v>
      </c>
      <c r="D140" s="955" t="str">
        <f t="shared" si="12"/>
        <v>13,6 - [Name of sub-vote]</v>
      </c>
      <c r="E140" s="961"/>
    </row>
    <row r="141" spans="2:5" x14ac:dyDescent="0.2">
      <c r="B141" s="959">
        <v>13.7</v>
      </c>
      <c r="C141" s="960" t="s">
        <v>1475</v>
      </c>
      <c r="D141" s="955" t="str">
        <f t="shared" si="12"/>
        <v>13,7 - [Name of sub-vote]</v>
      </c>
      <c r="E141" s="961"/>
    </row>
    <row r="142" spans="2:5" x14ac:dyDescent="0.2">
      <c r="B142" s="959">
        <v>13.8</v>
      </c>
      <c r="C142" s="960" t="s">
        <v>1475</v>
      </c>
      <c r="D142" s="955" t="str">
        <f t="shared" si="12"/>
        <v>13,8 - [Name of sub-vote]</v>
      </c>
      <c r="E142" s="961"/>
    </row>
    <row r="143" spans="2:5" x14ac:dyDescent="0.2">
      <c r="B143" s="959">
        <v>13.9</v>
      </c>
      <c r="C143" s="960" t="s">
        <v>1475</v>
      </c>
      <c r="D143" s="955" t="str">
        <f t="shared" si="12"/>
        <v>13,9 - [Name of sub-vote]</v>
      </c>
      <c r="E143" s="961"/>
    </row>
    <row r="144" spans="2:5" x14ac:dyDescent="0.2">
      <c r="B144" s="959" t="s">
        <v>1494</v>
      </c>
      <c r="C144" s="960" t="s">
        <v>1475</v>
      </c>
      <c r="D144" s="955" t="str">
        <f t="shared" si="12"/>
        <v>13.10 - [Name of sub-vote]</v>
      </c>
      <c r="E144" s="961"/>
    </row>
    <row r="145" spans="2:5" x14ac:dyDescent="0.2">
      <c r="B145" s="962" t="s">
        <v>740</v>
      </c>
      <c r="C145" s="957" t="s">
        <v>1495</v>
      </c>
      <c r="E145" s="961"/>
    </row>
    <row r="146" spans="2:5" x14ac:dyDescent="0.2">
      <c r="B146" s="959">
        <v>14.1</v>
      </c>
      <c r="C146" s="960" t="s">
        <v>1475</v>
      </c>
      <c r="D146" s="955" t="str">
        <f t="shared" ref="D146:D155" si="13">CONCATENATE(B146, " - ", C146)</f>
        <v>14,1 - [Name of sub-vote]</v>
      </c>
      <c r="E146" s="961" t="s">
        <v>1496</v>
      </c>
    </row>
    <row r="147" spans="2:5" x14ac:dyDescent="0.2">
      <c r="B147" s="959">
        <v>14.2</v>
      </c>
      <c r="C147" s="960" t="s">
        <v>1475</v>
      </c>
      <c r="D147" s="955" t="str">
        <f t="shared" si="13"/>
        <v>14,2 - [Name of sub-vote]</v>
      </c>
      <c r="E147" s="961"/>
    </row>
    <row r="148" spans="2:5" x14ac:dyDescent="0.2">
      <c r="B148" s="959">
        <v>14.3</v>
      </c>
      <c r="C148" s="960" t="s">
        <v>1475</v>
      </c>
      <c r="D148" s="955" t="str">
        <f t="shared" si="13"/>
        <v>14,3 - [Name of sub-vote]</v>
      </c>
      <c r="E148" s="961"/>
    </row>
    <row r="149" spans="2:5" x14ac:dyDescent="0.2">
      <c r="B149" s="959">
        <v>14.4</v>
      </c>
      <c r="C149" s="960" t="s">
        <v>1475</v>
      </c>
      <c r="D149" s="955" t="str">
        <f t="shared" si="13"/>
        <v>14,4 - [Name of sub-vote]</v>
      </c>
      <c r="E149" s="961"/>
    </row>
    <row r="150" spans="2:5" x14ac:dyDescent="0.2">
      <c r="B150" s="959">
        <v>14.5</v>
      </c>
      <c r="C150" s="960" t="s">
        <v>1475</v>
      </c>
      <c r="D150" s="955" t="str">
        <f t="shared" si="13"/>
        <v>14,5 - [Name of sub-vote]</v>
      </c>
      <c r="E150" s="961"/>
    </row>
    <row r="151" spans="2:5" x14ac:dyDescent="0.2">
      <c r="B151" s="959">
        <v>14.6</v>
      </c>
      <c r="C151" s="960" t="s">
        <v>1475</v>
      </c>
      <c r="D151" s="955" t="str">
        <f t="shared" si="13"/>
        <v>14,6 - [Name of sub-vote]</v>
      </c>
      <c r="E151" s="961"/>
    </row>
    <row r="152" spans="2:5" x14ac:dyDescent="0.2">
      <c r="B152" s="959">
        <v>14.7</v>
      </c>
      <c r="C152" s="960" t="s">
        <v>1475</v>
      </c>
      <c r="D152" s="955" t="str">
        <f t="shared" si="13"/>
        <v>14,7 - [Name of sub-vote]</v>
      </c>
      <c r="E152" s="961"/>
    </row>
    <row r="153" spans="2:5" x14ac:dyDescent="0.2">
      <c r="B153" s="959">
        <v>14.8</v>
      </c>
      <c r="C153" s="960" t="s">
        <v>1475</v>
      </c>
      <c r="D153" s="955" t="str">
        <f t="shared" si="13"/>
        <v>14,8 - [Name of sub-vote]</v>
      </c>
      <c r="E153" s="961"/>
    </row>
    <row r="154" spans="2:5" x14ac:dyDescent="0.2">
      <c r="B154" s="959">
        <v>14.9</v>
      </c>
      <c r="C154" s="960" t="s">
        <v>1475</v>
      </c>
      <c r="D154" s="955" t="str">
        <f t="shared" si="13"/>
        <v>14,9 - [Name of sub-vote]</v>
      </c>
      <c r="E154" s="961"/>
    </row>
    <row r="155" spans="2:5" x14ac:dyDescent="0.2">
      <c r="B155" s="959" t="s">
        <v>1497</v>
      </c>
      <c r="C155" s="960" t="s">
        <v>1475</v>
      </c>
      <c r="D155" s="955" t="str">
        <f t="shared" si="13"/>
        <v>14.10 - [Name of sub-vote]</v>
      </c>
      <c r="E155" s="961"/>
    </row>
    <row r="156" spans="2:5" x14ac:dyDescent="0.2">
      <c r="B156" s="962" t="s">
        <v>741</v>
      </c>
      <c r="C156" s="957" t="s">
        <v>1498</v>
      </c>
      <c r="E156" s="961"/>
    </row>
    <row r="157" spans="2:5" x14ac:dyDescent="0.2">
      <c r="B157" s="959">
        <v>15.1</v>
      </c>
      <c r="C157" s="960" t="s">
        <v>1475</v>
      </c>
      <c r="D157" s="955" t="str">
        <f t="shared" ref="D157:D166" si="14">CONCATENATE(B157, " - ", C157)</f>
        <v>15,1 - [Name of sub-vote]</v>
      </c>
      <c r="E157" s="961" t="s">
        <v>1499</v>
      </c>
    </row>
    <row r="158" spans="2:5" x14ac:dyDescent="0.2">
      <c r="B158" s="959">
        <v>15.2</v>
      </c>
      <c r="C158" s="960" t="s">
        <v>1475</v>
      </c>
      <c r="D158" s="955" t="str">
        <f t="shared" si="14"/>
        <v>15,2 - [Name of sub-vote]</v>
      </c>
      <c r="E158" s="961"/>
    </row>
    <row r="159" spans="2:5" x14ac:dyDescent="0.2">
      <c r="B159" s="959">
        <v>15.3</v>
      </c>
      <c r="C159" s="960" t="s">
        <v>1475</v>
      </c>
      <c r="D159" s="955" t="str">
        <f t="shared" si="14"/>
        <v>15,3 - [Name of sub-vote]</v>
      </c>
      <c r="E159" s="961"/>
    </row>
    <row r="160" spans="2:5" x14ac:dyDescent="0.2">
      <c r="B160" s="959">
        <v>15.4</v>
      </c>
      <c r="C160" s="960" t="s">
        <v>1475</v>
      </c>
      <c r="D160" s="955" t="str">
        <f t="shared" si="14"/>
        <v>15,4 - [Name of sub-vote]</v>
      </c>
      <c r="E160" s="961"/>
    </row>
    <row r="161" spans="2:5" x14ac:dyDescent="0.2">
      <c r="B161" s="959">
        <v>15.5</v>
      </c>
      <c r="C161" s="960" t="s">
        <v>1475</v>
      </c>
      <c r="D161" s="955" t="str">
        <f t="shared" si="14"/>
        <v>15,5 - [Name of sub-vote]</v>
      </c>
      <c r="E161" s="961"/>
    </row>
    <row r="162" spans="2:5" x14ac:dyDescent="0.2">
      <c r="B162" s="959">
        <v>15.6</v>
      </c>
      <c r="C162" s="960" t="s">
        <v>1475</v>
      </c>
      <c r="D162" s="955" t="str">
        <f t="shared" si="14"/>
        <v>15,6 - [Name of sub-vote]</v>
      </c>
      <c r="E162" s="961"/>
    </row>
    <row r="163" spans="2:5" x14ac:dyDescent="0.2">
      <c r="B163" s="959">
        <v>15.7</v>
      </c>
      <c r="C163" s="960" t="s">
        <v>1475</v>
      </c>
      <c r="D163" s="955" t="str">
        <f t="shared" si="14"/>
        <v>15,7 - [Name of sub-vote]</v>
      </c>
      <c r="E163" s="961"/>
    </row>
    <row r="164" spans="2:5" x14ac:dyDescent="0.2">
      <c r="B164" s="959">
        <v>15.8</v>
      </c>
      <c r="C164" s="960" t="s">
        <v>1475</v>
      </c>
      <c r="D164" s="955" t="str">
        <f t="shared" si="14"/>
        <v>15,8 - [Name of sub-vote]</v>
      </c>
      <c r="E164" s="961"/>
    </row>
    <row r="165" spans="2:5" x14ac:dyDescent="0.2">
      <c r="B165" s="959">
        <v>15.9</v>
      </c>
      <c r="C165" s="960" t="s">
        <v>1475</v>
      </c>
      <c r="D165" s="955" t="str">
        <f t="shared" si="14"/>
        <v>15,9 - [Name of sub-vote]</v>
      </c>
      <c r="E165" s="961"/>
    </row>
    <row r="166" spans="2:5" x14ac:dyDescent="0.2">
      <c r="B166" s="959" t="s">
        <v>1500</v>
      </c>
      <c r="C166" s="960" t="s">
        <v>1475</v>
      </c>
      <c r="D166" s="955" t="str">
        <f t="shared" si="14"/>
        <v>15.10 - [Name of sub-vote]</v>
      </c>
      <c r="E166" s="961"/>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7: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28"/>
  <sheetViews>
    <sheetView showGridLines="0" topLeftCell="A34" workbookViewId="0">
      <selection activeCell="B66" sqref="B66"/>
    </sheetView>
  </sheetViews>
  <sheetFormatPr defaultRowHeight="12.75" x14ac:dyDescent="0.2"/>
  <cols>
    <col min="1" max="1" width="20.7109375" style="968" customWidth="1"/>
    <col min="2" max="2" width="40.7109375" style="968" customWidth="1"/>
    <col min="3" max="3" width="20.7109375" style="968" customWidth="1"/>
    <col min="4" max="4" width="40.7109375" style="968" customWidth="1"/>
    <col min="5" max="5" width="8.85546875" style="968" customWidth="1"/>
    <col min="6" max="10" width="8.7109375" style="255" customWidth="1"/>
    <col min="11" max="15" width="12.85546875" style="255" customWidth="1"/>
    <col min="16" max="17" width="30.7109375" style="255" customWidth="1"/>
    <col min="18" max="16384" width="9.140625" style="969"/>
  </cols>
  <sheetData>
    <row r="1" spans="1:17" ht="13.5" customHeight="1" x14ac:dyDescent="0.3">
      <c r="A1" s="920" t="str">
        <f>'Template names'!$B$63&amp;" - "&amp;" Contact Information"</f>
        <v>LIM354 Polokwane -  Contact Information</v>
      </c>
      <c r="B1" s="967"/>
    </row>
    <row r="2" spans="1:17" ht="13.5" customHeight="1" x14ac:dyDescent="0.2">
      <c r="A2" s="970"/>
      <c r="B2" s="971"/>
      <c r="C2" s="970"/>
      <c r="D2" s="970"/>
    </row>
    <row r="3" spans="1:17" ht="13.5" customHeight="1" thickBot="1" x14ac:dyDescent="0.3">
      <c r="A3" s="972" t="s">
        <v>1391</v>
      </c>
      <c r="B3" s="973"/>
      <c r="C3" s="970"/>
      <c r="D3" s="970"/>
    </row>
    <row r="4" spans="1:17" ht="13.5" customHeight="1" thickTop="1" x14ac:dyDescent="0.2">
      <c r="A4" s="974" t="s">
        <v>1392</v>
      </c>
      <c r="B4" s="975" t="str">
        <f>'Template names'!$B$63</f>
        <v>LIM354 Polokwane</v>
      </c>
      <c r="C4" s="976" t="s">
        <v>841</v>
      </c>
      <c r="D4" s="977"/>
      <c r="F4" s="978"/>
      <c r="G4" s="978"/>
      <c r="H4" s="978"/>
      <c r="I4" s="979"/>
      <c r="J4" s="978"/>
      <c r="K4" s="980"/>
      <c r="L4" s="980"/>
      <c r="M4" s="980"/>
      <c r="N4" s="980"/>
      <c r="O4" s="980"/>
      <c r="P4" s="981"/>
      <c r="Q4" s="982"/>
    </row>
    <row r="5" spans="1:17" ht="13.5" customHeight="1" x14ac:dyDescent="0.2">
      <c r="A5" s="983"/>
      <c r="B5" s="984"/>
      <c r="C5" s="977"/>
      <c r="D5" s="977"/>
      <c r="F5" s="978"/>
      <c r="G5" s="978"/>
      <c r="H5" s="978"/>
      <c r="I5" s="979"/>
      <c r="J5" s="978"/>
      <c r="K5" s="980"/>
      <c r="L5" s="980"/>
      <c r="M5" s="980"/>
      <c r="N5" s="980"/>
      <c r="O5" s="980"/>
      <c r="P5" s="981"/>
      <c r="Q5" s="985"/>
    </row>
    <row r="6" spans="1:17" s="991" customFormat="1" ht="13.5" customHeight="1" x14ac:dyDescent="0.25">
      <c r="A6" s="986" t="s">
        <v>1393</v>
      </c>
      <c r="B6" s="987"/>
      <c r="C6" s="988" t="s">
        <v>1394</v>
      </c>
      <c r="D6" s="989"/>
      <c r="E6" s="990"/>
      <c r="F6" s="978"/>
      <c r="G6" s="978"/>
      <c r="H6" s="979"/>
      <c r="I6" s="979"/>
      <c r="J6" s="978"/>
      <c r="K6" s="980"/>
      <c r="L6" s="980"/>
      <c r="M6" s="980"/>
      <c r="N6" s="980"/>
      <c r="O6" s="980"/>
      <c r="P6" s="981"/>
      <c r="Q6" s="982"/>
    </row>
    <row r="7" spans="1:17" s="991" customFormat="1" ht="13.5" customHeight="1" x14ac:dyDescent="0.2">
      <c r="A7" s="992"/>
      <c r="B7" s="993"/>
      <c r="C7" s="989"/>
      <c r="D7" s="989"/>
      <c r="E7" s="990"/>
      <c r="F7" s="978"/>
      <c r="G7" s="978"/>
      <c r="H7" s="979"/>
      <c r="I7" s="979"/>
      <c r="J7" s="978"/>
      <c r="K7" s="980"/>
      <c r="L7" s="980"/>
      <c r="M7" s="980"/>
      <c r="N7" s="980"/>
      <c r="O7" s="980"/>
      <c r="P7" s="981"/>
      <c r="Q7" s="982"/>
    </row>
    <row r="8" spans="1:17" s="991" customFormat="1" ht="13.5" customHeight="1" x14ac:dyDescent="0.2">
      <c r="A8" s="994" t="s">
        <v>1395</v>
      </c>
      <c r="B8" s="995" t="str">
        <f>IF(B4&gt;" ",VLOOKUP(B4,'Lookup and lists'!B29:C312,2, FALSE)," ")</f>
        <v>LIM LIMPOPO</v>
      </c>
      <c r="C8" s="1302"/>
      <c r="D8" s="1302"/>
      <c r="E8" s="990"/>
      <c r="F8" s="978"/>
      <c r="G8" s="978"/>
      <c r="H8" s="979"/>
      <c r="I8" s="979"/>
      <c r="J8" s="978"/>
      <c r="K8" s="980"/>
      <c r="L8" s="980"/>
      <c r="M8" s="980"/>
      <c r="N8" s="980"/>
      <c r="O8" s="980"/>
      <c r="P8" s="981"/>
      <c r="Q8" s="982"/>
    </row>
    <row r="9" spans="1:17" s="991" customFormat="1" ht="13.5" customHeight="1" x14ac:dyDescent="0.2">
      <c r="A9" s="997"/>
      <c r="B9" s="998"/>
      <c r="C9" s="996"/>
      <c r="D9" s="996"/>
      <c r="E9" s="990"/>
      <c r="F9" s="978"/>
      <c r="G9" s="978"/>
      <c r="H9" s="979"/>
      <c r="I9" s="979"/>
      <c r="J9" s="978"/>
      <c r="K9" s="980"/>
      <c r="L9" s="980"/>
      <c r="M9" s="980"/>
      <c r="N9" s="980"/>
      <c r="O9" s="980"/>
      <c r="P9" s="981"/>
      <c r="Q9" s="982"/>
    </row>
    <row r="10" spans="1:17" ht="13.5" customHeight="1" x14ac:dyDescent="0.2">
      <c r="A10" s="999" t="s">
        <v>1396</v>
      </c>
      <c r="B10" s="1000" t="s">
        <v>1650</v>
      </c>
      <c r="C10" s="1001"/>
      <c r="D10" s="1002"/>
      <c r="F10" s="979"/>
      <c r="G10" s="978"/>
      <c r="H10" s="979"/>
      <c r="I10" s="979"/>
      <c r="J10" s="978"/>
      <c r="K10" s="980"/>
      <c r="L10" s="980"/>
      <c r="M10" s="980"/>
      <c r="N10" s="980"/>
      <c r="O10" s="980"/>
      <c r="P10" s="981"/>
      <c r="Q10" s="982"/>
    </row>
    <row r="11" spans="1:17" ht="13.5" customHeight="1" x14ac:dyDescent="0.2">
      <c r="A11" s="1003"/>
      <c r="B11" s="1004"/>
      <c r="C11" s="1303"/>
      <c r="D11" s="1304"/>
      <c r="F11" s="979"/>
      <c r="G11" s="978"/>
      <c r="H11" s="979"/>
      <c r="I11" s="979"/>
      <c r="J11" s="978"/>
      <c r="K11" s="980"/>
      <c r="L11" s="980"/>
      <c r="M11" s="980"/>
      <c r="N11" s="980"/>
      <c r="O11" s="980"/>
      <c r="P11" s="981"/>
      <c r="Q11" s="985"/>
    </row>
    <row r="12" spans="1:17" ht="13.5" customHeight="1" x14ac:dyDescent="0.2">
      <c r="A12" s="999" t="s">
        <v>1397</v>
      </c>
      <c r="B12" s="1005"/>
      <c r="C12" s="1006"/>
      <c r="D12" s="1006"/>
      <c r="F12" s="979"/>
      <c r="G12" s="979"/>
      <c r="H12" s="979"/>
      <c r="I12" s="979"/>
      <c r="J12" s="978"/>
      <c r="K12" s="980"/>
      <c r="L12" s="980"/>
      <c r="M12" s="980"/>
      <c r="N12" s="980"/>
      <c r="O12" s="980"/>
      <c r="P12" s="981"/>
      <c r="Q12" s="982"/>
    </row>
    <row r="13" spans="1:17" ht="13.5" customHeight="1" x14ac:dyDescent="0.2">
      <c r="A13" s="1007"/>
      <c r="B13" s="1008"/>
      <c r="C13" s="1305"/>
      <c r="D13" s="1305"/>
      <c r="F13" s="979"/>
      <c r="G13" s="979"/>
      <c r="H13" s="979"/>
      <c r="I13" s="1009"/>
      <c r="J13" s="979"/>
      <c r="K13" s="980"/>
      <c r="L13" s="980"/>
      <c r="M13" s="980"/>
      <c r="N13" s="980"/>
      <c r="O13" s="980"/>
      <c r="P13" s="981"/>
    </row>
    <row r="14" spans="1:17" ht="13.5" customHeight="1" thickBot="1" x14ac:dyDescent="0.25">
      <c r="A14" s="1306" t="s">
        <v>1398</v>
      </c>
      <c r="B14" s="1307"/>
      <c r="C14" s="990"/>
      <c r="D14" s="990"/>
      <c r="F14" s="979"/>
      <c r="G14" s="979"/>
      <c r="H14" s="1009"/>
      <c r="I14" s="1010"/>
      <c r="J14" s="979"/>
      <c r="K14" s="980"/>
      <c r="L14" s="980"/>
      <c r="M14" s="980"/>
      <c r="N14" s="980"/>
      <c r="O14" s="980"/>
      <c r="P14" s="981"/>
    </row>
    <row r="15" spans="1:17" ht="13.5" customHeight="1" thickTop="1" x14ac:dyDescent="0.2">
      <c r="A15" s="1011" t="s">
        <v>1399</v>
      </c>
      <c r="B15" s="1012"/>
      <c r="F15" s="1009"/>
      <c r="G15" s="979"/>
      <c r="H15" s="1010"/>
      <c r="I15" s="1010"/>
      <c r="J15" s="979"/>
      <c r="K15" s="980"/>
      <c r="L15" s="980"/>
      <c r="M15" s="980"/>
      <c r="N15" s="980"/>
      <c r="O15" s="980"/>
      <c r="P15" s="981"/>
    </row>
    <row r="16" spans="1:17" s="991" customFormat="1" ht="13.5" customHeight="1" x14ac:dyDescent="0.2">
      <c r="A16" s="1013" t="s">
        <v>1400</v>
      </c>
      <c r="B16" s="1014">
        <v>111</v>
      </c>
      <c r="C16" s="968"/>
      <c r="D16" s="968"/>
      <c r="E16" s="990"/>
      <c r="F16" s="1010"/>
      <c r="G16" s="1009"/>
      <c r="H16" s="1010"/>
      <c r="I16" s="1010"/>
      <c r="J16" s="979"/>
      <c r="K16" s="980"/>
      <c r="L16" s="980"/>
      <c r="M16" s="980"/>
      <c r="N16" s="980"/>
      <c r="O16" s="980"/>
      <c r="P16" s="981"/>
      <c r="Q16" s="255"/>
    </row>
    <row r="17" spans="1:16" ht="13.5" customHeight="1" x14ac:dyDescent="0.2">
      <c r="A17" s="1013" t="s">
        <v>1401</v>
      </c>
      <c r="B17" s="1014" t="s">
        <v>1651</v>
      </c>
      <c r="F17" s="1010"/>
      <c r="G17" s="1010"/>
      <c r="H17" s="1010"/>
      <c r="I17" s="1010"/>
      <c r="J17" s="1009"/>
      <c r="K17" s="980"/>
      <c r="L17" s="980"/>
      <c r="M17" s="980"/>
      <c r="N17" s="980"/>
      <c r="O17" s="980"/>
      <c r="P17" s="981"/>
    </row>
    <row r="18" spans="1:16" ht="13.5" customHeight="1" x14ac:dyDescent="0.2">
      <c r="A18" s="1015" t="s">
        <v>1402</v>
      </c>
      <c r="B18" s="1016">
        <v>700</v>
      </c>
      <c r="F18" s="1010"/>
      <c r="G18" s="1010"/>
      <c r="H18" s="1010"/>
      <c r="I18" s="1010"/>
      <c r="J18" s="1010"/>
      <c r="K18" s="980"/>
      <c r="L18" s="980"/>
      <c r="M18" s="980"/>
      <c r="N18" s="980"/>
      <c r="O18" s="980"/>
      <c r="P18" s="981"/>
    </row>
    <row r="19" spans="1:16" ht="13.5" customHeight="1" x14ac:dyDescent="0.2">
      <c r="A19" s="1017"/>
      <c r="B19" s="1018"/>
      <c r="F19" s="1010"/>
      <c r="G19" s="1010"/>
      <c r="H19" s="1010"/>
      <c r="I19" s="1010"/>
      <c r="J19" s="1010"/>
      <c r="K19" s="980"/>
      <c r="L19" s="980"/>
      <c r="M19" s="980"/>
      <c r="N19" s="980"/>
      <c r="O19" s="980"/>
      <c r="P19" s="981"/>
    </row>
    <row r="20" spans="1:16" ht="13.5" customHeight="1" x14ac:dyDescent="0.2">
      <c r="A20" s="1019" t="s">
        <v>1403</v>
      </c>
      <c r="B20" s="1020"/>
      <c r="F20" s="1010"/>
      <c r="G20" s="1010"/>
      <c r="H20" s="1010"/>
      <c r="I20" s="1010"/>
      <c r="J20" s="1010"/>
      <c r="K20" s="980"/>
      <c r="L20" s="980"/>
      <c r="M20" s="980"/>
      <c r="N20" s="980"/>
      <c r="O20" s="980"/>
      <c r="P20" s="981"/>
    </row>
    <row r="21" spans="1:16" ht="13.5" customHeight="1" x14ac:dyDescent="0.2">
      <c r="A21" s="1013" t="s">
        <v>1404</v>
      </c>
      <c r="B21" s="1014" t="s">
        <v>1652</v>
      </c>
      <c r="F21" s="1010"/>
      <c r="G21" s="1010"/>
      <c r="H21" s="1010"/>
      <c r="I21" s="1010"/>
      <c r="J21" s="1010"/>
      <c r="K21" s="980"/>
      <c r="L21" s="980"/>
      <c r="M21" s="980"/>
      <c r="N21" s="980"/>
      <c r="O21" s="980"/>
      <c r="P21" s="981"/>
    </row>
    <row r="22" spans="1:16" ht="13.5" customHeight="1" x14ac:dyDescent="0.2">
      <c r="A22" s="1013" t="s">
        <v>1405</v>
      </c>
      <c r="B22" s="1014" t="s">
        <v>1653</v>
      </c>
      <c r="F22" s="1010"/>
      <c r="G22" s="1010"/>
      <c r="H22" s="1010"/>
      <c r="I22" s="1010"/>
      <c r="J22" s="1010"/>
      <c r="K22" s="980"/>
      <c r="L22" s="980"/>
      <c r="M22" s="980"/>
      <c r="N22" s="980"/>
      <c r="O22" s="980"/>
      <c r="P22" s="981"/>
    </row>
    <row r="23" spans="1:16" ht="13.5" customHeight="1" x14ac:dyDescent="0.2">
      <c r="A23" s="1013" t="s">
        <v>1401</v>
      </c>
      <c r="B23" s="1014" t="s">
        <v>1651</v>
      </c>
      <c r="F23" s="1010"/>
      <c r="G23" s="1010"/>
      <c r="H23" s="1010"/>
      <c r="I23" s="1010"/>
      <c r="J23" s="1010"/>
      <c r="K23" s="980"/>
      <c r="L23" s="980"/>
      <c r="M23" s="980"/>
      <c r="N23" s="980"/>
      <c r="O23" s="980"/>
      <c r="P23" s="981"/>
    </row>
    <row r="24" spans="1:16" ht="13.5" customHeight="1" x14ac:dyDescent="0.2">
      <c r="A24" s="1015" t="s">
        <v>1402</v>
      </c>
      <c r="B24" s="1016">
        <v>700</v>
      </c>
      <c r="F24" s="1010"/>
      <c r="G24" s="1010"/>
      <c r="H24" s="1010"/>
      <c r="I24" s="1010"/>
      <c r="J24" s="1010"/>
      <c r="K24" s="980"/>
      <c r="L24" s="980"/>
      <c r="M24" s="980"/>
      <c r="N24" s="980"/>
      <c r="O24" s="980"/>
      <c r="P24" s="981"/>
    </row>
    <row r="25" spans="1:16" ht="13.5" customHeight="1" x14ac:dyDescent="0.2">
      <c r="A25" s="1017"/>
      <c r="B25" s="1018"/>
      <c r="F25" s="1010"/>
      <c r="G25" s="1010"/>
      <c r="H25" s="1010"/>
      <c r="I25" s="1010"/>
      <c r="J25" s="1010"/>
      <c r="K25" s="980"/>
      <c r="L25" s="980"/>
      <c r="M25" s="980"/>
      <c r="N25" s="980"/>
      <c r="O25" s="980"/>
      <c r="P25" s="981"/>
    </row>
    <row r="26" spans="1:16" ht="13.5" customHeight="1" x14ac:dyDescent="0.2">
      <c r="A26" s="1019" t="s">
        <v>1406</v>
      </c>
      <c r="B26" s="1021"/>
      <c r="F26" s="1010"/>
      <c r="G26" s="1010"/>
      <c r="H26" s="1010"/>
      <c r="I26" s="1010"/>
      <c r="J26" s="1010"/>
      <c r="K26" s="980"/>
      <c r="L26" s="980"/>
      <c r="M26" s="980"/>
      <c r="N26" s="980"/>
      <c r="O26" s="980"/>
      <c r="P26" s="981"/>
    </row>
    <row r="27" spans="1:16" ht="13.5" customHeight="1" x14ac:dyDescent="0.2">
      <c r="A27" s="1013" t="s">
        <v>1407</v>
      </c>
      <c r="B27" s="1014" t="s">
        <v>1654</v>
      </c>
      <c r="F27" s="1010"/>
      <c r="G27" s="1010"/>
      <c r="H27" s="1010"/>
      <c r="I27" s="1010"/>
      <c r="J27" s="1010"/>
      <c r="K27" s="980"/>
      <c r="L27" s="980"/>
      <c r="M27" s="980"/>
      <c r="N27" s="980"/>
      <c r="O27" s="980"/>
      <c r="P27" s="981"/>
    </row>
    <row r="28" spans="1:16" ht="13.5" customHeight="1" x14ac:dyDescent="0.2">
      <c r="A28" s="1015" t="s">
        <v>1408</v>
      </c>
      <c r="B28" s="1022">
        <v>152902106</v>
      </c>
      <c r="J28" s="1010"/>
      <c r="K28" s="1010"/>
      <c r="L28" s="1010"/>
      <c r="M28" s="1010"/>
      <c r="N28" s="1010"/>
      <c r="O28" s="1010"/>
      <c r="P28" s="981"/>
    </row>
    <row r="29" spans="1:16" ht="13.5" customHeight="1" x14ac:dyDescent="0.2">
      <c r="A29" s="1017"/>
      <c r="B29" s="1023"/>
      <c r="P29" s="981"/>
    </row>
    <row r="30" spans="1:16" ht="13.5" customHeight="1" thickBot="1" x14ac:dyDescent="0.25">
      <c r="A30" s="1308" t="s">
        <v>1409</v>
      </c>
      <c r="B30" s="1309"/>
      <c r="C30" s="1310"/>
      <c r="D30" s="1311"/>
      <c r="P30" s="981"/>
    </row>
    <row r="31" spans="1:16" ht="13.5" customHeight="1" thickTop="1" x14ac:dyDescent="0.2">
      <c r="A31" s="1019" t="s">
        <v>1410</v>
      </c>
      <c r="B31" s="1020"/>
      <c r="C31" s="1312" t="s">
        <v>1411</v>
      </c>
      <c r="D31" s="1313"/>
      <c r="P31" s="981"/>
    </row>
    <row r="32" spans="1:16" ht="13.5" customHeight="1" x14ac:dyDescent="0.2">
      <c r="A32" s="1013" t="s">
        <v>1412</v>
      </c>
      <c r="B32" s="1024" t="s">
        <v>1655</v>
      </c>
      <c r="C32" s="1013" t="s">
        <v>1412</v>
      </c>
      <c r="D32" s="1024" t="s">
        <v>1660</v>
      </c>
      <c r="P32" s="981"/>
    </row>
    <row r="33" spans="1:16" ht="13.5" customHeight="1" x14ac:dyDescent="0.2">
      <c r="A33" s="1013" t="s">
        <v>1407</v>
      </c>
      <c r="B33" s="1248">
        <v>152902061</v>
      </c>
      <c r="C33" s="1013" t="s">
        <v>1407</v>
      </c>
      <c r="D33" s="1024">
        <v>152902876</v>
      </c>
      <c r="F33" s="978"/>
      <c r="G33" s="980"/>
      <c r="P33" s="981"/>
    </row>
    <row r="34" spans="1:16" ht="13.5" customHeight="1" x14ac:dyDescent="0.2">
      <c r="A34" s="1013" t="s">
        <v>1413</v>
      </c>
      <c r="B34" s="1024">
        <v>799507478</v>
      </c>
      <c r="C34" s="1013" t="s">
        <v>1413</v>
      </c>
      <c r="D34" s="1024">
        <v>784826728</v>
      </c>
      <c r="F34" s="978"/>
      <c r="G34" s="980"/>
      <c r="P34" s="981"/>
    </row>
    <row r="35" spans="1:16" ht="13.5" customHeight="1" x14ac:dyDescent="0.2">
      <c r="A35" s="1013" t="s">
        <v>1408</v>
      </c>
      <c r="B35" s="1024" t="s">
        <v>1656</v>
      </c>
      <c r="C35" s="1013" t="s">
        <v>1408</v>
      </c>
      <c r="D35" s="1024" t="s">
        <v>1656</v>
      </c>
      <c r="F35" s="979"/>
      <c r="G35" s="980"/>
      <c r="P35" s="981"/>
    </row>
    <row r="36" spans="1:16" ht="13.5" customHeight="1" x14ac:dyDescent="0.2">
      <c r="A36" s="1013" t="s">
        <v>1414</v>
      </c>
      <c r="B36" s="1249" t="s">
        <v>1657</v>
      </c>
      <c r="C36" s="1013" t="s">
        <v>1414</v>
      </c>
      <c r="D36" s="1024" t="s">
        <v>1661</v>
      </c>
      <c r="F36" s="979"/>
      <c r="G36" s="980"/>
      <c r="P36" s="981"/>
    </row>
    <row r="37" spans="1:16" ht="13.5" customHeight="1" x14ac:dyDescent="0.2">
      <c r="A37" s="1013"/>
      <c r="B37" s="1024"/>
      <c r="C37" s="1013"/>
      <c r="D37" s="1024"/>
      <c r="F37" s="979"/>
      <c r="G37" s="980"/>
      <c r="P37" s="981"/>
    </row>
    <row r="38" spans="1:16" ht="13.5" customHeight="1" x14ac:dyDescent="0.2">
      <c r="A38" s="1292" t="s">
        <v>1415</v>
      </c>
      <c r="B38" s="1293"/>
      <c r="C38" s="1292" t="s">
        <v>1416</v>
      </c>
      <c r="D38" s="1293"/>
      <c r="F38" s="979"/>
      <c r="G38" s="980"/>
      <c r="P38" s="981"/>
    </row>
    <row r="39" spans="1:16" ht="13.5" customHeight="1" x14ac:dyDescent="0.2">
      <c r="A39" s="1013" t="s">
        <v>1412</v>
      </c>
      <c r="B39" s="1014" t="s">
        <v>1658</v>
      </c>
      <c r="C39" s="1013" t="s">
        <v>1412</v>
      </c>
      <c r="D39" s="1014" t="s">
        <v>1662</v>
      </c>
      <c r="F39" s="979"/>
      <c r="G39" s="980"/>
      <c r="P39" s="981"/>
    </row>
    <row r="40" spans="1:16" ht="13.5" customHeight="1" x14ac:dyDescent="0.2">
      <c r="A40" s="1013" t="s">
        <v>1407</v>
      </c>
      <c r="B40" s="1014">
        <v>152902101</v>
      </c>
      <c r="C40" s="1013" t="s">
        <v>1407</v>
      </c>
      <c r="D40" s="1014">
        <v>152902103</v>
      </c>
      <c r="F40" s="1009"/>
      <c r="G40" s="980"/>
      <c r="P40" s="981"/>
    </row>
    <row r="41" spans="1:16" ht="13.5" customHeight="1" x14ac:dyDescent="0.2">
      <c r="A41" s="1013" t="s">
        <v>1413</v>
      </c>
      <c r="B41" s="1014">
        <v>825536680</v>
      </c>
      <c r="C41" s="1013" t="s">
        <v>1413</v>
      </c>
      <c r="D41" s="1014">
        <v>718964344</v>
      </c>
      <c r="F41" s="1010"/>
      <c r="G41" s="980"/>
      <c r="P41" s="981"/>
    </row>
    <row r="42" spans="1:16" ht="13.5" customHeight="1" x14ac:dyDescent="0.2">
      <c r="A42" s="1013" t="s">
        <v>1408</v>
      </c>
      <c r="B42" s="1014">
        <v>152902106</v>
      </c>
      <c r="C42" s="1013" t="s">
        <v>1408</v>
      </c>
      <c r="D42" s="1014">
        <v>152902106</v>
      </c>
      <c r="F42" s="1010"/>
      <c r="G42" s="980"/>
      <c r="P42" s="981"/>
    </row>
    <row r="43" spans="1:16" ht="13.5" customHeight="1" x14ac:dyDescent="0.2">
      <c r="A43" s="1025" t="s">
        <v>1414</v>
      </c>
      <c r="B43" s="1026" t="s">
        <v>1659</v>
      </c>
      <c r="C43" s="1025" t="s">
        <v>1414</v>
      </c>
      <c r="D43" s="1026" t="s">
        <v>1663</v>
      </c>
      <c r="F43" s="1010"/>
      <c r="G43" s="980"/>
      <c r="P43" s="981"/>
    </row>
    <row r="44" spans="1:16" ht="13.5" customHeight="1" x14ac:dyDescent="0.2">
      <c r="A44" s="1017"/>
      <c r="B44" s="1023"/>
      <c r="C44" s="1017"/>
      <c r="D44" s="1023"/>
      <c r="F44" s="1010"/>
      <c r="G44" s="980"/>
      <c r="P44" s="981"/>
    </row>
    <row r="45" spans="1:16" ht="13.5" customHeight="1" x14ac:dyDescent="0.2">
      <c r="A45" s="1292" t="s">
        <v>1417</v>
      </c>
      <c r="B45" s="1293"/>
      <c r="C45" s="1292" t="s">
        <v>1418</v>
      </c>
      <c r="D45" s="1293"/>
      <c r="F45" s="1010"/>
      <c r="G45" s="980"/>
      <c r="P45" s="981"/>
    </row>
    <row r="46" spans="1:16" ht="13.5" customHeight="1" x14ac:dyDescent="0.2">
      <c r="A46" s="1013" t="s">
        <v>1412</v>
      </c>
      <c r="B46" s="1014"/>
      <c r="C46" s="1013" t="s">
        <v>1412</v>
      </c>
      <c r="D46" s="1014"/>
      <c r="F46" s="1010"/>
      <c r="G46" s="980"/>
      <c r="P46" s="981"/>
    </row>
    <row r="47" spans="1:16" s="255" customFormat="1" ht="13.5" customHeight="1" x14ac:dyDescent="0.2">
      <c r="A47" s="1013" t="s">
        <v>1407</v>
      </c>
      <c r="B47" s="1014"/>
      <c r="C47" s="1013" t="s">
        <v>1407</v>
      </c>
      <c r="D47" s="1014"/>
      <c r="E47" s="968"/>
      <c r="F47" s="1010"/>
      <c r="G47" s="980"/>
      <c r="P47" s="981"/>
    </row>
    <row r="48" spans="1:16" s="255" customFormat="1" ht="13.5" customHeight="1" x14ac:dyDescent="0.2">
      <c r="A48" s="1013" t="s">
        <v>1413</v>
      </c>
      <c r="B48" s="1014"/>
      <c r="C48" s="1013" t="s">
        <v>1413</v>
      </c>
      <c r="D48" s="1014"/>
      <c r="E48" s="968"/>
      <c r="F48" s="1010"/>
      <c r="G48" s="980"/>
      <c r="P48" s="981"/>
    </row>
    <row r="49" spans="1:17" s="255" customFormat="1" ht="13.5" customHeight="1" x14ac:dyDescent="0.2">
      <c r="A49" s="1013" t="s">
        <v>1408</v>
      </c>
      <c r="B49" s="1014"/>
      <c r="C49" s="1013" t="s">
        <v>1408</v>
      </c>
      <c r="D49" s="1014"/>
      <c r="E49" s="968"/>
      <c r="F49" s="1010"/>
      <c r="G49" s="980"/>
      <c r="P49" s="981"/>
    </row>
    <row r="50" spans="1:17" s="255" customFormat="1" ht="13.5" customHeight="1" x14ac:dyDescent="0.2">
      <c r="A50" s="1015" t="s">
        <v>1414</v>
      </c>
      <c r="B50" s="1022"/>
      <c r="C50" s="1015" t="s">
        <v>1414</v>
      </c>
      <c r="D50" s="1022"/>
      <c r="E50" s="968"/>
      <c r="F50" s="1010"/>
      <c r="G50" s="980"/>
      <c r="P50" s="981"/>
    </row>
    <row r="51" spans="1:17" s="255" customFormat="1" ht="13.5" customHeight="1" x14ac:dyDescent="0.2">
      <c r="A51" s="1017"/>
      <c r="B51" s="1023"/>
      <c r="C51" s="1017"/>
      <c r="D51" s="1023"/>
      <c r="E51" s="968"/>
      <c r="F51" s="1010"/>
      <c r="G51" s="980"/>
      <c r="P51" s="981"/>
    </row>
    <row r="52" spans="1:17" s="255" customFormat="1" ht="13.5" customHeight="1" thickBot="1" x14ac:dyDescent="0.25">
      <c r="A52" s="1298" t="s">
        <v>1419</v>
      </c>
      <c r="B52" s="1299"/>
      <c r="C52" s="1300"/>
      <c r="D52" s="1301"/>
      <c r="E52" s="968"/>
      <c r="F52" s="1010"/>
      <c r="G52" s="980"/>
      <c r="P52" s="981"/>
    </row>
    <row r="53" spans="1:17" s="1029" customFormat="1" ht="13.5" customHeight="1" thickTop="1" x14ac:dyDescent="0.2">
      <c r="A53" s="1019" t="s">
        <v>1420</v>
      </c>
      <c r="B53" s="1020"/>
      <c r="C53" s="1292" t="s">
        <v>1421</v>
      </c>
      <c r="D53" s="1293"/>
      <c r="E53" s="970"/>
      <c r="F53" s="1027"/>
      <c r="G53" s="1028"/>
      <c r="P53" s="981"/>
      <c r="Q53" s="255"/>
    </row>
    <row r="54" spans="1:17" s="1029" customFormat="1" ht="13.5" customHeight="1" x14ac:dyDescent="0.2">
      <c r="A54" s="1013" t="s">
        <v>1412</v>
      </c>
      <c r="B54" s="1014"/>
      <c r="C54" s="1013" t="s">
        <v>1412</v>
      </c>
      <c r="D54" s="1014"/>
      <c r="E54" s="970"/>
      <c r="F54" s="1027"/>
      <c r="G54" s="1028"/>
      <c r="P54" s="981"/>
      <c r="Q54" s="255"/>
    </row>
    <row r="55" spans="1:17" s="255" customFormat="1" ht="13.5" customHeight="1" x14ac:dyDescent="0.2">
      <c r="A55" s="1013" t="s">
        <v>1407</v>
      </c>
      <c r="B55" s="1014"/>
      <c r="C55" s="1013" t="s">
        <v>1407</v>
      </c>
      <c r="D55" s="1014"/>
      <c r="E55" s="968"/>
      <c r="F55" s="1010"/>
      <c r="G55" s="980"/>
      <c r="P55" s="981"/>
    </row>
    <row r="56" spans="1:17" s="255" customFormat="1" ht="13.5" customHeight="1" x14ac:dyDescent="0.2">
      <c r="A56" s="1013" t="s">
        <v>1413</v>
      </c>
      <c r="B56" s="1014"/>
      <c r="C56" s="1013" t="s">
        <v>1413</v>
      </c>
      <c r="D56" s="1014"/>
      <c r="E56" s="968"/>
      <c r="F56" s="1010"/>
      <c r="G56" s="980"/>
      <c r="P56" s="981"/>
    </row>
    <row r="57" spans="1:17" s="255" customFormat="1" ht="13.5" customHeight="1" x14ac:dyDescent="0.2">
      <c r="A57" s="1013" t="s">
        <v>1408</v>
      </c>
      <c r="B57" s="1014"/>
      <c r="C57" s="1013" t="s">
        <v>1408</v>
      </c>
      <c r="D57" s="1014"/>
      <c r="E57" s="968"/>
      <c r="F57" s="1010"/>
      <c r="G57" s="980"/>
      <c r="P57" s="981"/>
    </row>
    <row r="58" spans="1:17" ht="13.5" customHeight="1" x14ac:dyDescent="0.2">
      <c r="A58" s="1015" t="s">
        <v>1414</v>
      </c>
      <c r="B58" s="1022"/>
      <c r="C58" s="1015" t="s">
        <v>1414</v>
      </c>
      <c r="D58" s="1022"/>
      <c r="F58" s="1010"/>
      <c r="G58" s="980"/>
      <c r="P58" s="981"/>
    </row>
    <row r="59" spans="1:17" ht="13.5" customHeight="1" x14ac:dyDescent="0.2">
      <c r="A59" s="1017"/>
      <c r="B59" s="1023"/>
      <c r="C59" s="1017"/>
      <c r="D59" s="1023"/>
      <c r="F59" s="1010"/>
      <c r="G59" s="980"/>
      <c r="P59" s="981"/>
    </row>
    <row r="60" spans="1:17" ht="13.5" customHeight="1" x14ac:dyDescent="0.2">
      <c r="A60" s="1030" t="s">
        <v>1422</v>
      </c>
      <c r="B60" s="1021"/>
      <c r="C60" s="1292" t="s">
        <v>1423</v>
      </c>
      <c r="D60" s="1293"/>
      <c r="F60" s="1010"/>
      <c r="G60" s="980"/>
      <c r="P60" s="981"/>
    </row>
    <row r="61" spans="1:17" s="1031" customFormat="1" ht="13.5" customHeight="1" x14ac:dyDescent="0.2">
      <c r="A61" s="1013" t="s">
        <v>1412</v>
      </c>
      <c r="B61" s="1014" t="s">
        <v>1664</v>
      </c>
      <c r="C61" s="1013" t="s">
        <v>1412</v>
      </c>
      <c r="D61" s="1014" t="s">
        <v>1665</v>
      </c>
      <c r="E61" s="970"/>
      <c r="F61" s="1027"/>
      <c r="G61" s="1028"/>
      <c r="H61" s="1029"/>
      <c r="I61" s="1029"/>
      <c r="J61" s="1029"/>
      <c r="K61" s="1029"/>
      <c r="L61" s="1029"/>
      <c r="M61" s="1029"/>
      <c r="N61" s="1029"/>
      <c r="O61" s="1029"/>
      <c r="P61" s="981"/>
      <c r="Q61" s="255"/>
    </row>
    <row r="62" spans="1:17" ht="13.5" customHeight="1" x14ac:dyDescent="0.2">
      <c r="A62" s="1013" t="s">
        <v>1407</v>
      </c>
      <c r="B62" s="1014">
        <v>152902040</v>
      </c>
      <c r="C62" s="1013" t="s">
        <v>1407</v>
      </c>
      <c r="D62" s="1014">
        <v>152902049</v>
      </c>
      <c r="F62" s="1010"/>
      <c r="G62" s="980"/>
      <c r="P62" s="981"/>
    </row>
    <row r="63" spans="1:17" ht="13.5" customHeight="1" x14ac:dyDescent="0.2">
      <c r="A63" s="1013" t="s">
        <v>1413</v>
      </c>
      <c r="B63" s="1014">
        <v>814749877</v>
      </c>
      <c r="C63" s="1013" t="s">
        <v>1413</v>
      </c>
      <c r="D63" s="1014">
        <v>832850057</v>
      </c>
      <c r="F63" s="1010"/>
      <c r="G63" s="980"/>
      <c r="P63" s="981"/>
    </row>
    <row r="64" spans="1:17" ht="13.5" customHeight="1" x14ac:dyDescent="0.2">
      <c r="A64" s="1013" t="s">
        <v>1408</v>
      </c>
      <c r="B64" s="1014">
        <v>865315270</v>
      </c>
      <c r="C64" s="1013" t="s">
        <v>1408</v>
      </c>
      <c r="D64" s="1014">
        <v>865315270</v>
      </c>
      <c r="F64" s="1010"/>
      <c r="G64" s="980"/>
      <c r="P64" s="981"/>
    </row>
    <row r="65" spans="1:17" ht="13.5" customHeight="1" x14ac:dyDescent="0.2">
      <c r="A65" s="1015" t="s">
        <v>1414</v>
      </c>
      <c r="B65" s="1022" t="s">
        <v>1851</v>
      </c>
      <c r="C65" s="1015" t="s">
        <v>1414</v>
      </c>
      <c r="D65" s="1022" t="s">
        <v>1666</v>
      </c>
      <c r="F65" s="1010"/>
      <c r="G65" s="980"/>
      <c r="P65" s="981"/>
    </row>
    <row r="66" spans="1:17" ht="13.5" customHeight="1" x14ac:dyDescent="0.2">
      <c r="A66" s="1017"/>
      <c r="B66" s="1023"/>
      <c r="C66" s="1017"/>
      <c r="D66" s="1023"/>
      <c r="F66" s="1010"/>
      <c r="G66" s="980"/>
      <c r="P66" s="981"/>
    </row>
    <row r="67" spans="1:17" ht="13.5" customHeight="1" x14ac:dyDescent="0.2">
      <c r="A67" s="1292" t="s">
        <v>1424</v>
      </c>
      <c r="B67" s="1293"/>
      <c r="C67" s="1296"/>
      <c r="D67" s="1297"/>
      <c r="F67" s="1010"/>
      <c r="G67" s="980"/>
      <c r="P67" s="981"/>
    </row>
    <row r="68" spans="1:17" s="1031" customFormat="1" ht="13.5" customHeight="1" x14ac:dyDescent="0.2">
      <c r="A68" s="1013" t="s">
        <v>1412</v>
      </c>
      <c r="B68" s="1014" t="s">
        <v>1726</v>
      </c>
      <c r="C68" s="1032"/>
      <c r="D68" s="1033"/>
      <c r="E68" s="970"/>
      <c r="F68" s="1027"/>
      <c r="G68" s="1028"/>
      <c r="H68" s="1029"/>
      <c r="I68" s="1029"/>
      <c r="J68" s="1029"/>
      <c r="K68" s="1029"/>
      <c r="L68" s="1029"/>
      <c r="M68" s="1029"/>
      <c r="N68" s="1029"/>
      <c r="O68" s="1029"/>
      <c r="P68" s="981"/>
      <c r="Q68" s="255"/>
    </row>
    <row r="69" spans="1:17" ht="13.5" customHeight="1" x14ac:dyDescent="0.2">
      <c r="A69" s="1013" t="s">
        <v>1407</v>
      </c>
      <c r="B69" s="1014">
        <v>152902034</v>
      </c>
      <c r="C69" s="1032"/>
      <c r="D69" s="1033"/>
      <c r="F69" s="1010"/>
      <c r="G69" s="980"/>
      <c r="P69" s="981"/>
    </row>
    <row r="70" spans="1:17" ht="13.5" customHeight="1" x14ac:dyDescent="0.2">
      <c r="A70" s="1013" t="s">
        <v>1413</v>
      </c>
      <c r="B70" s="1014">
        <v>838249865</v>
      </c>
      <c r="C70" s="1032"/>
      <c r="D70" s="1033"/>
      <c r="F70" s="1010"/>
      <c r="G70" s="980"/>
      <c r="P70" s="981"/>
    </row>
    <row r="71" spans="1:17" ht="13.5" customHeight="1" x14ac:dyDescent="0.2">
      <c r="A71" s="1013" t="s">
        <v>1408</v>
      </c>
      <c r="B71" s="1014" t="s">
        <v>1656</v>
      </c>
      <c r="C71" s="1032"/>
      <c r="D71" s="1033"/>
      <c r="F71" s="1010"/>
      <c r="G71" s="980"/>
      <c r="P71" s="981"/>
    </row>
    <row r="72" spans="1:17" ht="13.5" customHeight="1" x14ac:dyDescent="0.2">
      <c r="A72" s="1013" t="s">
        <v>1414</v>
      </c>
      <c r="B72" s="1250" t="s">
        <v>1727</v>
      </c>
      <c r="C72" s="1032"/>
      <c r="D72" s="1033"/>
      <c r="F72" s="1010"/>
      <c r="G72" s="980"/>
      <c r="P72" s="981"/>
    </row>
    <row r="73" spans="1:17" ht="13.5" customHeight="1" x14ac:dyDescent="0.2">
      <c r="A73" s="1292" t="s">
        <v>1424</v>
      </c>
      <c r="B73" s="1293"/>
      <c r="C73" s="1294"/>
      <c r="D73" s="1295"/>
      <c r="F73" s="1010"/>
      <c r="G73" s="980"/>
      <c r="P73" s="981"/>
    </row>
    <row r="74" spans="1:17" ht="13.5" customHeight="1" x14ac:dyDescent="0.2">
      <c r="A74" s="1013" t="s">
        <v>1412</v>
      </c>
      <c r="B74" s="1014" t="s">
        <v>1667</v>
      </c>
      <c r="C74" s="1032"/>
      <c r="D74" s="1033"/>
      <c r="F74" s="1010"/>
      <c r="G74" s="980"/>
      <c r="P74" s="981"/>
    </row>
    <row r="75" spans="1:17" ht="13.5" customHeight="1" x14ac:dyDescent="0.2">
      <c r="A75" s="1013" t="s">
        <v>1407</v>
      </c>
      <c r="B75" s="1248">
        <v>152902051</v>
      </c>
      <c r="C75" s="1032"/>
      <c r="D75" s="1033"/>
      <c r="F75" s="1010"/>
      <c r="G75" s="980"/>
      <c r="P75" s="981"/>
    </row>
    <row r="76" spans="1:17" s="255" customFormat="1" ht="13.5" customHeight="1" x14ac:dyDescent="0.2">
      <c r="A76" s="1013" t="s">
        <v>1413</v>
      </c>
      <c r="B76" s="1248">
        <v>836662986</v>
      </c>
      <c r="C76" s="1032"/>
      <c r="D76" s="1033"/>
      <c r="E76" s="968"/>
      <c r="F76" s="1010"/>
      <c r="G76" s="980"/>
      <c r="P76" s="981"/>
    </row>
    <row r="77" spans="1:17" s="255" customFormat="1" ht="13.5" customHeight="1" x14ac:dyDescent="0.2">
      <c r="A77" s="1013" t="s">
        <v>1408</v>
      </c>
      <c r="B77" s="1014" t="s">
        <v>1656</v>
      </c>
      <c r="C77" s="1032"/>
      <c r="D77" s="1033"/>
      <c r="E77" s="968"/>
      <c r="F77" s="1010"/>
      <c r="G77" s="980"/>
      <c r="P77" s="981"/>
    </row>
    <row r="78" spans="1:17" s="255" customFormat="1" ht="13.5" customHeight="1" x14ac:dyDescent="0.2">
      <c r="A78" s="1013" t="s">
        <v>1414</v>
      </c>
      <c r="B78" s="1250" t="s">
        <v>1668</v>
      </c>
      <c r="C78" s="1032"/>
      <c r="D78" s="1033"/>
      <c r="E78" s="968"/>
      <c r="F78" s="1010"/>
      <c r="G78" s="980"/>
      <c r="P78" s="981"/>
    </row>
    <row r="79" spans="1:17" s="255" customFormat="1" ht="13.5" customHeight="1" x14ac:dyDescent="0.2">
      <c r="A79" s="1292" t="s">
        <v>1424</v>
      </c>
      <c r="B79" s="1293"/>
      <c r="C79" s="1294"/>
      <c r="D79" s="1295"/>
      <c r="E79" s="968"/>
      <c r="F79" s="1010"/>
      <c r="G79" s="980"/>
      <c r="P79" s="981"/>
    </row>
    <row r="80" spans="1:17" s="255" customFormat="1" ht="13.5" customHeight="1" x14ac:dyDescent="0.2">
      <c r="A80" s="1013" t="s">
        <v>1412</v>
      </c>
      <c r="B80" s="1014" t="s">
        <v>1669</v>
      </c>
      <c r="C80" s="1032"/>
      <c r="D80" s="1033"/>
      <c r="E80" s="968"/>
      <c r="F80" s="1010"/>
      <c r="G80" s="980"/>
      <c r="P80" s="981"/>
    </row>
    <row r="81" spans="1:25" s="255" customFormat="1" ht="13.5" customHeight="1" x14ac:dyDescent="0.2">
      <c r="A81" s="1013" t="s">
        <v>1407</v>
      </c>
      <c r="B81" s="1248">
        <v>152902195</v>
      </c>
      <c r="C81" s="1032"/>
      <c r="D81" s="1033"/>
      <c r="E81" s="968"/>
      <c r="F81" s="1010"/>
      <c r="G81" s="980"/>
      <c r="P81" s="981"/>
    </row>
    <row r="82" spans="1:25" s="255" customFormat="1" ht="13.5" customHeight="1" x14ac:dyDescent="0.2">
      <c r="A82" s="1013" t="s">
        <v>1413</v>
      </c>
      <c r="B82" s="1248">
        <v>722360625</v>
      </c>
      <c r="C82" s="1032"/>
      <c r="D82" s="1033"/>
      <c r="E82" s="968"/>
      <c r="F82" s="1010"/>
      <c r="G82" s="980"/>
      <c r="P82" s="981"/>
    </row>
    <row r="83" spans="1:25" s="255" customFormat="1" ht="13.5" customHeight="1" x14ac:dyDescent="0.2">
      <c r="A83" s="1013" t="s">
        <v>1408</v>
      </c>
      <c r="B83" s="1014" t="s">
        <v>1656</v>
      </c>
      <c r="C83" s="1032"/>
      <c r="D83" s="1033"/>
      <c r="E83" s="968"/>
      <c r="F83" s="1010"/>
      <c r="G83" s="980"/>
      <c r="P83" s="981"/>
    </row>
    <row r="84" spans="1:25" s="255" customFormat="1" ht="13.5" customHeight="1" x14ac:dyDescent="0.2">
      <c r="A84" s="1013" t="s">
        <v>1414</v>
      </c>
      <c r="B84" s="1250" t="s">
        <v>1670</v>
      </c>
      <c r="C84" s="1017"/>
      <c r="D84" s="1023"/>
      <c r="E84" s="968"/>
      <c r="F84" s="1010"/>
      <c r="G84" s="980"/>
      <c r="P84" s="981"/>
    </row>
    <row r="85" spans="1:25" s="255" customFormat="1" ht="12.75" customHeight="1" x14ac:dyDescent="0.2">
      <c r="C85" s="968"/>
      <c r="D85" s="968"/>
      <c r="E85" s="968"/>
      <c r="F85" s="1010"/>
      <c r="G85" s="980"/>
      <c r="P85" s="981"/>
    </row>
    <row r="86" spans="1:25" s="255" customFormat="1" ht="12.75" customHeight="1" x14ac:dyDescent="0.2">
      <c r="E86" s="968"/>
      <c r="F86" s="1010"/>
      <c r="G86" s="980"/>
      <c r="P86" s="981"/>
    </row>
    <row r="87" spans="1:25" s="255" customFormat="1" ht="12.75" customHeight="1" x14ac:dyDescent="0.25">
      <c r="A87" s="988"/>
      <c r="B87" s="287"/>
      <c r="C87" s="287"/>
      <c r="D87" s="287"/>
      <c r="E87" s="968"/>
      <c r="F87" s="1010"/>
      <c r="G87" s="980"/>
      <c r="P87" s="981"/>
    </row>
    <row r="88" spans="1:25" s="255" customFormat="1" ht="12.75" customHeight="1" x14ac:dyDescent="0.2">
      <c r="E88" s="968"/>
      <c r="F88" s="1010"/>
      <c r="G88" s="980"/>
      <c r="P88" s="981"/>
    </row>
    <row r="89" spans="1:25" s="287" customFormat="1" ht="12.75" customHeight="1" x14ac:dyDescent="0.25">
      <c r="A89" s="968"/>
      <c r="B89" s="968"/>
      <c r="C89" s="968"/>
      <c r="D89" s="968"/>
      <c r="E89" s="1034"/>
      <c r="F89" s="1010"/>
      <c r="G89" s="980"/>
      <c r="I89" s="255"/>
      <c r="J89" s="255"/>
      <c r="K89" s="255"/>
      <c r="L89" s="255"/>
      <c r="M89" s="255"/>
      <c r="N89" s="255"/>
      <c r="O89" s="255"/>
      <c r="P89" s="981"/>
      <c r="Q89" s="255"/>
    </row>
    <row r="90" spans="1:25" s="255" customFormat="1" ht="12.75" customHeight="1" x14ac:dyDescent="0.2">
      <c r="A90" s="968"/>
      <c r="B90" s="968"/>
      <c r="C90" s="968"/>
      <c r="D90" s="968"/>
      <c r="E90" s="968"/>
      <c r="F90" s="1010"/>
      <c r="G90" s="980"/>
      <c r="P90" s="981"/>
    </row>
    <row r="91" spans="1:25" s="255" customFormat="1" ht="12.75" customHeight="1" x14ac:dyDescent="0.2">
      <c r="A91" s="968"/>
      <c r="B91" s="968"/>
      <c r="C91" s="968"/>
      <c r="D91" s="968"/>
      <c r="E91" s="968"/>
      <c r="F91" s="1010"/>
      <c r="G91" s="980"/>
      <c r="P91" s="981"/>
    </row>
    <row r="92" spans="1:25" s="255" customFormat="1" ht="12.75" customHeight="1" x14ac:dyDescent="0.2">
      <c r="A92" s="1035"/>
      <c r="B92" s="968"/>
      <c r="C92" s="968"/>
      <c r="D92" s="968"/>
      <c r="E92" s="968"/>
      <c r="P92" s="981"/>
    </row>
    <row r="93" spans="1:25" s="255" customFormat="1" ht="12.75" customHeight="1" x14ac:dyDescent="0.2">
      <c r="A93" s="1036"/>
      <c r="B93" s="968"/>
      <c r="C93" s="968"/>
      <c r="D93" s="968"/>
      <c r="E93" s="968"/>
      <c r="P93" s="981"/>
    </row>
    <row r="94" spans="1:25" s="255" customFormat="1" ht="12.75" customHeight="1" x14ac:dyDescent="0.2">
      <c r="A94" s="1036"/>
      <c r="B94" s="968"/>
      <c r="C94" s="968"/>
      <c r="D94" s="968"/>
      <c r="E94" s="968"/>
      <c r="P94" s="981"/>
    </row>
    <row r="95" spans="1:25" s="255" customFormat="1" ht="12.75" customHeight="1" x14ac:dyDescent="0.2">
      <c r="A95" s="1036"/>
      <c r="B95" s="968"/>
      <c r="C95" s="968"/>
      <c r="D95" s="968"/>
      <c r="E95" s="968"/>
      <c r="P95" s="981"/>
    </row>
    <row r="96" spans="1:25" ht="12.75" customHeight="1" x14ac:dyDescent="0.2">
      <c r="A96" s="1036"/>
      <c r="E96" s="1037"/>
      <c r="P96" s="981"/>
      <c r="R96" s="1038"/>
      <c r="S96" s="1038"/>
      <c r="T96" s="1038"/>
      <c r="U96" s="1038"/>
      <c r="V96" s="1038"/>
      <c r="W96" s="1038"/>
      <c r="X96" s="1038"/>
      <c r="Y96" s="1038"/>
    </row>
    <row r="97" spans="1:25" ht="12.75" customHeight="1" x14ac:dyDescent="0.2">
      <c r="A97" s="1039"/>
      <c r="B97" s="1037"/>
      <c r="C97" s="1037"/>
      <c r="D97" s="1037"/>
      <c r="E97" s="1037"/>
      <c r="P97" s="981"/>
      <c r="R97" s="1038"/>
      <c r="S97" s="1038"/>
      <c r="T97" s="1038"/>
      <c r="U97" s="1038"/>
      <c r="V97" s="1038"/>
      <c r="W97" s="1038"/>
      <c r="X97" s="1038"/>
      <c r="Y97" s="1038"/>
    </row>
    <row r="98" spans="1:25" ht="12.75" customHeight="1" x14ac:dyDescent="0.2">
      <c r="A98" s="1039"/>
      <c r="B98" s="1037"/>
      <c r="C98" s="1037"/>
      <c r="D98" s="1037"/>
      <c r="E98" s="1037"/>
      <c r="P98" s="981"/>
      <c r="R98" s="1038"/>
      <c r="S98" s="1038"/>
      <c r="T98" s="1038"/>
      <c r="U98" s="1038"/>
      <c r="V98" s="1038"/>
      <c r="W98" s="1038"/>
      <c r="X98" s="1038"/>
      <c r="Y98" s="1038"/>
    </row>
    <row r="99" spans="1:25" ht="12.75" customHeight="1" x14ac:dyDescent="0.2">
      <c r="A99" s="1039"/>
      <c r="B99" s="1037"/>
      <c r="C99" s="1037"/>
      <c r="D99" s="1037"/>
      <c r="E99" s="1037"/>
      <c r="P99" s="981"/>
      <c r="R99" s="1038"/>
      <c r="S99" s="1038"/>
      <c r="T99" s="1038"/>
      <c r="U99" s="1038"/>
      <c r="V99" s="1038"/>
      <c r="W99" s="1038"/>
      <c r="X99" s="1038"/>
      <c r="Y99" s="1038"/>
    </row>
    <row r="100" spans="1:25" ht="12.75" customHeight="1" x14ac:dyDescent="0.2">
      <c r="A100" s="1039"/>
      <c r="B100" s="1037"/>
      <c r="C100" s="1037"/>
      <c r="D100" s="1037"/>
      <c r="E100" s="1037"/>
      <c r="P100" s="981"/>
      <c r="R100" s="1038"/>
      <c r="S100" s="1038"/>
      <c r="T100" s="1038"/>
      <c r="U100" s="1038"/>
      <c r="V100" s="1038"/>
      <c r="W100" s="1038"/>
      <c r="X100" s="1038"/>
      <c r="Y100" s="1038"/>
    </row>
    <row r="101" spans="1:25" ht="12.75" customHeight="1" x14ac:dyDescent="0.2">
      <c r="A101" s="1039"/>
      <c r="B101" s="1037"/>
      <c r="C101" s="1037"/>
      <c r="D101" s="1037"/>
      <c r="E101" s="1037"/>
      <c r="P101" s="981"/>
      <c r="R101" s="1038"/>
      <c r="S101" s="1038"/>
      <c r="T101" s="1038"/>
      <c r="U101" s="1038"/>
      <c r="V101" s="1038"/>
      <c r="W101" s="1038"/>
      <c r="X101" s="1038"/>
      <c r="Y101" s="1038"/>
    </row>
    <row r="102" spans="1:25" ht="12.75" customHeight="1" x14ac:dyDescent="0.2">
      <c r="A102" s="1039"/>
      <c r="B102" s="1037"/>
      <c r="C102" s="1037"/>
      <c r="D102" s="1037"/>
      <c r="E102" s="1037"/>
      <c r="P102" s="981"/>
      <c r="R102" s="1038"/>
      <c r="S102" s="1038"/>
      <c r="T102" s="1038"/>
      <c r="U102" s="1038"/>
      <c r="V102" s="1038"/>
      <c r="W102" s="1038"/>
      <c r="X102" s="1038"/>
      <c r="Y102" s="1038"/>
    </row>
    <row r="103" spans="1:25" ht="12.75" customHeight="1" x14ac:dyDescent="0.2">
      <c r="A103" s="1039"/>
      <c r="B103" s="1037"/>
      <c r="C103" s="1037"/>
      <c r="D103" s="1037"/>
      <c r="E103" s="1037"/>
      <c r="P103" s="981"/>
      <c r="R103" s="1038"/>
      <c r="S103" s="1038"/>
      <c r="T103" s="1038"/>
      <c r="U103" s="1038"/>
      <c r="V103" s="1038"/>
      <c r="W103" s="1038"/>
      <c r="X103" s="1038"/>
      <c r="Y103" s="1038"/>
    </row>
    <row r="104" spans="1:25" ht="12.75" customHeight="1" x14ac:dyDescent="0.2">
      <c r="A104" s="1039"/>
      <c r="B104" s="1037"/>
      <c r="C104" s="1037"/>
      <c r="D104" s="1037"/>
      <c r="E104" s="1037"/>
      <c r="P104" s="981"/>
      <c r="R104" s="1038"/>
      <c r="S104" s="1038"/>
      <c r="T104" s="1038"/>
      <c r="U104" s="1038"/>
      <c r="V104" s="1038"/>
      <c r="W104" s="1038"/>
      <c r="X104" s="1038"/>
      <c r="Y104" s="1038"/>
    </row>
    <row r="105" spans="1:25" ht="12.75" customHeight="1" x14ac:dyDescent="0.2">
      <c r="A105" s="1039"/>
      <c r="B105" s="1037"/>
      <c r="C105" s="1037"/>
      <c r="D105" s="1037"/>
      <c r="E105" s="1037"/>
      <c r="P105" s="981"/>
      <c r="R105" s="1038"/>
      <c r="S105" s="1038"/>
      <c r="T105" s="1038"/>
      <c r="U105" s="1038"/>
      <c r="V105" s="1038"/>
      <c r="W105" s="1038"/>
      <c r="X105" s="1038"/>
      <c r="Y105" s="1038"/>
    </row>
    <row r="106" spans="1:25" ht="12.75" customHeight="1" x14ac:dyDescent="0.2">
      <c r="A106" s="1039"/>
      <c r="B106" s="1037"/>
      <c r="C106" s="1037"/>
      <c r="D106" s="1037"/>
      <c r="E106" s="1037"/>
      <c r="P106" s="981"/>
      <c r="R106" s="1038"/>
      <c r="S106" s="1038"/>
      <c r="T106" s="1038"/>
      <c r="U106" s="1038"/>
      <c r="V106" s="1038"/>
      <c r="W106" s="1038"/>
      <c r="X106" s="1038"/>
      <c r="Y106" s="1038"/>
    </row>
    <row r="107" spans="1:25" ht="12.75" customHeight="1" x14ac:dyDescent="0.2">
      <c r="A107" s="1039"/>
      <c r="B107" s="1037"/>
      <c r="C107" s="1037"/>
      <c r="D107" s="1037"/>
      <c r="E107" s="1037"/>
      <c r="P107" s="981"/>
      <c r="R107" s="1038"/>
      <c r="S107" s="1038"/>
      <c r="T107" s="1038"/>
      <c r="U107" s="1038"/>
      <c r="V107" s="1038"/>
      <c r="W107" s="1038"/>
      <c r="X107" s="1038"/>
      <c r="Y107" s="1038"/>
    </row>
    <row r="108" spans="1:25" ht="12.75" customHeight="1" x14ac:dyDescent="0.2">
      <c r="A108" s="1039"/>
      <c r="B108" s="1037"/>
      <c r="C108" s="1037"/>
      <c r="D108" s="1037"/>
      <c r="E108" s="1037"/>
      <c r="P108" s="981"/>
      <c r="R108" s="1038"/>
      <c r="S108" s="1038"/>
      <c r="T108" s="1038"/>
      <c r="U108" s="1038"/>
      <c r="V108" s="1038"/>
      <c r="W108" s="1038"/>
      <c r="X108" s="1038"/>
      <c r="Y108" s="1038"/>
    </row>
    <row r="109" spans="1:25" ht="12.75" customHeight="1" x14ac:dyDescent="0.2">
      <c r="A109" s="1039"/>
      <c r="B109" s="1037"/>
      <c r="C109" s="1037"/>
      <c r="D109" s="1037"/>
      <c r="E109" s="1037"/>
      <c r="P109" s="981"/>
      <c r="R109" s="1038"/>
      <c r="S109" s="1038"/>
      <c r="T109" s="1038"/>
      <c r="U109" s="1038"/>
      <c r="V109" s="1038"/>
      <c r="W109" s="1038"/>
      <c r="X109" s="1038"/>
      <c r="Y109" s="1038"/>
    </row>
    <row r="110" spans="1:25" ht="12.75" customHeight="1" x14ac:dyDescent="0.2">
      <c r="A110" s="1039"/>
      <c r="B110" s="1037"/>
      <c r="C110" s="1037"/>
      <c r="D110" s="1037"/>
      <c r="E110" s="1037"/>
      <c r="P110" s="981"/>
      <c r="R110" s="1038"/>
      <c r="S110" s="1038"/>
      <c r="T110" s="1038"/>
      <c r="U110" s="1038"/>
      <c r="V110" s="1038"/>
      <c r="W110" s="1038"/>
      <c r="X110" s="1038"/>
      <c r="Y110" s="1038"/>
    </row>
    <row r="111" spans="1:25" ht="12.75" customHeight="1" x14ac:dyDescent="0.2">
      <c r="A111" s="1039"/>
      <c r="B111" s="1037"/>
      <c r="C111" s="1037"/>
      <c r="D111" s="1037"/>
      <c r="E111" s="1037"/>
      <c r="P111" s="981"/>
      <c r="R111" s="1038"/>
      <c r="S111" s="1038"/>
      <c r="T111" s="1038"/>
      <c r="U111" s="1038"/>
      <c r="V111" s="1038"/>
      <c r="W111" s="1038"/>
      <c r="X111" s="1038"/>
      <c r="Y111" s="1038"/>
    </row>
    <row r="112" spans="1:25" ht="12.75" customHeight="1" x14ac:dyDescent="0.2">
      <c r="A112" s="1039"/>
      <c r="B112" s="1037"/>
      <c r="C112" s="1037"/>
      <c r="D112" s="1037"/>
      <c r="E112" s="1037"/>
      <c r="P112" s="981"/>
      <c r="R112" s="1038"/>
      <c r="S112" s="1038"/>
      <c r="T112" s="1038"/>
      <c r="U112" s="1038"/>
      <c r="V112" s="1038"/>
      <c r="W112" s="1038"/>
      <c r="X112" s="1038"/>
      <c r="Y112" s="1038"/>
    </row>
    <row r="113" spans="1:25" ht="12.75" customHeight="1" x14ac:dyDescent="0.2">
      <c r="A113" s="1039"/>
      <c r="B113" s="1037"/>
      <c r="C113" s="1037"/>
      <c r="D113" s="1037"/>
      <c r="E113" s="1037"/>
      <c r="P113" s="981"/>
      <c r="R113" s="1038"/>
      <c r="S113" s="1038"/>
      <c r="T113" s="1038"/>
      <c r="U113" s="1038"/>
      <c r="V113" s="1038"/>
      <c r="W113" s="1038"/>
      <c r="X113" s="1038"/>
      <c r="Y113" s="1038"/>
    </row>
    <row r="114" spans="1:25" ht="12.75" customHeight="1" x14ac:dyDescent="0.2">
      <c r="A114" s="1039"/>
      <c r="B114" s="1037"/>
      <c r="C114" s="1037"/>
      <c r="D114" s="1037"/>
      <c r="E114" s="1037"/>
      <c r="P114" s="981"/>
      <c r="R114" s="1038"/>
      <c r="S114" s="1038"/>
      <c r="T114" s="1038"/>
      <c r="U114" s="1038"/>
      <c r="V114" s="1038"/>
      <c r="W114" s="1038"/>
      <c r="X114" s="1038"/>
      <c r="Y114" s="1038"/>
    </row>
    <row r="115" spans="1:25" ht="12.75" customHeight="1" x14ac:dyDescent="0.2">
      <c r="A115" s="1039"/>
      <c r="B115" s="1037"/>
      <c r="C115" s="1037"/>
      <c r="D115" s="1037"/>
      <c r="E115" s="1037"/>
      <c r="P115" s="981"/>
      <c r="R115" s="1038"/>
      <c r="S115" s="1038"/>
      <c r="T115" s="1038"/>
      <c r="U115" s="1038"/>
      <c r="V115" s="1038"/>
      <c r="W115" s="1038"/>
      <c r="X115" s="1038"/>
      <c r="Y115" s="1038"/>
    </row>
    <row r="116" spans="1:25" ht="12.75" customHeight="1" x14ac:dyDescent="0.2">
      <c r="A116" s="1039"/>
      <c r="B116" s="1037"/>
      <c r="C116" s="1037"/>
      <c r="D116" s="1037"/>
      <c r="E116" s="1037"/>
      <c r="P116" s="981"/>
      <c r="R116" s="1038"/>
      <c r="S116" s="1038"/>
      <c r="T116" s="1038"/>
      <c r="U116" s="1038"/>
      <c r="V116" s="1038"/>
      <c r="W116" s="1038"/>
      <c r="X116" s="1038"/>
      <c r="Y116" s="1038"/>
    </row>
    <row r="117" spans="1:25" ht="12.75" customHeight="1" x14ac:dyDescent="0.2">
      <c r="A117" s="1039"/>
      <c r="B117" s="1037"/>
      <c r="C117" s="1037"/>
      <c r="D117" s="1037"/>
      <c r="E117" s="1037"/>
      <c r="P117" s="981"/>
      <c r="R117" s="1038"/>
      <c r="S117" s="1038"/>
      <c r="T117" s="1038"/>
      <c r="U117" s="1038"/>
      <c r="V117" s="1038"/>
      <c r="W117" s="1038"/>
      <c r="X117" s="1038"/>
      <c r="Y117" s="1038"/>
    </row>
    <row r="118" spans="1:25" ht="12.75" customHeight="1" x14ac:dyDescent="0.2">
      <c r="A118" s="1039"/>
      <c r="B118" s="1037"/>
      <c r="C118" s="1037"/>
      <c r="D118" s="1037"/>
      <c r="E118" s="1037"/>
      <c r="P118" s="981"/>
      <c r="R118" s="1038"/>
      <c r="S118" s="1038"/>
      <c r="T118" s="1038"/>
      <c r="U118" s="1038"/>
      <c r="V118" s="1038"/>
      <c r="W118" s="1038"/>
      <c r="X118" s="1038"/>
      <c r="Y118" s="1038"/>
    </row>
    <row r="119" spans="1:25" ht="12.75" customHeight="1" x14ac:dyDescent="0.2">
      <c r="A119" s="1037"/>
      <c r="B119" s="1037"/>
      <c r="C119" s="1037"/>
      <c r="D119" s="1037"/>
      <c r="E119" s="1037"/>
      <c r="P119" s="981"/>
      <c r="R119" s="1038"/>
      <c r="S119" s="1038"/>
      <c r="T119" s="1038"/>
      <c r="U119" s="1038"/>
      <c r="V119" s="1038"/>
      <c r="W119" s="1038"/>
      <c r="X119" s="1038"/>
      <c r="Y119" s="1038"/>
    </row>
    <row r="120" spans="1:25" ht="12.75" customHeight="1" x14ac:dyDescent="0.2">
      <c r="A120" s="1037"/>
      <c r="B120" s="1037"/>
      <c r="C120" s="1037"/>
      <c r="D120" s="1037"/>
      <c r="E120" s="1037"/>
      <c r="P120" s="981"/>
      <c r="R120" s="1038"/>
      <c r="S120" s="1038"/>
      <c r="T120" s="1038"/>
      <c r="U120" s="1038"/>
      <c r="V120" s="1038"/>
      <c r="W120" s="1038"/>
      <c r="X120" s="1038"/>
      <c r="Y120" s="1038"/>
    </row>
    <row r="121" spans="1:25" ht="12.75" customHeight="1" x14ac:dyDescent="0.2">
      <c r="A121" s="1037"/>
      <c r="B121" s="1037"/>
      <c r="C121" s="1037"/>
      <c r="D121" s="1037"/>
      <c r="E121" s="1037"/>
      <c r="P121" s="981"/>
      <c r="R121" s="1038"/>
      <c r="S121" s="1038"/>
      <c r="T121" s="1038"/>
      <c r="U121" s="1038"/>
      <c r="V121" s="1038"/>
      <c r="W121" s="1038"/>
      <c r="X121" s="1038"/>
      <c r="Y121" s="1038"/>
    </row>
    <row r="122" spans="1:25" ht="12.75" customHeight="1" x14ac:dyDescent="0.2">
      <c r="A122" s="1037"/>
      <c r="B122" s="1037"/>
      <c r="C122" s="1037"/>
      <c r="D122" s="1037"/>
      <c r="E122" s="1037"/>
      <c r="P122" s="981"/>
      <c r="R122" s="1038"/>
      <c r="S122" s="1038"/>
      <c r="T122" s="1038"/>
      <c r="U122" s="1038"/>
      <c r="V122" s="1038"/>
      <c r="W122" s="1038"/>
      <c r="X122" s="1038"/>
      <c r="Y122" s="1038"/>
    </row>
    <row r="123" spans="1:25" ht="12.75" customHeight="1" x14ac:dyDescent="0.2">
      <c r="A123" s="1037"/>
      <c r="B123" s="1037"/>
      <c r="C123" s="1037"/>
      <c r="D123" s="1037"/>
      <c r="E123" s="1037"/>
      <c r="P123" s="981"/>
      <c r="R123" s="1038"/>
      <c r="S123" s="1038"/>
      <c r="T123" s="1038"/>
      <c r="U123" s="1038"/>
      <c r="V123" s="1038"/>
      <c r="W123" s="1038"/>
      <c r="X123" s="1038"/>
      <c r="Y123" s="1038"/>
    </row>
    <row r="124" spans="1:25" ht="12.75" customHeight="1" x14ac:dyDescent="0.2">
      <c r="A124" s="1037"/>
      <c r="B124" s="1037"/>
      <c r="C124" s="1037"/>
      <c r="D124" s="1037"/>
      <c r="E124" s="1037"/>
      <c r="P124" s="981"/>
      <c r="R124" s="1038"/>
      <c r="S124" s="1038"/>
      <c r="T124" s="1038"/>
      <c r="U124" s="1038"/>
      <c r="V124" s="1038"/>
      <c r="W124" s="1038"/>
      <c r="X124" s="1038"/>
      <c r="Y124" s="1038"/>
    </row>
    <row r="125" spans="1:25" ht="12.75" customHeight="1" x14ac:dyDescent="0.2">
      <c r="A125" s="1037"/>
      <c r="B125" s="1037"/>
      <c r="C125" s="1037"/>
      <c r="D125" s="1037"/>
      <c r="E125" s="1037"/>
      <c r="P125" s="981"/>
      <c r="R125" s="1038"/>
      <c r="S125" s="1038"/>
      <c r="T125" s="1038"/>
      <c r="U125" s="1038"/>
      <c r="V125" s="1038"/>
      <c r="W125" s="1038"/>
      <c r="X125" s="1038"/>
      <c r="Y125" s="1038"/>
    </row>
    <row r="126" spans="1:25" ht="12.75" customHeight="1" x14ac:dyDescent="0.2">
      <c r="A126" s="1037"/>
      <c r="B126" s="1037"/>
      <c r="C126" s="1037"/>
      <c r="D126" s="1037"/>
      <c r="E126" s="1037"/>
      <c r="P126" s="981"/>
      <c r="R126" s="1038"/>
      <c r="S126" s="1038"/>
      <c r="T126" s="1038"/>
      <c r="U126" s="1038"/>
      <c r="V126" s="1038"/>
      <c r="W126" s="1038"/>
      <c r="X126" s="1038"/>
      <c r="Y126" s="1038"/>
    </row>
    <row r="127" spans="1:25" ht="12.75" customHeight="1" x14ac:dyDescent="0.2">
      <c r="A127" s="1037"/>
      <c r="B127" s="1037"/>
      <c r="C127" s="1037"/>
      <c r="D127" s="1037"/>
      <c r="E127" s="1037"/>
      <c r="P127" s="981"/>
      <c r="R127" s="1038"/>
      <c r="S127" s="1038"/>
      <c r="T127" s="1038"/>
      <c r="U127" s="1038"/>
      <c r="V127" s="1038"/>
      <c r="W127" s="1038"/>
      <c r="X127" s="1038"/>
      <c r="Y127" s="1038"/>
    </row>
    <row r="128" spans="1:25" x14ac:dyDescent="0.2">
      <c r="A128" s="1037"/>
      <c r="B128" s="1037"/>
      <c r="C128" s="1037"/>
      <c r="D128" s="1037"/>
      <c r="E128" s="1037"/>
      <c r="P128" s="981"/>
      <c r="R128" s="1038"/>
      <c r="S128" s="1038"/>
      <c r="T128" s="1038"/>
      <c r="U128" s="1038"/>
      <c r="V128" s="1038"/>
      <c r="W128" s="1038"/>
      <c r="X128" s="1038"/>
      <c r="Y128" s="1038"/>
    </row>
    <row r="129" spans="1:25" x14ac:dyDescent="0.2">
      <c r="A129" s="1037"/>
      <c r="B129" s="1037"/>
      <c r="C129" s="1037"/>
      <c r="D129" s="1037"/>
      <c r="E129" s="1037"/>
      <c r="P129" s="981"/>
      <c r="R129" s="1038"/>
      <c r="S129" s="1038"/>
      <c r="T129" s="1038"/>
      <c r="U129" s="1038"/>
      <c r="V129" s="1038"/>
      <c r="W129" s="1038"/>
      <c r="X129" s="1038"/>
      <c r="Y129" s="1038"/>
    </row>
    <row r="130" spans="1:25" x14ac:dyDescent="0.2">
      <c r="A130" s="1037"/>
      <c r="B130" s="1037"/>
      <c r="C130" s="1037"/>
      <c r="D130" s="1037"/>
      <c r="E130" s="1037"/>
      <c r="P130" s="981"/>
      <c r="R130" s="1038"/>
      <c r="S130" s="1038"/>
      <c r="T130" s="1038"/>
      <c r="U130" s="1038"/>
      <c r="V130" s="1038"/>
      <c r="W130" s="1038"/>
      <c r="X130" s="1038"/>
      <c r="Y130" s="1038"/>
    </row>
    <row r="131" spans="1:25" x14ac:dyDescent="0.2">
      <c r="A131" s="1037"/>
      <c r="B131" s="1037"/>
      <c r="C131" s="1037"/>
      <c r="D131" s="1037"/>
      <c r="E131" s="1037"/>
      <c r="P131" s="981"/>
      <c r="R131" s="1038"/>
      <c r="S131" s="1038"/>
      <c r="T131" s="1038"/>
      <c r="U131" s="1038"/>
      <c r="V131" s="1038"/>
      <c r="W131" s="1038"/>
      <c r="X131" s="1038"/>
      <c r="Y131" s="1038"/>
    </row>
    <row r="132" spans="1:25" x14ac:dyDescent="0.2">
      <c r="A132" s="1037"/>
      <c r="B132" s="1037"/>
      <c r="C132" s="1037"/>
      <c r="D132" s="1037"/>
      <c r="E132" s="1037"/>
      <c r="P132" s="981"/>
      <c r="R132" s="1038"/>
      <c r="S132" s="1038"/>
      <c r="T132" s="1038"/>
      <c r="U132" s="1038"/>
      <c r="V132" s="1038"/>
      <c r="W132" s="1038"/>
      <c r="X132" s="1038"/>
      <c r="Y132" s="1038"/>
    </row>
    <row r="133" spans="1:25" x14ac:dyDescent="0.2">
      <c r="A133" s="1037"/>
      <c r="B133" s="1037"/>
      <c r="C133" s="1037"/>
      <c r="D133" s="1037"/>
      <c r="E133" s="1037"/>
      <c r="P133" s="981"/>
      <c r="R133" s="1038"/>
      <c r="S133" s="1038"/>
      <c r="T133" s="1038"/>
      <c r="U133" s="1038"/>
      <c r="V133" s="1038"/>
      <c r="W133" s="1038"/>
      <c r="X133" s="1038"/>
      <c r="Y133" s="1038"/>
    </row>
    <row r="134" spans="1:25" x14ac:dyDescent="0.2">
      <c r="A134" s="1037"/>
      <c r="B134" s="1037"/>
      <c r="C134" s="1037"/>
      <c r="D134" s="1037"/>
      <c r="E134" s="1037"/>
      <c r="P134" s="981"/>
      <c r="R134" s="1038"/>
      <c r="S134" s="1038"/>
      <c r="T134" s="1038"/>
      <c r="U134" s="1038"/>
      <c r="V134" s="1038"/>
      <c r="W134" s="1038"/>
      <c r="X134" s="1038"/>
      <c r="Y134" s="1038"/>
    </row>
    <row r="135" spans="1:25" x14ac:dyDescent="0.2">
      <c r="A135" s="1037"/>
      <c r="B135" s="1037"/>
      <c r="C135" s="1037"/>
      <c r="D135" s="1037"/>
      <c r="E135" s="1037"/>
      <c r="P135" s="981"/>
      <c r="R135" s="1038"/>
      <c r="S135" s="1038"/>
      <c r="T135" s="1038"/>
      <c r="U135" s="1038"/>
      <c r="V135" s="1038"/>
      <c r="W135" s="1038"/>
      <c r="X135" s="1038"/>
      <c r="Y135" s="1038"/>
    </row>
    <row r="136" spans="1:25" x14ac:dyDescent="0.2">
      <c r="A136" s="1037"/>
      <c r="B136" s="1037"/>
      <c r="C136" s="1037"/>
      <c r="D136" s="1037"/>
      <c r="E136" s="1037"/>
      <c r="P136" s="981"/>
      <c r="R136" s="1038"/>
      <c r="S136" s="1038"/>
      <c r="T136" s="1038"/>
      <c r="U136" s="1038"/>
      <c r="V136" s="1038"/>
      <c r="W136" s="1038"/>
      <c r="X136" s="1038"/>
      <c r="Y136" s="1038"/>
    </row>
    <row r="137" spans="1:25" x14ac:dyDescent="0.2">
      <c r="A137" s="1037"/>
      <c r="B137" s="1037"/>
      <c r="C137" s="1037"/>
      <c r="D137" s="1037"/>
      <c r="E137" s="1037"/>
      <c r="P137" s="981"/>
      <c r="R137" s="1038"/>
      <c r="S137" s="1038"/>
      <c r="T137" s="1038"/>
      <c r="U137" s="1038"/>
      <c r="V137" s="1038"/>
      <c r="W137" s="1038"/>
      <c r="X137" s="1038"/>
      <c r="Y137" s="1038"/>
    </row>
    <row r="138" spans="1:25" x14ac:dyDescent="0.2">
      <c r="A138" s="1037"/>
      <c r="B138" s="1037"/>
      <c r="C138" s="1037"/>
      <c r="D138" s="1037"/>
      <c r="E138" s="1037"/>
      <c r="P138" s="981"/>
      <c r="R138" s="1038"/>
      <c r="S138" s="1038"/>
      <c r="T138" s="1038"/>
      <c r="U138" s="1038"/>
      <c r="V138" s="1038"/>
      <c r="W138" s="1038"/>
      <c r="X138" s="1038"/>
      <c r="Y138" s="1038"/>
    </row>
    <row r="139" spans="1:25" x14ac:dyDescent="0.2">
      <c r="A139" s="1037"/>
      <c r="B139" s="1037"/>
      <c r="C139" s="1037"/>
      <c r="D139" s="1037"/>
      <c r="E139" s="1037"/>
      <c r="P139" s="981"/>
      <c r="R139" s="1038"/>
      <c r="S139" s="1038"/>
      <c r="T139" s="1038"/>
      <c r="U139" s="1038"/>
      <c r="V139" s="1038"/>
      <c r="W139" s="1038"/>
      <c r="X139" s="1038"/>
      <c r="Y139" s="1038"/>
    </row>
    <row r="140" spans="1:25" x14ac:dyDescent="0.2">
      <c r="A140" s="1037"/>
      <c r="B140" s="1037"/>
      <c r="C140" s="1037"/>
      <c r="D140" s="1037"/>
      <c r="E140" s="1037"/>
      <c r="P140" s="981"/>
      <c r="R140" s="1038"/>
      <c r="S140" s="1038"/>
      <c r="T140" s="1038"/>
      <c r="U140" s="1038"/>
      <c r="V140" s="1038"/>
      <c r="W140" s="1038"/>
      <c r="X140" s="1038"/>
      <c r="Y140" s="1038"/>
    </row>
    <row r="141" spans="1:25" x14ac:dyDescent="0.2">
      <c r="A141" s="1037"/>
      <c r="B141" s="1037"/>
      <c r="C141" s="1037"/>
      <c r="D141" s="1037"/>
      <c r="E141" s="1037"/>
      <c r="P141" s="981"/>
      <c r="R141" s="1038"/>
      <c r="S141" s="1038"/>
      <c r="T141" s="1038"/>
      <c r="U141" s="1038"/>
      <c r="V141" s="1038"/>
      <c r="W141" s="1038"/>
      <c r="X141" s="1038"/>
      <c r="Y141" s="1038"/>
    </row>
    <row r="142" spans="1:25" x14ac:dyDescent="0.2">
      <c r="A142" s="1037"/>
      <c r="B142" s="1037"/>
      <c r="C142" s="1037"/>
      <c r="D142" s="1037"/>
      <c r="E142" s="1037"/>
      <c r="P142" s="981"/>
      <c r="R142" s="1038"/>
      <c r="S142" s="1038"/>
      <c r="T142" s="1038"/>
      <c r="U142" s="1038"/>
      <c r="V142" s="1038"/>
      <c r="W142" s="1038"/>
      <c r="X142" s="1038"/>
      <c r="Y142" s="1038"/>
    </row>
    <row r="143" spans="1:25" x14ac:dyDescent="0.2">
      <c r="A143" s="1037"/>
      <c r="B143" s="1037"/>
      <c r="C143" s="1037"/>
      <c r="D143" s="1037"/>
      <c r="E143" s="1037"/>
      <c r="P143" s="981"/>
      <c r="R143" s="1038"/>
      <c r="S143" s="1038"/>
      <c r="T143" s="1038"/>
      <c r="U143" s="1038"/>
      <c r="V143" s="1038"/>
      <c r="W143" s="1038"/>
      <c r="X143" s="1038"/>
      <c r="Y143" s="1038"/>
    </row>
    <row r="144" spans="1:25" x14ac:dyDescent="0.2">
      <c r="A144" s="1037"/>
      <c r="B144" s="1037"/>
      <c r="C144" s="1037"/>
      <c r="D144" s="1037"/>
      <c r="E144" s="1037"/>
      <c r="P144" s="981"/>
      <c r="R144" s="1038"/>
      <c r="S144" s="1038"/>
      <c r="T144" s="1038"/>
      <c r="U144" s="1038"/>
      <c r="V144" s="1038"/>
      <c r="W144" s="1038"/>
      <c r="X144" s="1038"/>
      <c r="Y144" s="1038"/>
    </row>
    <row r="145" spans="1:25" x14ac:dyDescent="0.2">
      <c r="A145" s="1037"/>
      <c r="B145" s="1037"/>
      <c r="C145" s="1037"/>
      <c r="D145" s="1037"/>
      <c r="E145" s="1037"/>
      <c r="P145" s="981"/>
      <c r="R145" s="1038"/>
      <c r="S145" s="1038"/>
      <c r="T145" s="1038"/>
      <c r="U145" s="1038"/>
      <c r="V145" s="1038"/>
      <c r="W145" s="1038"/>
      <c r="X145" s="1038"/>
      <c r="Y145" s="1038"/>
    </row>
    <row r="146" spans="1:25" x14ac:dyDescent="0.2">
      <c r="A146" s="1037"/>
      <c r="B146" s="1037"/>
      <c r="C146" s="1037"/>
      <c r="D146" s="1037"/>
      <c r="E146" s="1037"/>
      <c r="P146" s="981"/>
      <c r="R146" s="1038"/>
      <c r="S146" s="1038"/>
      <c r="T146" s="1038"/>
      <c r="U146" s="1038"/>
      <c r="V146" s="1038"/>
      <c r="W146" s="1038"/>
      <c r="X146" s="1038"/>
      <c r="Y146" s="1038"/>
    </row>
    <row r="147" spans="1:25" x14ac:dyDescent="0.2">
      <c r="A147" s="1037"/>
      <c r="B147" s="1037"/>
      <c r="C147" s="1037"/>
      <c r="D147" s="1037"/>
      <c r="E147" s="1037"/>
      <c r="P147" s="981"/>
      <c r="R147" s="1038"/>
      <c r="S147" s="1038"/>
      <c r="T147" s="1038"/>
      <c r="U147" s="1038"/>
      <c r="V147" s="1038"/>
      <c r="W147" s="1038"/>
      <c r="X147" s="1038"/>
      <c r="Y147" s="1038"/>
    </row>
    <row r="148" spans="1:25" x14ac:dyDescent="0.2">
      <c r="A148" s="1037"/>
      <c r="B148" s="1037"/>
      <c r="C148" s="1037"/>
      <c r="D148" s="1037"/>
      <c r="E148" s="1037"/>
      <c r="P148" s="981"/>
      <c r="R148" s="1038"/>
      <c r="S148" s="1038"/>
      <c r="T148" s="1038"/>
      <c r="U148" s="1038"/>
      <c r="V148" s="1038"/>
      <c r="W148" s="1038"/>
      <c r="X148" s="1038"/>
      <c r="Y148" s="1038"/>
    </row>
    <row r="149" spans="1:25" x14ac:dyDescent="0.2">
      <c r="A149" s="1037"/>
      <c r="B149" s="1037"/>
      <c r="C149" s="1037"/>
      <c r="D149" s="1037"/>
      <c r="E149" s="1037"/>
      <c r="P149" s="981"/>
      <c r="R149" s="1038"/>
      <c r="S149" s="1038"/>
      <c r="T149" s="1038"/>
      <c r="U149" s="1038"/>
      <c r="V149" s="1038"/>
      <c r="W149" s="1038"/>
      <c r="X149" s="1038"/>
      <c r="Y149" s="1038"/>
    </row>
    <row r="150" spans="1:25" x14ac:dyDescent="0.2">
      <c r="A150" s="1037"/>
      <c r="B150" s="1037"/>
      <c r="C150" s="1037"/>
      <c r="D150" s="1037"/>
      <c r="E150" s="1037"/>
      <c r="P150" s="981"/>
      <c r="R150" s="1038"/>
      <c r="S150" s="1038"/>
      <c r="T150" s="1038"/>
      <c r="U150" s="1038"/>
      <c r="V150" s="1038"/>
      <c r="W150" s="1038"/>
      <c r="X150" s="1038"/>
      <c r="Y150" s="1038"/>
    </row>
    <row r="151" spans="1:25" x14ac:dyDescent="0.2">
      <c r="A151" s="1037"/>
      <c r="B151" s="1037"/>
      <c r="C151" s="1037"/>
      <c r="D151" s="1037"/>
      <c r="E151" s="1037"/>
      <c r="P151" s="981"/>
      <c r="R151" s="1038"/>
      <c r="S151" s="1038"/>
      <c r="T151" s="1038"/>
      <c r="U151" s="1038"/>
      <c r="V151" s="1038"/>
      <c r="W151" s="1038"/>
      <c r="X151" s="1038"/>
      <c r="Y151" s="1038"/>
    </row>
    <row r="152" spans="1:25" x14ac:dyDescent="0.2">
      <c r="A152" s="1037"/>
      <c r="B152" s="1037"/>
      <c r="C152" s="1037"/>
      <c r="D152" s="1037"/>
      <c r="E152" s="1037"/>
      <c r="P152" s="981"/>
      <c r="R152" s="1038"/>
      <c r="S152" s="1038"/>
      <c r="T152" s="1038"/>
      <c r="U152" s="1038"/>
      <c r="V152" s="1038"/>
      <c r="W152" s="1038"/>
      <c r="X152" s="1038"/>
      <c r="Y152" s="1038"/>
    </row>
    <row r="153" spans="1:25" x14ac:dyDescent="0.2">
      <c r="A153" s="1037"/>
      <c r="B153" s="1037"/>
      <c r="C153" s="1037"/>
      <c r="D153" s="1037"/>
      <c r="E153" s="1037"/>
      <c r="P153" s="981"/>
      <c r="R153" s="1038"/>
      <c r="S153" s="1038"/>
      <c r="T153" s="1038"/>
      <c r="U153" s="1038"/>
      <c r="V153" s="1038"/>
      <c r="W153" s="1038"/>
      <c r="X153" s="1038"/>
      <c r="Y153" s="1038"/>
    </row>
    <row r="154" spans="1:25" x14ac:dyDescent="0.2">
      <c r="A154" s="1037"/>
      <c r="B154" s="1037"/>
      <c r="C154" s="1037"/>
      <c r="D154" s="1037"/>
      <c r="E154" s="1037"/>
      <c r="P154" s="981"/>
      <c r="R154" s="1038"/>
      <c r="S154" s="1038"/>
      <c r="T154" s="1038"/>
      <c r="U154" s="1038"/>
      <c r="V154" s="1038"/>
      <c r="W154" s="1038"/>
      <c r="X154" s="1038"/>
      <c r="Y154" s="1038"/>
    </row>
    <row r="155" spans="1:25" x14ac:dyDescent="0.2">
      <c r="A155" s="1037"/>
      <c r="B155" s="1037"/>
      <c r="C155" s="1037"/>
      <c r="D155" s="1037"/>
      <c r="E155" s="1037"/>
      <c r="P155" s="981"/>
      <c r="R155" s="1038"/>
      <c r="S155" s="1038"/>
      <c r="T155" s="1038"/>
      <c r="U155" s="1038"/>
      <c r="V155" s="1038"/>
      <c r="W155" s="1038"/>
      <c r="X155" s="1038"/>
      <c r="Y155" s="1038"/>
    </row>
    <row r="156" spans="1:25" x14ac:dyDescent="0.2">
      <c r="A156" s="1037"/>
      <c r="B156" s="1037"/>
      <c r="C156" s="1037"/>
      <c r="D156" s="1037"/>
      <c r="E156" s="1037"/>
      <c r="P156" s="981"/>
      <c r="R156" s="1038"/>
      <c r="S156" s="1038"/>
      <c r="T156" s="1038"/>
      <c r="U156" s="1038"/>
      <c r="V156" s="1038"/>
      <c r="W156" s="1038"/>
      <c r="X156" s="1038"/>
      <c r="Y156" s="1038"/>
    </row>
    <row r="157" spans="1:25" x14ac:dyDescent="0.2">
      <c r="A157" s="1037"/>
      <c r="B157" s="1037"/>
      <c r="C157" s="1037"/>
      <c r="D157" s="1037"/>
      <c r="E157" s="1037"/>
      <c r="P157" s="981"/>
      <c r="R157" s="1038"/>
      <c r="S157" s="1038"/>
      <c r="T157" s="1038"/>
      <c r="U157" s="1038"/>
      <c r="V157" s="1038"/>
      <c r="W157" s="1038"/>
      <c r="X157" s="1038"/>
      <c r="Y157" s="1038"/>
    </row>
    <row r="158" spans="1:25" x14ac:dyDescent="0.2">
      <c r="A158" s="1037"/>
      <c r="B158" s="1037"/>
      <c r="C158" s="1037"/>
      <c r="D158" s="1037"/>
      <c r="E158" s="1037"/>
      <c r="P158" s="981"/>
      <c r="R158" s="1038"/>
      <c r="S158" s="1038"/>
      <c r="T158" s="1038"/>
      <c r="U158" s="1038"/>
      <c r="V158" s="1038"/>
      <c r="W158" s="1038"/>
      <c r="X158" s="1038"/>
      <c r="Y158" s="1038"/>
    </row>
    <row r="159" spans="1:25" x14ac:dyDescent="0.2">
      <c r="A159" s="1037"/>
      <c r="B159" s="1037"/>
      <c r="C159" s="1037"/>
      <c r="D159" s="1037"/>
      <c r="E159" s="1037"/>
      <c r="P159" s="981"/>
      <c r="R159" s="1038"/>
      <c r="S159" s="1038"/>
      <c r="T159" s="1038"/>
      <c r="U159" s="1038"/>
      <c r="V159" s="1038"/>
      <c r="W159" s="1038"/>
      <c r="X159" s="1038"/>
      <c r="Y159" s="1038"/>
    </row>
    <row r="160" spans="1:25" x14ac:dyDescent="0.2">
      <c r="A160" s="1037"/>
      <c r="B160" s="1037"/>
      <c r="C160" s="1037"/>
      <c r="D160" s="1037"/>
      <c r="E160" s="1037"/>
      <c r="P160" s="981"/>
      <c r="R160" s="1038"/>
      <c r="S160" s="1038"/>
      <c r="T160" s="1038"/>
      <c r="U160" s="1038"/>
      <c r="V160" s="1038"/>
      <c r="W160" s="1038"/>
      <c r="X160" s="1038"/>
      <c r="Y160" s="1038"/>
    </row>
    <row r="161" spans="1:25" x14ac:dyDescent="0.2">
      <c r="A161" s="1037"/>
      <c r="B161" s="1037"/>
      <c r="C161" s="1037"/>
      <c r="D161" s="1037"/>
      <c r="E161" s="1037"/>
      <c r="P161" s="981"/>
      <c r="R161" s="1038"/>
      <c r="S161" s="1038"/>
      <c r="T161" s="1038"/>
      <c r="U161" s="1038"/>
      <c r="V161" s="1038"/>
      <c r="W161" s="1038"/>
      <c r="X161" s="1038"/>
      <c r="Y161" s="1038"/>
    </row>
    <row r="162" spans="1:25" x14ac:dyDescent="0.2">
      <c r="A162" s="1037"/>
      <c r="B162" s="1037"/>
      <c r="C162" s="1037"/>
      <c r="D162" s="1037"/>
      <c r="E162" s="1037"/>
      <c r="P162" s="981"/>
      <c r="R162" s="1038"/>
      <c r="S162" s="1038"/>
      <c r="T162" s="1038"/>
      <c r="U162" s="1038"/>
      <c r="V162" s="1038"/>
      <c r="W162" s="1038"/>
      <c r="X162" s="1038"/>
      <c r="Y162" s="1038"/>
    </row>
    <row r="163" spans="1:25" x14ac:dyDescent="0.2">
      <c r="A163" s="1037"/>
      <c r="B163" s="1037"/>
      <c r="C163" s="1037"/>
      <c r="D163" s="1037"/>
      <c r="E163" s="1037"/>
      <c r="P163" s="981"/>
      <c r="R163" s="1038"/>
      <c r="S163" s="1038"/>
      <c r="T163" s="1038"/>
      <c r="U163" s="1038"/>
      <c r="V163" s="1038"/>
      <c r="W163" s="1038"/>
      <c r="X163" s="1038"/>
      <c r="Y163" s="1038"/>
    </row>
    <row r="164" spans="1:25" x14ac:dyDescent="0.2">
      <c r="A164" s="1037"/>
      <c r="B164" s="1037"/>
      <c r="C164" s="1037"/>
      <c r="D164" s="1037"/>
      <c r="E164" s="1037"/>
      <c r="P164" s="981"/>
      <c r="R164" s="1038"/>
      <c r="S164" s="1038"/>
      <c r="T164" s="1038"/>
      <c r="U164" s="1038"/>
      <c r="V164" s="1038"/>
      <c r="W164" s="1038"/>
      <c r="X164" s="1038"/>
      <c r="Y164" s="1038"/>
    </row>
    <row r="165" spans="1:25" x14ac:dyDescent="0.2">
      <c r="A165" s="1037"/>
      <c r="B165" s="1037"/>
      <c r="C165" s="1037"/>
      <c r="D165" s="1037"/>
      <c r="E165" s="1037"/>
      <c r="P165" s="981"/>
      <c r="R165" s="1038"/>
      <c r="S165" s="1038"/>
      <c r="T165" s="1038"/>
      <c r="U165" s="1038"/>
      <c r="V165" s="1038"/>
      <c r="W165" s="1038"/>
      <c r="X165" s="1038"/>
      <c r="Y165" s="1038"/>
    </row>
    <row r="166" spans="1:25" x14ac:dyDescent="0.2">
      <c r="A166" s="1037"/>
      <c r="B166" s="1037"/>
      <c r="C166" s="1037"/>
      <c r="D166" s="1037"/>
      <c r="E166" s="1037"/>
      <c r="P166" s="981"/>
      <c r="R166" s="1038"/>
      <c r="S166" s="1038"/>
      <c r="T166" s="1038"/>
      <c r="U166" s="1038"/>
      <c r="V166" s="1038"/>
      <c r="W166" s="1038"/>
      <c r="X166" s="1038"/>
      <c r="Y166" s="1038"/>
    </row>
    <row r="167" spans="1:25" x14ac:dyDescent="0.2">
      <c r="A167" s="1037"/>
      <c r="B167" s="1037"/>
      <c r="C167" s="1037"/>
      <c r="D167" s="1037"/>
      <c r="E167" s="1037"/>
      <c r="P167" s="981"/>
      <c r="R167" s="1038"/>
      <c r="S167" s="1038"/>
      <c r="T167" s="1038"/>
      <c r="U167" s="1038"/>
      <c r="V167" s="1038"/>
      <c r="W167" s="1038"/>
      <c r="X167" s="1038"/>
      <c r="Y167" s="1038"/>
    </row>
    <row r="168" spans="1:25" x14ac:dyDescent="0.2">
      <c r="A168" s="1037"/>
      <c r="B168" s="1037"/>
      <c r="C168" s="1037"/>
      <c r="D168" s="1037"/>
      <c r="E168" s="1037"/>
      <c r="P168" s="981"/>
      <c r="R168" s="1038"/>
      <c r="S168" s="1038"/>
      <c r="T168" s="1038"/>
      <c r="U168" s="1038"/>
      <c r="V168" s="1038"/>
      <c r="W168" s="1038"/>
      <c r="X168" s="1038"/>
      <c r="Y168" s="1038"/>
    </row>
    <row r="169" spans="1:25" x14ac:dyDescent="0.2">
      <c r="A169" s="1037"/>
      <c r="B169" s="1037"/>
      <c r="C169" s="1037"/>
      <c r="D169" s="1037"/>
      <c r="E169" s="1037"/>
      <c r="P169" s="981"/>
      <c r="R169" s="1038"/>
      <c r="S169" s="1038"/>
      <c r="T169" s="1038"/>
      <c r="U169" s="1038"/>
      <c r="V169" s="1038"/>
      <c r="W169" s="1038"/>
      <c r="X169" s="1038"/>
      <c r="Y169" s="1038"/>
    </row>
    <row r="170" spans="1:25" x14ac:dyDescent="0.2">
      <c r="A170" s="1037"/>
      <c r="B170" s="1037"/>
      <c r="C170" s="1037"/>
      <c r="D170" s="1037"/>
      <c r="E170" s="1037"/>
      <c r="P170" s="981"/>
      <c r="R170" s="1038"/>
      <c r="S170" s="1038"/>
      <c r="T170" s="1038"/>
      <c r="U170" s="1038"/>
      <c r="V170" s="1038"/>
      <c r="W170" s="1038"/>
      <c r="X170" s="1038"/>
      <c r="Y170" s="1038"/>
    </row>
    <row r="171" spans="1:25" x14ac:dyDescent="0.2">
      <c r="A171" s="1037"/>
      <c r="B171" s="1037"/>
      <c r="C171" s="1037"/>
      <c r="D171" s="1037"/>
      <c r="E171" s="1037"/>
      <c r="P171" s="981"/>
      <c r="R171" s="1038"/>
      <c r="S171" s="1038"/>
      <c r="T171" s="1038"/>
      <c r="U171" s="1038"/>
      <c r="V171" s="1038"/>
      <c r="W171" s="1038"/>
      <c r="X171" s="1038"/>
      <c r="Y171" s="1038"/>
    </row>
    <row r="172" spans="1:25" x14ac:dyDescent="0.2">
      <c r="A172" s="1037"/>
      <c r="B172" s="1037"/>
      <c r="C172" s="1037"/>
      <c r="D172" s="1037"/>
      <c r="E172" s="1037"/>
      <c r="P172" s="981"/>
      <c r="R172" s="1038"/>
      <c r="S172" s="1038"/>
      <c r="T172" s="1038"/>
      <c r="U172" s="1038"/>
      <c r="V172" s="1038"/>
      <c r="W172" s="1038"/>
      <c r="X172" s="1038"/>
      <c r="Y172" s="1038"/>
    </row>
    <row r="173" spans="1:25" x14ac:dyDescent="0.2">
      <c r="A173" s="1037"/>
      <c r="B173" s="1037"/>
      <c r="C173" s="1037"/>
      <c r="D173" s="1037"/>
      <c r="E173" s="1037"/>
      <c r="P173" s="981"/>
      <c r="R173" s="1038"/>
      <c r="S173" s="1038"/>
      <c r="T173" s="1038"/>
      <c r="U173" s="1038"/>
      <c r="V173" s="1038"/>
      <c r="W173" s="1038"/>
      <c r="X173" s="1038"/>
      <c r="Y173" s="1038"/>
    </row>
    <row r="174" spans="1:25" x14ac:dyDescent="0.2">
      <c r="A174" s="1037"/>
      <c r="B174" s="1037"/>
      <c r="C174" s="1037"/>
      <c r="D174" s="1037"/>
      <c r="E174" s="1037"/>
      <c r="P174" s="981"/>
      <c r="R174" s="1038"/>
      <c r="S174" s="1038"/>
      <c r="T174" s="1038"/>
      <c r="U174" s="1038"/>
      <c r="V174" s="1038"/>
      <c r="W174" s="1038"/>
      <c r="X174" s="1038"/>
      <c r="Y174" s="1038"/>
    </row>
    <row r="175" spans="1:25" x14ac:dyDescent="0.2">
      <c r="A175" s="1037"/>
      <c r="B175" s="1037"/>
      <c r="C175" s="1037"/>
      <c r="D175" s="1037"/>
      <c r="E175" s="1037"/>
      <c r="P175" s="981"/>
      <c r="R175" s="1038"/>
      <c r="S175" s="1038"/>
      <c r="T175" s="1038"/>
      <c r="U175" s="1038"/>
      <c r="V175" s="1038"/>
      <c r="W175" s="1038"/>
      <c r="X175" s="1038"/>
      <c r="Y175" s="1038"/>
    </row>
    <row r="176" spans="1:25" x14ac:dyDescent="0.2">
      <c r="A176" s="1037"/>
      <c r="B176" s="1037"/>
      <c r="C176" s="1037"/>
      <c r="D176" s="1037"/>
      <c r="E176" s="1037"/>
      <c r="P176" s="981"/>
      <c r="R176" s="1038"/>
      <c r="S176" s="1038"/>
      <c r="T176" s="1038"/>
      <c r="U176" s="1038"/>
      <c r="V176" s="1038"/>
      <c r="W176" s="1038"/>
      <c r="X176" s="1038"/>
      <c r="Y176" s="1038"/>
    </row>
    <row r="177" spans="1:25" x14ac:dyDescent="0.2">
      <c r="A177" s="1037"/>
      <c r="B177" s="1037"/>
      <c r="C177" s="1037"/>
      <c r="D177" s="1037"/>
      <c r="E177" s="1037"/>
      <c r="P177" s="981"/>
      <c r="R177" s="1038"/>
      <c r="S177" s="1038"/>
      <c r="T177" s="1038"/>
      <c r="U177" s="1038"/>
      <c r="V177" s="1038"/>
      <c r="W177" s="1038"/>
      <c r="X177" s="1038"/>
      <c r="Y177" s="1038"/>
    </row>
    <row r="178" spans="1:25" x14ac:dyDescent="0.2">
      <c r="A178" s="1037"/>
      <c r="B178" s="1037"/>
      <c r="C178" s="1037"/>
      <c r="D178" s="1037"/>
      <c r="E178" s="1037"/>
      <c r="P178" s="981"/>
      <c r="R178" s="1038"/>
      <c r="S178" s="1038"/>
      <c r="T178" s="1038"/>
      <c r="U178" s="1038"/>
      <c r="V178" s="1038"/>
      <c r="W178" s="1038"/>
      <c r="X178" s="1038"/>
      <c r="Y178" s="1038"/>
    </row>
    <row r="179" spans="1:25" x14ac:dyDescent="0.2">
      <c r="A179" s="1037"/>
      <c r="B179" s="1037"/>
      <c r="C179" s="1037"/>
      <c r="D179" s="1037"/>
      <c r="E179" s="1037"/>
      <c r="P179" s="981"/>
      <c r="R179" s="1038"/>
      <c r="S179" s="1038"/>
      <c r="T179" s="1038"/>
      <c r="U179" s="1038"/>
      <c r="V179" s="1038"/>
      <c r="W179" s="1038"/>
      <c r="X179" s="1038"/>
      <c r="Y179" s="1038"/>
    </row>
    <row r="180" spans="1:25" x14ac:dyDescent="0.2">
      <c r="A180" s="1037"/>
      <c r="B180" s="1037"/>
      <c r="C180" s="1037"/>
      <c r="D180" s="1037"/>
      <c r="E180" s="1037"/>
      <c r="P180" s="981"/>
      <c r="R180" s="1038"/>
      <c r="S180" s="1038"/>
      <c r="T180" s="1038"/>
      <c r="U180" s="1038"/>
      <c r="V180" s="1038"/>
      <c r="W180" s="1038"/>
      <c r="X180" s="1038"/>
      <c r="Y180" s="1038"/>
    </row>
    <row r="181" spans="1:25" x14ac:dyDescent="0.2">
      <c r="A181" s="1037"/>
      <c r="B181" s="1037"/>
      <c r="C181" s="1037"/>
      <c r="D181" s="1037"/>
      <c r="E181" s="1037"/>
      <c r="P181" s="981"/>
      <c r="R181" s="1038"/>
      <c r="S181" s="1038"/>
      <c r="T181" s="1038"/>
      <c r="U181" s="1038"/>
      <c r="V181" s="1038"/>
      <c r="W181" s="1038"/>
      <c r="X181" s="1038"/>
      <c r="Y181" s="1038"/>
    </row>
    <row r="182" spans="1:25" x14ac:dyDescent="0.2">
      <c r="A182" s="1037"/>
      <c r="B182" s="1037"/>
      <c r="C182" s="1037"/>
      <c r="D182" s="1037"/>
      <c r="E182" s="1037"/>
      <c r="P182" s="981"/>
      <c r="R182" s="1038"/>
      <c r="S182" s="1038"/>
      <c r="T182" s="1038"/>
      <c r="U182" s="1038"/>
      <c r="V182" s="1038"/>
      <c r="W182" s="1038"/>
      <c r="X182" s="1038"/>
      <c r="Y182" s="1038"/>
    </row>
    <row r="183" spans="1:25" x14ac:dyDescent="0.2">
      <c r="A183" s="1037"/>
      <c r="B183" s="1037"/>
      <c r="C183" s="1037"/>
      <c r="D183" s="1037"/>
      <c r="E183" s="1037"/>
      <c r="P183" s="981"/>
      <c r="R183" s="1038"/>
      <c r="S183" s="1038"/>
      <c r="T183" s="1038"/>
      <c r="U183" s="1038"/>
      <c r="V183" s="1038"/>
      <c r="W183" s="1038"/>
      <c r="X183" s="1038"/>
      <c r="Y183" s="1038"/>
    </row>
    <row r="184" spans="1:25" x14ac:dyDescent="0.2">
      <c r="A184" s="1037"/>
      <c r="B184" s="1037"/>
      <c r="C184" s="1037"/>
      <c r="D184" s="1037"/>
      <c r="E184" s="1037"/>
      <c r="P184" s="981"/>
      <c r="R184" s="1038"/>
      <c r="S184" s="1038"/>
      <c r="T184" s="1038"/>
      <c r="U184" s="1038"/>
      <c r="V184" s="1038"/>
      <c r="W184" s="1038"/>
      <c r="X184" s="1038"/>
      <c r="Y184" s="1038"/>
    </row>
    <row r="185" spans="1:25" x14ac:dyDescent="0.2">
      <c r="A185" s="1037"/>
      <c r="B185" s="1037"/>
      <c r="C185" s="1037"/>
      <c r="D185" s="1037"/>
      <c r="E185" s="1037"/>
      <c r="P185" s="981"/>
      <c r="R185" s="1038"/>
      <c r="S185" s="1038"/>
      <c r="T185" s="1038"/>
      <c r="U185" s="1038"/>
      <c r="V185" s="1038"/>
      <c r="W185" s="1038"/>
      <c r="X185" s="1038"/>
      <c r="Y185" s="1038"/>
    </row>
    <row r="186" spans="1:25" x14ac:dyDescent="0.2">
      <c r="A186" s="1037"/>
      <c r="B186" s="1037"/>
      <c r="C186" s="1037"/>
      <c r="D186" s="1037"/>
      <c r="E186" s="1037"/>
      <c r="P186" s="981"/>
      <c r="R186" s="1038"/>
      <c r="S186" s="1038"/>
      <c r="T186" s="1038"/>
      <c r="U186" s="1038"/>
      <c r="V186" s="1038"/>
      <c r="W186" s="1038"/>
      <c r="X186" s="1038"/>
      <c r="Y186" s="1038"/>
    </row>
    <row r="187" spans="1:25" x14ac:dyDescent="0.2">
      <c r="A187" s="1037"/>
      <c r="B187" s="1037"/>
      <c r="C187" s="1037"/>
      <c r="D187" s="1037"/>
      <c r="E187" s="1037"/>
      <c r="P187" s="981"/>
      <c r="R187" s="1038"/>
      <c r="S187" s="1038"/>
      <c r="T187" s="1038"/>
      <c r="U187" s="1038"/>
      <c r="V187" s="1038"/>
      <c r="W187" s="1038"/>
      <c r="X187" s="1038"/>
      <c r="Y187" s="1038"/>
    </row>
    <row r="188" spans="1:25" x14ac:dyDescent="0.2">
      <c r="A188" s="1037"/>
      <c r="B188" s="1037"/>
      <c r="C188" s="1037"/>
      <c r="D188" s="1037"/>
      <c r="E188" s="1037"/>
      <c r="P188" s="981"/>
      <c r="R188" s="1038"/>
      <c r="S188" s="1038"/>
      <c r="T188" s="1038"/>
      <c r="U188" s="1038"/>
      <c r="V188" s="1038"/>
      <c r="W188" s="1038"/>
      <c r="X188" s="1038"/>
      <c r="Y188" s="1038"/>
    </row>
    <row r="189" spans="1:25" x14ac:dyDescent="0.2">
      <c r="A189" s="1037"/>
      <c r="B189" s="1037"/>
      <c r="C189" s="1037"/>
      <c r="D189" s="1037"/>
      <c r="E189" s="1037"/>
      <c r="P189" s="981"/>
      <c r="R189" s="1038"/>
      <c r="S189" s="1038"/>
      <c r="T189" s="1038"/>
      <c r="U189" s="1038"/>
      <c r="V189" s="1038"/>
      <c r="W189" s="1038"/>
      <c r="X189" s="1038"/>
      <c r="Y189" s="1038"/>
    </row>
    <row r="190" spans="1:25" x14ac:dyDescent="0.2">
      <c r="A190" s="1037"/>
      <c r="B190" s="1037"/>
      <c r="C190" s="1037"/>
      <c r="D190" s="1037"/>
      <c r="E190" s="1037"/>
      <c r="P190" s="981"/>
      <c r="R190" s="1038"/>
      <c r="S190" s="1038"/>
      <c r="T190" s="1038"/>
      <c r="U190" s="1038"/>
      <c r="V190" s="1038"/>
      <c r="W190" s="1038"/>
      <c r="X190" s="1038"/>
      <c r="Y190" s="1038"/>
    </row>
    <row r="191" spans="1:25" x14ac:dyDescent="0.2">
      <c r="A191" s="1037"/>
      <c r="B191" s="1037"/>
      <c r="C191" s="1037"/>
      <c r="D191" s="1037"/>
      <c r="E191" s="1037"/>
      <c r="P191" s="981"/>
      <c r="R191" s="1038"/>
      <c r="S191" s="1038"/>
      <c r="T191" s="1038"/>
      <c r="U191" s="1038"/>
      <c r="V191" s="1038"/>
      <c r="W191" s="1038"/>
      <c r="X191" s="1038"/>
      <c r="Y191" s="1038"/>
    </row>
    <row r="192" spans="1:25" x14ac:dyDescent="0.2">
      <c r="A192" s="1037"/>
      <c r="B192" s="1037"/>
      <c r="C192" s="1037"/>
      <c r="D192" s="1037"/>
      <c r="E192" s="1037"/>
      <c r="P192" s="981"/>
      <c r="R192" s="1038"/>
      <c r="S192" s="1038"/>
      <c r="T192" s="1038"/>
      <c r="U192" s="1038"/>
      <c r="V192" s="1038"/>
      <c r="W192" s="1038"/>
      <c r="X192" s="1038"/>
      <c r="Y192" s="1038"/>
    </row>
    <row r="193" spans="1:25" x14ac:dyDescent="0.2">
      <c r="A193" s="1037"/>
      <c r="B193" s="1037"/>
      <c r="C193" s="1037"/>
      <c r="D193" s="1037"/>
      <c r="E193" s="1037"/>
      <c r="P193" s="981"/>
      <c r="R193" s="1038"/>
      <c r="S193" s="1038"/>
      <c r="T193" s="1038"/>
      <c r="U193" s="1038"/>
      <c r="V193" s="1038"/>
      <c r="W193" s="1038"/>
      <c r="X193" s="1038"/>
      <c r="Y193" s="1038"/>
    </row>
    <row r="194" spans="1:25" x14ac:dyDescent="0.2">
      <c r="A194" s="1037"/>
      <c r="B194" s="1037"/>
      <c r="C194" s="1037"/>
      <c r="D194" s="1037"/>
      <c r="E194" s="1037"/>
      <c r="P194" s="981"/>
      <c r="R194" s="1038"/>
      <c r="S194" s="1038"/>
      <c r="T194" s="1038"/>
      <c r="U194" s="1038"/>
      <c r="V194" s="1038"/>
      <c r="W194" s="1038"/>
      <c r="X194" s="1038"/>
      <c r="Y194" s="1038"/>
    </row>
    <row r="195" spans="1:25" x14ac:dyDescent="0.2">
      <c r="A195" s="1037"/>
      <c r="B195" s="1037"/>
      <c r="C195" s="1037"/>
      <c r="D195" s="1037"/>
      <c r="E195" s="1037"/>
      <c r="P195" s="981"/>
      <c r="R195" s="1038"/>
      <c r="S195" s="1038"/>
      <c r="T195" s="1038"/>
      <c r="U195" s="1038"/>
      <c r="V195" s="1038"/>
      <c r="W195" s="1038"/>
      <c r="X195" s="1038"/>
      <c r="Y195" s="1038"/>
    </row>
    <row r="196" spans="1:25" x14ac:dyDescent="0.2">
      <c r="A196" s="1037"/>
      <c r="B196" s="1037"/>
      <c r="C196" s="1037"/>
      <c r="D196" s="1037"/>
      <c r="E196" s="1037"/>
      <c r="P196" s="981"/>
      <c r="R196" s="1038"/>
      <c r="S196" s="1038"/>
      <c r="T196" s="1038"/>
      <c r="U196" s="1038"/>
      <c r="V196" s="1038"/>
      <c r="W196" s="1038"/>
      <c r="X196" s="1038"/>
      <c r="Y196" s="1038"/>
    </row>
    <row r="197" spans="1:25" x14ac:dyDescent="0.2">
      <c r="A197" s="1037"/>
      <c r="B197" s="1037"/>
      <c r="C197" s="1037"/>
      <c r="D197" s="1037"/>
      <c r="E197" s="1037"/>
      <c r="P197" s="981"/>
      <c r="R197" s="1038"/>
      <c r="S197" s="1038"/>
      <c r="T197" s="1038"/>
      <c r="U197" s="1038"/>
      <c r="V197" s="1038"/>
      <c r="W197" s="1038"/>
      <c r="X197" s="1038"/>
      <c r="Y197" s="1038"/>
    </row>
    <row r="198" spans="1:25" x14ac:dyDescent="0.2">
      <c r="A198" s="1037"/>
      <c r="B198" s="1037"/>
      <c r="C198" s="1037"/>
      <c r="D198" s="1037"/>
      <c r="E198" s="1037"/>
      <c r="P198" s="981"/>
      <c r="R198" s="1038"/>
      <c r="S198" s="1038"/>
      <c r="T198" s="1038"/>
      <c r="U198" s="1038"/>
      <c r="V198" s="1038"/>
      <c r="W198" s="1038"/>
      <c r="X198" s="1038"/>
      <c r="Y198" s="1038"/>
    </row>
    <row r="199" spans="1:25" x14ac:dyDescent="0.2">
      <c r="A199" s="1037"/>
      <c r="B199" s="1037"/>
      <c r="C199" s="1037"/>
      <c r="D199" s="1037"/>
      <c r="E199" s="1037"/>
      <c r="P199" s="981"/>
      <c r="R199" s="1038"/>
      <c r="S199" s="1038"/>
      <c r="T199" s="1038"/>
      <c r="U199" s="1038"/>
      <c r="V199" s="1038"/>
      <c r="W199" s="1038"/>
      <c r="X199" s="1038"/>
      <c r="Y199" s="1038"/>
    </row>
    <row r="200" spans="1:25" x14ac:dyDescent="0.2">
      <c r="A200" s="1037"/>
      <c r="B200" s="1037"/>
      <c r="C200" s="1037"/>
      <c r="D200" s="1037"/>
      <c r="E200" s="1037"/>
      <c r="P200" s="981"/>
      <c r="R200" s="1038"/>
      <c r="S200" s="1038"/>
      <c r="T200" s="1038"/>
      <c r="U200" s="1038"/>
      <c r="V200" s="1038"/>
      <c r="W200" s="1038"/>
      <c r="X200" s="1038"/>
      <c r="Y200" s="1038"/>
    </row>
    <row r="201" spans="1:25" x14ac:dyDescent="0.2">
      <c r="A201" s="1037"/>
      <c r="B201" s="1037"/>
      <c r="C201" s="1037"/>
      <c r="D201" s="1037"/>
      <c r="E201" s="1037"/>
      <c r="P201" s="981"/>
      <c r="R201" s="1038"/>
      <c r="S201" s="1038"/>
      <c r="T201" s="1038"/>
      <c r="U201" s="1038"/>
      <c r="V201" s="1038"/>
      <c r="W201" s="1038"/>
      <c r="X201" s="1038"/>
      <c r="Y201" s="1038"/>
    </row>
    <row r="202" spans="1:25" x14ac:dyDescent="0.2">
      <c r="A202" s="1037"/>
      <c r="B202" s="1037"/>
      <c r="C202" s="1037"/>
      <c r="D202" s="1037"/>
      <c r="E202" s="1037"/>
      <c r="P202" s="981"/>
      <c r="R202" s="1038"/>
      <c r="S202" s="1038"/>
      <c r="T202" s="1038"/>
      <c r="U202" s="1038"/>
      <c r="V202" s="1038"/>
      <c r="W202" s="1038"/>
      <c r="X202" s="1038"/>
      <c r="Y202" s="1038"/>
    </row>
    <row r="203" spans="1:25" x14ac:dyDescent="0.2">
      <c r="A203" s="1037"/>
      <c r="B203" s="1037"/>
      <c r="C203" s="1037"/>
      <c r="D203" s="1037"/>
      <c r="E203" s="1037"/>
      <c r="P203" s="981"/>
      <c r="R203" s="1038"/>
      <c r="S203" s="1038"/>
      <c r="T203" s="1038"/>
      <c r="U203" s="1038"/>
      <c r="V203" s="1038"/>
      <c r="W203" s="1038"/>
      <c r="X203" s="1038"/>
      <c r="Y203" s="1038"/>
    </row>
    <row r="204" spans="1:25" x14ac:dyDescent="0.2">
      <c r="A204" s="1037"/>
      <c r="B204" s="1037"/>
      <c r="C204" s="1037"/>
      <c r="D204" s="1037"/>
      <c r="E204" s="1037"/>
      <c r="P204" s="981"/>
      <c r="R204" s="1038"/>
      <c r="S204" s="1038"/>
      <c r="T204" s="1038"/>
      <c r="U204" s="1038"/>
      <c r="V204" s="1038"/>
      <c r="W204" s="1038"/>
      <c r="X204" s="1038"/>
      <c r="Y204" s="1038"/>
    </row>
    <row r="205" spans="1:25" x14ac:dyDescent="0.2">
      <c r="A205" s="1037"/>
      <c r="B205" s="1037"/>
      <c r="C205" s="1037"/>
      <c r="D205" s="1037"/>
      <c r="E205" s="1037"/>
      <c r="P205" s="981"/>
      <c r="R205" s="1038"/>
      <c r="S205" s="1038"/>
      <c r="T205" s="1038"/>
      <c r="U205" s="1038"/>
      <c r="V205" s="1038"/>
      <c r="W205" s="1038"/>
      <c r="X205" s="1038"/>
      <c r="Y205" s="1038"/>
    </row>
    <row r="206" spans="1:25" x14ac:dyDescent="0.2">
      <c r="A206" s="1037"/>
      <c r="B206" s="1037"/>
      <c r="C206" s="1037"/>
      <c r="D206" s="1037"/>
      <c r="E206" s="1037"/>
      <c r="P206" s="981"/>
      <c r="R206" s="1038"/>
      <c r="S206" s="1038"/>
      <c r="T206" s="1038"/>
      <c r="U206" s="1038"/>
      <c r="V206" s="1038"/>
      <c r="W206" s="1038"/>
      <c r="X206" s="1038"/>
      <c r="Y206" s="1038"/>
    </row>
    <row r="207" spans="1:25" x14ac:dyDescent="0.2">
      <c r="A207" s="1037"/>
      <c r="B207" s="1037"/>
      <c r="C207" s="1037"/>
      <c r="D207" s="1037"/>
      <c r="E207" s="1037"/>
      <c r="P207" s="981"/>
      <c r="R207" s="1038"/>
      <c r="S207" s="1038"/>
      <c r="T207" s="1038"/>
      <c r="U207" s="1038"/>
      <c r="V207" s="1038"/>
      <c r="W207" s="1038"/>
      <c r="X207" s="1038"/>
      <c r="Y207" s="1038"/>
    </row>
    <row r="208" spans="1:25" x14ac:dyDescent="0.2">
      <c r="A208" s="1037"/>
      <c r="B208" s="1037"/>
      <c r="C208" s="1037"/>
      <c r="D208" s="1037"/>
      <c r="E208" s="1037"/>
      <c r="P208" s="981"/>
      <c r="R208" s="1038"/>
      <c r="S208" s="1038"/>
      <c r="T208" s="1038"/>
      <c r="U208" s="1038"/>
      <c r="V208" s="1038"/>
      <c r="W208" s="1038"/>
      <c r="X208" s="1038"/>
      <c r="Y208" s="1038"/>
    </row>
    <row r="209" spans="1:25" x14ac:dyDescent="0.2">
      <c r="A209" s="1037"/>
      <c r="B209" s="1037"/>
      <c r="C209" s="1037"/>
      <c r="D209" s="1037"/>
      <c r="E209" s="1037"/>
      <c r="P209" s="981"/>
      <c r="R209" s="1038"/>
      <c r="S209" s="1038"/>
      <c r="T209" s="1038"/>
      <c r="U209" s="1038"/>
      <c r="V209" s="1038"/>
      <c r="W209" s="1038"/>
      <c r="X209" s="1038"/>
      <c r="Y209" s="1038"/>
    </row>
    <row r="210" spans="1:25" x14ac:dyDescent="0.2">
      <c r="A210" s="1037"/>
      <c r="B210" s="1037"/>
      <c r="C210" s="1037"/>
      <c r="D210" s="1037"/>
      <c r="E210" s="1037"/>
      <c r="P210" s="981"/>
      <c r="R210" s="1038"/>
      <c r="S210" s="1038"/>
      <c r="T210" s="1038"/>
      <c r="U210" s="1038"/>
      <c r="V210" s="1038"/>
      <c r="W210" s="1038"/>
      <c r="X210" s="1038"/>
      <c r="Y210" s="1038"/>
    </row>
    <row r="211" spans="1:25" x14ac:dyDescent="0.2">
      <c r="A211" s="1037"/>
      <c r="B211" s="1037"/>
      <c r="C211" s="1037"/>
      <c r="D211" s="1037"/>
      <c r="E211" s="1037"/>
      <c r="P211" s="981"/>
      <c r="R211" s="1038"/>
      <c r="S211" s="1038"/>
      <c r="T211" s="1038"/>
      <c r="U211" s="1038"/>
      <c r="V211" s="1038"/>
      <c r="W211" s="1038"/>
      <c r="X211" s="1038"/>
      <c r="Y211" s="1038"/>
    </row>
    <row r="212" spans="1:25" x14ac:dyDescent="0.2">
      <c r="A212" s="1037"/>
      <c r="B212" s="1037"/>
      <c r="C212" s="1037"/>
      <c r="D212" s="1037"/>
      <c r="E212" s="1037"/>
      <c r="P212" s="981"/>
      <c r="R212" s="1038"/>
      <c r="S212" s="1038"/>
      <c r="T212" s="1038"/>
      <c r="U212" s="1038"/>
      <c r="V212" s="1038"/>
      <c r="W212" s="1038"/>
      <c r="X212" s="1038"/>
      <c r="Y212" s="1038"/>
    </row>
    <row r="213" spans="1:25" x14ac:dyDescent="0.2">
      <c r="A213" s="1037"/>
      <c r="B213" s="1037"/>
      <c r="C213" s="1037"/>
      <c r="D213" s="1037"/>
      <c r="E213" s="1037"/>
      <c r="P213" s="981"/>
      <c r="R213" s="1038"/>
      <c r="S213" s="1038"/>
      <c r="T213" s="1038"/>
      <c r="U213" s="1038"/>
      <c r="V213" s="1038"/>
      <c r="W213" s="1038"/>
      <c r="X213" s="1038"/>
      <c r="Y213" s="1038"/>
    </row>
    <row r="214" spans="1:25" x14ac:dyDescent="0.2">
      <c r="A214" s="1037"/>
      <c r="B214" s="1037"/>
      <c r="C214" s="1037"/>
      <c r="D214" s="1037"/>
      <c r="E214" s="1037"/>
      <c r="P214" s="981"/>
      <c r="R214" s="1038"/>
      <c r="S214" s="1038"/>
      <c r="T214" s="1038"/>
      <c r="U214" s="1038"/>
      <c r="V214" s="1038"/>
      <c r="W214" s="1038"/>
      <c r="X214" s="1038"/>
      <c r="Y214" s="1038"/>
    </row>
    <row r="215" spans="1:25" x14ac:dyDescent="0.2">
      <c r="A215" s="1037"/>
      <c r="B215" s="1037"/>
      <c r="C215" s="1037"/>
      <c r="D215" s="1037"/>
      <c r="E215" s="1037"/>
      <c r="P215" s="981"/>
      <c r="R215" s="1038"/>
      <c r="S215" s="1038"/>
      <c r="T215" s="1038"/>
      <c r="U215" s="1038"/>
      <c r="V215" s="1038"/>
      <c r="W215" s="1038"/>
      <c r="X215" s="1038"/>
      <c r="Y215" s="1038"/>
    </row>
    <row r="216" spans="1:25" x14ac:dyDescent="0.2">
      <c r="A216" s="1037"/>
      <c r="B216" s="1037"/>
      <c r="C216" s="1037"/>
      <c r="D216" s="1037"/>
      <c r="E216" s="1037"/>
      <c r="P216" s="981"/>
      <c r="R216" s="1038"/>
      <c r="S216" s="1038"/>
      <c r="T216" s="1038"/>
      <c r="U216" s="1038"/>
      <c r="V216" s="1038"/>
      <c r="W216" s="1038"/>
      <c r="X216" s="1038"/>
      <c r="Y216" s="1038"/>
    </row>
    <row r="217" spans="1:25" x14ac:dyDescent="0.2">
      <c r="A217" s="1037"/>
      <c r="B217" s="1037"/>
      <c r="C217" s="1037"/>
      <c r="D217" s="1037"/>
      <c r="E217" s="1037"/>
      <c r="P217" s="981"/>
      <c r="R217" s="1038"/>
      <c r="S217" s="1038"/>
      <c r="T217" s="1038"/>
      <c r="U217" s="1038"/>
      <c r="V217" s="1038"/>
      <c r="W217" s="1038"/>
      <c r="X217" s="1038"/>
      <c r="Y217" s="1038"/>
    </row>
    <row r="218" spans="1:25" x14ac:dyDescent="0.2">
      <c r="A218" s="1037"/>
      <c r="B218" s="1037"/>
      <c r="C218" s="1037"/>
      <c r="D218" s="1037"/>
      <c r="E218" s="1037"/>
      <c r="P218" s="981"/>
      <c r="R218" s="1038"/>
      <c r="S218" s="1038"/>
      <c r="T218" s="1038"/>
      <c r="U218" s="1038"/>
      <c r="V218" s="1038"/>
      <c r="W218" s="1038"/>
      <c r="X218" s="1038"/>
      <c r="Y218" s="1038"/>
    </row>
    <row r="219" spans="1:25" x14ac:dyDescent="0.2">
      <c r="A219" s="1037"/>
      <c r="B219" s="1037"/>
      <c r="C219" s="1037"/>
      <c r="D219" s="1037"/>
      <c r="E219" s="1037"/>
      <c r="P219" s="981"/>
      <c r="R219" s="1038"/>
      <c r="S219" s="1038"/>
      <c r="T219" s="1038"/>
      <c r="U219" s="1038"/>
      <c r="V219" s="1038"/>
      <c r="W219" s="1038"/>
      <c r="X219" s="1038"/>
      <c r="Y219" s="1038"/>
    </row>
    <row r="220" spans="1:25" x14ac:dyDescent="0.2">
      <c r="A220" s="1037"/>
      <c r="B220" s="1037"/>
      <c r="C220" s="1037"/>
      <c r="D220" s="1037"/>
      <c r="E220" s="1037"/>
      <c r="P220" s="981"/>
      <c r="R220" s="1038"/>
      <c r="S220" s="1038"/>
      <c r="T220" s="1038"/>
      <c r="U220" s="1038"/>
      <c r="V220" s="1038"/>
      <c r="W220" s="1038"/>
      <c r="X220" s="1038"/>
      <c r="Y220" s="1038"/>
    </row>
    <row r="221" spans="1:25" x14ac:dyDescent="0.2">
      <c r="A221" s="1037"/>
      <c r="B221" s="1037"/>
      <c r="C221" s="1037"/>
      <c r="D221" s="1037"/>
      <c r="E221" s="1037"/>
      <c r="P221" s="981"/>
      <c r="R221" s="1038"/>
      <c r="S221" s="1038"/>
      <c r="T221" s="1038"/>
      <c r="U221" s="1038"/>
      <c r="V221" s="1038"/>
      <c r="W221" s="1038"/>
      <c r="X221" s="1038"/>
      <c r="Y221" s="1038"/>
    </row>
    <row r="222" spans="1:25" x14ac:dyDescent="0.2">
      <c r="A222" s="1037"/>
      <c r="B222" s="1037"/>
      <c r="C222" s="1037"/>
      <c r="D222" s="1037"/>
      <c r="E222" s="1037"/>
      <c r="P222" s="981"/>
      <c r="R222" s="1038"/>
      <c r="S222" s="1038"/>
      <c r="T222" s="1038"/>
      <c r="U222" s="1038"/>
      <c r="V222" s="1038"/>
      <c r="W222" s="1038"/>
      <c r="X222" s="1038"/>
      <c r="Y222" s="1038"/>
    </row>
    <row r="223" spans="1:25" x14ac:dyDescent="0.2">
      <c r="A223" s="1037"/>
      <c r="B223" s="1037"/>
      <c r="C223" s="1037"/>
      <c r="D223" s="1037"/>
      <c r="E223" s="1037"/>
      <c r="P223" s="981"/>
      <c r="R223" s="1038"/>
      <c r="S223" s="1038"/>
      <c r="T223" s="1038"/>
      <c r="U223" s="1038"/>
      <c r="V223" s="1038"/>
      <c r="W223" s="1038"/>
      <c r="X223" s="1038"/>
      <c r="Y223" s="1038"/>
    </row>
    <row r="224" spans="1:25" x14ac:dyDescent="0.2">
      <c r="A224" s="1037"/>
      <c r="B224" s="1037"/>
      <c r="C224" s="1037"/>
      <c r="D224" s="1037"/>
      <c r="E224" s="1037"/>
      <c r="P224" s="981"/>
      <c r="R224" s="1038"/>
      <c r="S224" s="1038"/>
      <c r="T224" s="1038"/>
      <c r="U224" s="1038"/>
      <c r="V224" s="1038"/>
      <c r="W224" s="1038"/>
      <c r="X224" s="1038"/>
      <c r="Y224" s="1038"/>
    </row>
    <row r="225" spans="1:25" x14ac:dyDescent="0.2">
      <c r="A225" s="1037"/>
      <c r="B225" s="1037"/>
      <c r="C225" s="1037"/>
      <c r="D225" s="1037"/>
      <c r="E225" s="1037"/>
      <c r="P225" s="981"/>
      <c r="R225" s="1038"/>
      <c r="S225" s="1038"/>
      <c r="T225" s="1038"/>
      <c r="U225" s="1038"/>
      <c r="V225" s="1038"/>
      <c r="W225" s="1038"/>
      <c r="X225" s="1038"/>
      <c r="Y225" s="1038"/>
    </row>
    <row r="226" spans="1:25" x14ac:dyDescent="0.2">
      <c r="A226" s="1037"/>
      <c r="B226" s="1037"/>
      <c r="C226" s="1037"/>
      <c r="D226" s="1037"/>
      <c r="E226" s="1037"/>
      <c r="P226" s="981"/>
      <c r="R226" s="1038"/>
      <c r="S226" s="1038"/>
      <c r="T226" s="1038"/>
      <c r="U226" s="1038"/>
      <c r="V226" s="1038"/>
      <c r="W226" s="1038"/>
      <c r="X226" s="1038"/>
      <c r="Y226" s="1038"/>
    </row>
    <row r="227" spans="1:25" x14ac:dyDescent="0.2">
      <c r="A227" s="1037"/>
      <c r="B227" s="1037"/>
      <c r="C227" s="1037"/>
      <c r="D227" s="1037"/>
      <c r="E227" s="1037"/>
      <c r="P227" s="981"/>
      <c r="R227" s="1038"/>
      <c r="S227" s="1038"/>
      <c r="T227" s="1038"/>
      <c r="U227" s="1038"/>
      <c r="V227" s="1038"/>
      <c r="W227" s="1038"/>
      <c r="X227" s="1038"/>
      <c r="Y227" s="1038"/>
    </row>
    <row r="228" spans="1:25" x14ac:dyDescent="0.2">
      <c r="A228" s="1037"/>
      <c r="B228" s="1037"/>
      <c r="C228" s="1037"/>
      <c r="D228" s="1037"/>
      <c r="E228" s="1037"/>
      <c r="P228" s="981"/>
      <c r="R228" s="1038"/>
      <c r="S228" s="1038"/>
      <c r="T228" s="1038"/>
      <c r="U228" s="1038"/>
      <c r="V228" s="1038"/>
      <c r="W228" s="1038"/>
      <c r="X228" s="1038"/>
      <c r="Y228" s="1038"/>
    </row>
    <row r="229" spans="1:25" x14ac:dyDescent="0.2">
      <c r="A229" s="1037"/>
      <c r="B229" s="1037"/>
      <c r="C229" s="1037"/>
      <c r="D229" s="1037"/>
      <c r="E229" s="1037"/>
      <c r="P229" s="981"/>
      <c r="R229" s="1038"/>
      <c r="S229" s="1038"/>
      <c r="T229" s="1038"/>
      <c r="U229" s="1038"/>
      <c r="V229" s="1038"/>
      <c r="W229" s="1038"/>
      <c r="X229" s="1038"/>
      <c r="Y229" s="1038"/>
    </row>
    <row r="230" spans="1:25" x14ac:dyDescent="0.2">
      <c r="A230" s="1037"/>
      <c r="B230" s="1037"/>
      <c r="C230" s="1037"/>
      <c r="D230" s="1037"/>
      <c r="E230" s="1037"/>
      <c r="P230" s="981"/>
      <c r="R230" s="1038"/>
      <c r="S230" s="1038"/>
      <c r="T230" s="1038"/>
      <c r="U230" s="1038"/>
      <c r="V230" s="1038"/>
      <c r="W230" s="1038"/>
      <c r="X230" s="1038"/>
      <c r="Y230" s="1038"/>
    </row>
    <row r="231" spans="1:25" x14ac:dyDescent="0.2">
      <c r="A231" s="1037"/>
      <c r="B231" s="1037"/>
      <c r="C231" s="1037"/>
      <c r="D231" s="1037"/>
      <c r="E231" s="1037"/>
      <c r="P231" s="981"/>
      <c r="R231" s="1038"/>
      <c r="S231" s="1038"/>
      <c r="T231" s="1038"/>
      <c r="U231" s="1038"/>
      <c r="V231" s="1038"/>
      <c r="W231" s="1038"/>
      <c r="X231" s="1038"/>
      <c r="Y231" s="1038"/>
    </row>
    <row r="232" spans="1:25" x14ac:dyDescent="0.2">
      <c r="A232" s="1037"/>
      <c r="B232" s="1037"/>
      <c r="C232" s="1037"/>
      <c r="D232" s="1037"/>
      <c r="E232" s="1037"/>
      <c r="P232" s="981"/>
      <c r="R232" s="1038"/>
      <c r="S232" s="1038"/>
      <c r="T232" s="1038"/>
      <c r="U232" s="1038"/>
      <c r="V232" s="1038"/>
      <c r="W232" s="1038"/>
      <c r="X232" s="1038"/>
      <c r="Y232" s="1038"/>
    </row>
    <row r="233" spans="1:25" x14ac:dyDescent="0.2">
      <c r="A233" s="1037"/>
      <c r="B233" s="1037"/>
      <c r="C233" s="1037"/>
      <c r="D233" s="1037"/>
      <c r="E233" s="1037"/>
      <c r="P233" s="981"/>
      <c r="R233" s="1038"/>
      <c r="S233" s="1038"/>
      <c r="T233" s="1038"/>
      <c r="U233" s="1038"/>
      <c r="V233" s="1038"/>
      <c r="W233" s="1038"/>
      <c r="X233" s="1038"/>
      <c r="Y233" s="1038"/>
    </row>
    <row r="234" spans="1:25" x14ac:dyDescent="0.2">
      <c r="A234" s="1037"/>
      <c r="B234" s="1037"/>
      <c r="C234" s="1037"/>
      <c r="D234" s="1037"/>
      <c r="E234" s="1037"/>
      <c r="P234" s="981"/>
      <c r="R234" s="1038"/>
      <c r="S234" s="1038"/>
      <c r="T234" s="1038"/>
      <c r="U234" s="1038"/>
      <c r="V234" s="1038"/>
      <c r="W234" s="1038"/>
      <c r="X234" s="1038"/>
      <c r="Y234" s="1038"/>
    </row>
    <row r="235" spans="1:25" x14ac:dyDescent="0.2">
      <c r="A235" s="1037"/>
      <c r="B235" s="1037"/>
      <c r="C235" s="1037"/>
      <c r="D235" s="1037"/>
      <c r="E235" s="1037"/>
      <c r="P235" s="981"/>
      <c r="R235" s="1038"/>
      <c r="S235" s="1038"/>
      <c r="T235" s="1038"/>
      <c r="U235" s="1038"/>
      <c r="V235" s="1038"/>
      <c r="W235" s="1038"/>
      <c r="X235" s="1038"/>
      <c r="Y235" s="1038"/>
    </row>
    <row r="236" spans="1:25" x14ac:dyDescent="0.2">
      <c r="A236" s="1037"/>
      <c r="B236" s="1037"/>
      <c r="C236" s="1037"/>
      <c r="D236" s="1037"/>
      <c r="E236" s="1037"/>
      <c r="P236" s="981"/>
      <c r="R236" s="1038"/>
      <c r="S236" s="1038"/>
      <c r="T236" s="1038"/>
      <c r="U236" s="1038"/>
      <c r="V236" s="1038"/>
      <c r="W236" s="1038"/>
      <c r="X236" s="1038"/>
      <c r="Y236" s="1038"/>
    </row>
    <row r="237" spans="1:25" x14ac:dyDescent="0.2">
      <c r="A237" s="1037"/>
      <c r="B237" s="1037"/>
      <c r="C237" s="1037"/>
      <c r="D237" s="1037"/>
      <c r="E237" s="1037"/>
      <c r="P237" s="981"/>
      <c r="R237" s="1038"/>
      <c r="S237" s="1038"/>
      <c r="T237" s="1038"/>
      <c r="U237" s="1038"/>
      <c r="V237" s="1038"/>
      <c r="W237" s="1038"/>
      <c r="X237" s="1038"/>
      <c r="Y237" s="1038"/>
    </row>
    <row r="238" spans="1:25" x14ac:dyDescent="0.2">
      <c r="A238" s="1037"/>
      <c r="B238" s="1037"/>
      <c r="C238" s="1037"/>
      <c r="D238" s="1037"/>
      <c r="E238" s="1037"/>
      <c r="P238" s="981"/>
      <c r="R238" s="1038"/>
      <c r="S238" s="1038"/>
      <c r="T238" s="1038"/>
      <c r="U238" s="1038"/>
      <c r="V238" s="1038"/>
      <c r="W238" s="1038"/>
      <c r="X238" s="1038"/>
      <c r="Y238" s="1038"/>
    </row>
    <row r="239" spans="1:25" x14ac:dyDescent="0.2">
      <c r="A239" s="1037"/>
      <c r="B239" s="1037"/>
      <c r="C239" s="1037"/>
      <c r="D239" s="1037"/>
      <c r="E239" s="1037"/>
      <c r="P239" s="981"/>
      <c r="R239" s="1038"/>
      <c r="S239" s="1038"/>
      <c r="T239" s="1038"/>
      <c r="U239" s="1038"/>
      <c r="V239" s="1038"/>
      <c r="W239" s="1038"/>
      <c r="X239" s="1038"/>
      <c r="Y239" s="1038"/>
    </row>
    <row r="240" spans="1:25" x14ac:dyDescent="0.2">
      <c r="A240" s="1037"/>
      <c r="B240" s="1037"/>
      <c r="C240" s="1037"/>
      <c r="D240" s="1037"/>
      <c r="E240" s="1037"/>
      <c r="P240" s="981"/>
      <c r="R240" s="1038"/>
      <c r="S240" s="1038"/>
      <c r="T240" s="1038"/>
      <c r="U240" s="1038"/>
      <c r="V240" s="1038"/>
      <c r="W240" s="1038"/>
      <c r="X240" s="1038"/>
      <c r="Y240" s="1038"/>
    </row>
    <row r="241" spans="1:25" x14ac:dyDescent="0.2">
      <c r="A241" s="1037"/>
      <c r="B241" s="1037"/>
      <c r="C241" s="1037"/>
      <c r="D241" s="1037"/>
      <c r="E241" s="1037"/>
      <c r="P241" s="981"/>
      <c r="R241" s="1038"/>
      <c r="S241" s="1038"/>
      <c r="T241" s="1038"/>
      <c r="U241" s="1038"/>
      <c r="V241" s="1038"/>
      <c r="W241" s="1038"/>
      <c r="X241" s="1038"/>
      <c r="Y241" s="1038"/>
    </row>
    <row r="242" spans="1:25" x14ac:dyDescent="0.2">
      <c r="A242" s="1037"/>
      <c r="B242" s="1037"/>
      <c r="C242" s="1037"/>
      <c r="D242" s="1037"/>
      <c r="E242" s="1037"/>
      <c r="P242" s="981"/>
      <c r="R242" s="1038"/>
      <c r="S242" s="1038"/>
      <c r="T242" s="1038"/>
      <c r="U242" s="1038"/>
      <c r="V242" s="1038"/>
      <c r="W242" s="1038"/>
      <c r="X242" s="1038"/>
      <c r="Y242" s="1038"/>
    </row>
    <row r="243" spans="1:25" x14ac:dyDescent="0.2">
      <c r="A243" s="1037"/>
      <c r="B243" s="1037"/>
      <c r="C243" s="1037"/>
      <c r="D243" s="1037"/>
      <c r="E243" s="1037"/>
      <c r="P243" s="981"/>
      <c r="R243" s="1038"/>
      <c r="S243" s="1038"/>
      <c r="T243" s="1038"/>
      <c r="U243" s="1038"/>
      <c r="V243" s="1038"/>
      <c r="W243" s="1038"/>
      <c r="X243" s="1038"/>
      <c r="Y243" s="1038"/>
    </row>
    <row r="244" spans="1:25" x14ac:dyDescent="0.2">
      <c r="A244" s="1037"/>
      <c r="B244" s="1037"/>
      <c r="C244" s="1037"/>
      <c r="D244" s="1037"/>
      <c r="E244" s="1037"/>
      <c r="P244" s="981"/>
      <c r="R244" s="1038"/>
      <c r="S244" s="1038"/>
      <c r="T244" s="1038"/>
      <c r="U244" s="1038"/>
      <c r="V244" s="1038"/>
      <c r="W244" s="1038"/>
      <c r="X244" s="1038"/>
      <c r="Y244" s="1038"/>
    </row>
    <row r="245" spans="1:25" x14ac:dyDescent="0.2">
      <c r="A245" s="1037"/>
      <c r="B245" s="1037"/>
      <c r="C245" s="1037"/>
      <c r="D245" s="1037"/>
      <c r="E245" s="1037"/>
      <c r="P245" s="981"/>
      <c r="R245" s="1038"/>
      <c r="S245" s="1038"/>
      <c r="T245" s="1038"/>
      <c r="U245" s="1038"/>
      <c r="V245" s="1038"/>
      <c r="W245" s="1038"/>
      <c r="X245" s="1038"/>
      <c r="Y245" s="1038"/>
    </row>
    <row r="246" spans="1:25" x14ac:dyDescent="0.2">
      <c r="A246" s="1037"/>
      <c r="B246" s="1037"/>
      <c r="C246" s="1037"/>
      <c r="D246" s="1037"/>
      <c r="E246" s="1037"/>
      <c r="P246" s="981"/>
      <c r="R246" s="1038"/>
      <c r="S246" s="1038"/>
      <c r="T246" s="1038"/>
      <c r="U246" s="1038"/>
      <c r="V246" s="1038"/>
      <c r="W246" s="1038"/>
      <c r="X246" s="1038"/>
      <c r="Y246" s="1038"/>
    </row>
    <row r="247" spans="1:25" x14ac:dyDescent="0.2">
      <c r="A247" s="1037"/>
      <c r="B247" s="1037"/>
      <c r="C247" s="1037"/>
      <c r="D247" s="1037"/>
      <c r="E247" s="1037"/>
      <c r="P247" s="981"/>
      <c r="R247" s="1038"/>
      <c r="S247" s="1038"/>
      <c r="T247" s="1038"/>
      <c r="U247" s="1038"/>
      <c r="V247" s="1038"/>
      <c r="W247" s="1038"/>
      <c r="X247" s="1038"/>
      <c r="Y247" s="1038"/>
    </row>
    <row r="248" spans="1:25" x14ac:dyDescent="0.2">
      <c r="A248" s="1037"/>
      <c r="B248" s="1037"/>
      <c r="C248" s="1037"/>
      <c r="D248" s="1037"/>
      <c r="E248" s="1037"/>
      <c r="P248" s="981"/>
      <c r="R248" s="1038"/>
      <c r="S248" s="1038"/>
      <c r="T248" s="1038"/>
      <c r="U248" s="1038"/>
      <c r="V248" s="1038"/>
      <c r="W248" s="1038"/>
      <c r="X248" s="1038"/>
      <c r="Y248" s="1038"/>
    </row>
    <row r="249" spans="1:25" x14ac:dyDescent="0.2">
      <c r="A249" s="1037"/>
      <c r="B249" s="1037"/>
      <c r="C249" s="1037"/>
      <c r="D249" s="1037"/>
      <c r="E249" s="1037"/>
      <c r="P249" s="981"/>
      <c r="R249" s="1038"/>
      <c r="S249" s="1038"/>
      <c r="T249" s="1038"/>
      <c r="U249" s="1038"/>
      <c r="V249" s="1038"/>
      <c r="W249" s="1038"/>
      <c r="X249" s="1038"/>
      <c r="Y249" s="1038"/>
    </row>
    <row r="250" spans="1:25" x14ac:dyDescent="0.2">
      <c r="A250" s="1037"/>
      <c r="B250" s="1037"/>
      <c r="C250" s="1037"/>
      <c r="D250" s="1037"/>
      <c r="E250" s="1037"/>
      <c r="P250" s="981"/>
      <c r="R250" s="1038"/>
      <c r="S250" s="1038"/>
      <c r="T250" s="1038"/>
      <c r="U250" s="1038"/>
      <c r="V250" s="1038"/>
      <c r="W250" s="1038"/>
      <c r="X250" s="1038"/>
      <c r="Y250" s="1038"/>
    </row>
    <row r="251" spans="1:25" x14ac:dyDescent="0.2">
      <c r="A251" s="1037"/>
      <c r="B251" s="1037"/>
      <c r="C251" s="1037"/>
      <c r="D251" s="1037"/>
      <c r="E251" s="1037"/>
      <c r="P251" s="981"/>
      <c r="R251" s="1038"/>
      <c r="S251" s="1038"/>
      <c r="T251" s="1038"/>
      <c r="U251" s="1038"/>
      <c r="V251" s="1038"/>
      <c r="W251" s="1038"/>
      <c r="X251" s="1038"/>
      <c r="Y251" s="1038"/>
    </row>
    <row r="252" spans="1:25" x14ac:dyDescent="0.2">
      <c r="A252" s="1037"/>
      <c r="B252" s="1037"/>
      <c r="C252" s="1037"/>
      <c r="D252" s="1037"/>
      <c r="E252" s="1037"/>
      <c r="P252" s="981"/>
      <c r="R252" s="1038"/>
      <c r="S252" s="1038"/>
      <c r="T252" s="1038"/>
      <c r="U252" s="1038"/>
      <c r="V252" s="1038"/>
      <c r="W252" s="1038"/>
      <c r="X252" s="1038"/>
      <c r="Y252" s="1038"/>
    </row>
    <row r="253" spans="1:25" x14ac:dyDescent="0.2">
      <c r="A253" s="1037"/>
      <c r="B253" s="1037"/>
      <c r="C253" s="1037"/>
      <c r="D253" s="1037"/>
      <c r="E253" s="1037"/>
      <c r="P253" s="981"/>
      <c r="R253" s="1038"/>
      <c r="S253" s="1038"/>
      <c r="T253" s="1038"/>
      <c r="U253" s="1038"/>
      <c r="V253" s="1038"/>
      <c r="W253" s="1038"/>
      <c r="X253" s="1038"/>
      <c r="Y253" s="1038"/>
    </row>
    <row r="254" spans="1:25" x14ac:dyDescent="0.2">
      <c r="A254" s="1037"/>
      <c r="B254" s="1037"/>
      <c r="C254" s="1037"/>
      <c r="D254" s="1037"/>
      <c r="E254" s="1037"/>
      <c r="P254" s="981"/>
      <c r="R254" s="1038"/>
      <c r="S254" s="1038"/>
      <c r="T254" s="1038"/>
      <c r="U254" s="1038"/>
      <c r="V254" s="1038"/>
      <c r="W254" s="1038"/>
      <c r="X254" s="1038"/>
      <c r="Y254" s="1038"/>
    </row>
    <row r="255" spans="1:25" x14ac:dyDescent="0.2">
      <c r="A255" s="1037"/>
      <c r="B255" s="1037"/>
      <c r="C255" s="1037"/>
      <c r="D255" s="1037"/>
      <c r="E255" s="1037"/>
      <c r="P255" s="981"/>
      <c r="R255" s="1038"/>
      <c r="S255" s="1038"/>
      <c r="T255" s="1038"/>
      <c r="U255" s="1038"/>
      <c r="V255" s="1038"/>
      <c r="W255" s="1038"/>
      <c r="X255" s="1038"/>
      <c r="Y255" s="1038"/>
    </row>
    <row r="256" spans="1:25" x14ac:dyDescent="0.2">
      <c r="A256" s="1037"/>
      <c r="B256" s="1037"/>
      <c r="C256" s="1037"/>
      <c r="D256" s="1037"/>
      <c r="E256" s="1037"/>
      <c r="P256" s="981"/>
      <c r="R256" s="1038"/>
      <c r="S256" s="1038"/>
      <c r="T256" s="1038"/>
      <c r="U256" s="1038"/>
      <c r="V256" s="1038"/>
      <c r="W256" s="1038"/>
      <c r="X256" s="1038"/>
      <c r="Y256" s="1038"/>
    </row>
    <row r="257" spans="1:25" x14ac:dyDescent="0.2">
      <c r="A257" s="1037"/>
      <c r="B257" s="1037"/>
      <c r="C257" s="1037"/>
      <c r="D257" s="1037"/>
      <c r="E257" s="1037"/>
      <c r="P257" s="981"/>
      <c r="R257" s="1038"/>
      <c r="S257" s="1038"/>
      <c r="T257" s="1038"/>
      <c r="U257" s="1038"/>
      <c r="V257" s="1038"/>
      <c r="W257" s="1038"/>
      <c r="X257" s="1038"/>
      <c r="Y257" s="1038"/>
    </row>
    <row r="258" spans="1:25" x14ac:dyDescent="0.2">
      <c r="A258" s="1037"/>
      <c r="B258" s="1037"/>
      <c r="C258" s="1037"/>
      <c r="D258" s="1037"/>
      <c r="E258" s="1037"/>
      <c r="P258" s="981"/>
      <c r="R258" s="1038"/>
      <c r="S258" s="1038"/>
      <c r="T258" s="1038"/>
      <c r="U258" s="1038"/>
      <c r="V258" s="1038"/>
      <c r="W258" s="1038"/>
      <c r="X258" s="1038"/>
      <c r="Y258" s="1038"/>
    </row>
    <row r="259" spans="1:25" x14ac:dyDescent="0.2">
      <c r="A259" s="1037"/>
      <c r="B259" s="1037"/>
      <c r="C259" s="1037"/>
      <c r="D259" s="1037"/>
      <c r="E259" s="1037"/>
      <c r="P259" s="981"/>
      <c r="R259" s="1038"/>
      <c r="S259" s="1038"/>
      <c r="T259" s="1038"/>
      <c r="U259" s="1038"/>
      <c r="V259" s="1038"/>
      <c r="W259" s="1038"/>
      <c r="X259" s="1038"/>
      <c r="Y259" s="1038"/>
    </row>
    <row r="260" spans="1:25" x14ac:dyDescent="0.2">
      <c r="A260" s="1037"/>
      <c r="B260" s="1037"/>
      <c r="C260" s="1037"/>
      <c r="D260" s="1037"/>
      <c r="E260" s="1037"/>
      <c r="P260" s="981"/>
      <c r="R260" s="1038"/>
      <c r="S260" s="1038"/>
      <c r="T260" s="1038"/>
      <c r="U260" s="1038"/>
      <c r="V260" s="1038"/>
      <c r="W260" s="1038"/>
      <c r="X260" s="1038"/>
      <c r="Y260" s="1038"/>
    </row>
    <row r="261" spans="1:25" x14ac:dyDescent="0.2">
      <c r="A261" s="1037"/>
      <c r="B261" s="1037"/>
      <c r="C261" s="1037"/>
      <c r="D261" s="1037"/>
      <c r="E261" s="1037"/>
      <c r="P261" s="981"/>
      <c r="R261" s="1038"/>
      <c r="S261" s="1038"/>
      <c r="T261" s="1038"/>
      <c r="U261" s="1038"/>
      <c r="V261" s="1038"/>
      <c r="W261" s="1038"/>
      <c r="X261" s="1038"/>
      <c r="Y261" s="1038"/>
    </row>
    <row r="262" spans="1:25" x14ac:dyDescent="0.2">
      <c r="A262" s="1037"/>
      <c r="B262" s="1037"/>
      <c r="C262" s="1037"/>
      <c r="D262" s="1037"/>
      <c r="E262" s="1037"/>
      <c r="P262" s="981"/>
      <c r="R262" s="1038"/>
      <c r="S262" s="1038"/>
      <c r="T262" s="1038"/>
      <c r="U262" s="1038"/>
      <c r="V262" s="1038"/>
      <c r="W262" s="1038"/>
      <c r="X262" s="1038"/>
      <c r="Y262" s="1038"/>
    </row>
    <row r="263" spans="1:25" x14ac:dyDescent="0.2">
      <c r="A263" s="1037"/>
      <c r="B263" s="1037"/>
      <c r="C263" s="1037"/>
      <c r="D263" s="1037"/>
      <c r="E263" s="1037"/>
      <c r="P263" s="981"/>
      <c r="R263" s="1038"/>
      <c r="S263" s="1038"/>
      <c r="T263" s="1038"/>
      <c r="U263" s="1038"/>
      <c r="V263" s="1038"/>
      <c r="W263" s="1038"/>
      <c r="X263" s="1038"/>
      <c r="Y263" s="1038"/>
    </row>
    <row r="264" spans="1:25" x14ac:dyDescent="0.2">
      <c r="A264" s="1037"/>
      <c r="B264" s="1037"/>
      <c r="C264" s="1037"/>
      <c r="D264" s="1037"/>
      <c r="E264" s="1037"/>
      <c r="P264" s="981"/>
      <c r="R264" s="1038"/>
      <c r="S264" s="1038"/>
      <c r="T264" s="1038"/>
      <c r="U264" s="1038"/>
      <c r="V264" s="1038"/>
      <c r="W264" s="1038"/>
      <c r="X264" s="1038"/>
      <c r="Y264" s="1038"/>
    </row>
    <row r="265" spans="1:25" x14ac:dyDescent="0.2">
      <c r="A265" s="1037"/>
      <c r="B265" s="1037"/>
      <c r="C265" s="1037"/>
      <c r="D265" s="1037"/>
      <c r="E265" s="1037"/>
      <c r="P265" s="981"/>
      <c r="R265" s="1038"/>
      <c r="S265" s="1038"/>
      <c r="T265" s="1038"/>
      <c r="U265" s="1038"/>
      <c r="V265" s="1038"/>
      <c r="W265" s="1038"/>
      <c r="X265" s="1038"/>
      <c r="Y265" s="1038"/>
    </row>
    <row r="266" spans="1:25" x14ac:dyDescent="0.2">
      <c r="A266" s="1037"/>
      <c r="B266" s="1037"/>
      <c r="C266" s="1037"/>
      <c r="D266" s="1037"/>
      <c r="E266" s="1037"/>
      <c r="P266" s="981"/>
      <c r="R266" s="1038"/>
      <c r="S266" s="1038"/>
      <c r="T266" s="1038"/>
      <c r="U266" s="1038"/>
      <c r="V266" s="1038"/>
      <c r="W266" s="1038"/>
      <c r="X266" s="1038"/>
      <c r="Y266" s="1038"/>
    </row>
    <row r="267" spans="1:25" x14ac:dyDescent="0.2">
      <c r="A267" s="1037"/>
      <c r="B267" s="1037"/>
      <c r="C267" s="1037"/>
      <c r="D267" s="1037"/>
      <c r="E267" s="1037"/>
      <c r="P267" s="981"/>
      <c r="R267" s="1038"/>
      <c r="S267" s="1038"/>
      <c r="T267" s="1038"/>
      <c r="U267" s="1038"/>
      <c r="V267" s="1038"/>
      <c r="W267" s="1038"/>
      <c r="X267" s="1038"/>
      <c r="Y267" s="1038"/>
    </row>
    <row r="268" spans="1:25" x14ac:dyDescent="0.2">
      <c r="A268" s="1037"/>
      <c r="B268" s="1037"/>
      <c r="C268" s="1037"/>
      <c r="D268" s="1037"/>
      <c r="E268" s="1037"/>
      <c r="P268" s="981"/>
      <c r="R268" s="1038"/>
      <c r="S268" s="1038"/>
      <c r="T268" s="1038"/>
      <c r="U268" s="1038"/>
      <c r="V268" s="1038"/>
      <c r="W268" s="1038"/>
      <c r="X268" s="1038"/>
      <c r="Y268" s="1038"/>
    </row>
    <row r="269" spans="1:25" x14ac:dyDescent="0.2">
      <c r="A269" s="1037"/>
      <c r="B269" s="1037"/>
      <c r="C269" s="1037"/>
      <c r="D269" s="1037"/>
      <c r="E269" s="1037"/>
      <c r="P269" s="981"/>
      <c r="R269" s="1038"/>
      <c r="S269" s="1038"/>
      <c r="T269" s="1038"/>
      <c r="U269" s="1038"/>
      <c r="V269" s="1038"/>
      <c r="W269" s="1038"/>
      <c r="X269" s="1038"/>
      <c r="Y269" s="1038"/>
    </row>
    <row r="270" spans="1:25" x14ac:dyDescent="0.2">
      <c r="A270" s="1037"/>
      <c r="B270" s="1037"/>
      <c r="C270" s="1037"/>
      <c r="D270" s="1037"/>
      <c r="E270" s="1037"/>
      <c r="P270" s="981"/>
      <c r="R270" s="1038"/>
      <c r="S270" s="1038"/>
      <c r="T270" s="1038"/>
      <c r="U270" s="1038"/>
      <c r="V270" s="1038"/>
      <c r="W270" s="1038"/>
      <c r="X270" s="1038"/>
      <c r="Y270" s="1038"/>
    </row>
    <row r="271" spans="1:25" x14ac:dyDescent="0.2">
      <c r="A271" s="1037"/>
      <c r="B271" s="1037"/>
      <c r="C271" s="1037"/>
      <c r="D271" s="1037"/>
      <c r="E271" s="1037"/>
      <c r="P271" s="981"/>
      <c r="R271" s="1038"/>
      <c r="S271" s="1038"/>
      <c r="T271" s="1038"/>
      <c r="U271" s="1038"/>
      <c r="V271" s="1038"/>
      <c r="W271" s="1038"/>
      <c r="X271" s="1038"/>
      <c r="Y271" s="1038"/>
    </row>
    <row r="272" spans="1:25" x14ac:dyDescent="0.2">
      <c r="A272" s="1037"/>
      <c r="B272" s="1037"/>
      <c r="C272" s="1037"/>
      <c r="D272" s="1037"/>
      <c r="E272" s="1037"/>
      <c r="P272" s="981"/>
      <c r="R272" s="1038"/>
      <c r="S272" s="1038"/>
      <c r="T272" s="1038"/>
      <c r="U272" s="1038"/>
      <c r="V272" s="1038"/>
      <c r="W272" s="1038"/>
      <c r="X272" s="1038"/>
      <c r="Y272" s="1038"/>
    </row>
    <row r="273" spans="1:25" x14ac:dyDescent="0.2">
      <c r="A273" s="1037"/>
      <c r="B273" s="1037"/>
      <c r="C273" s="1037"/>
      <c r="D273" s="1037"/>
      <c r="E273" s="1037"/>
      <c r="P273" s="981"/>
      <c r="R273" s="1038"/>
      <c r="S273" s="1038"/>
      <c r="T273" s="1038"/>
      <c r="U273" s="1038"/>
      <c r="V273" s="1038"/>
      <c r="W273" s="1038"/>
      <c r="X273" s="1038"/>
      <c r="Y273" s="1038"/>
    </row>
    <row r="274" spans="1:25" x14ac:dyDescent="0.2">
      <c r="A274" s="1037"/>
      <c r="B274" s="1037"/>
      <c r="C274" s="1037"/>
      <c r="D274" s="1037"/>
      <c r="E274" s="1037"/>
      <c r="P274" s="981"/>
      <c r="R274" s="1038"/>
      <c r="S274" s="1038"/>
      <c r="T274" s="1038"/>
      <c r="U274" s="1038"/>
      <c r="V274" s="1038"/>
      <c r="W274" s="1038"/>
      <c r="X274" s="1038"/>
      <c r="Y274" s="1038"/>
    </row>
    <row r="275" spans="1:25" x14ac:dyDescent="0.2">
      <c r="A275" s="1037"/>
      <c r="B275" s="1037"/>
      <c r="C275" s="1037"/>
      <c r="D275" s="1037"/>
      <c r="E275" s="1037"/>
      <c r="P275" s="981"/>
      <c r="R275" s="1038"/>
      <c r="S275" s="1038"/>
      <c r="T275" s="1038"/>
      <c r="U275" s="1038"/>
      <c r="V275" s="1038"/>
      <c r="W275" s="1038"/>
      <c r="X275" s="1038"/>
      <c r="Y275" s="1038"/>
    </row>
    <row r="276" spans="1:25" x14ac:dyDescent="0.2">
      <c r="A276" s="1037"/>
      <c r="B276" s="1037"/>
      <c r="C276" s="1037"/>
      <c r="D276" s="1037"/>
      <c r="E276" s="1037"/>
      <c r="P276" s="981"/>
      <c r="R276" s="1038"/>
      <c r="S276" s="1038"/>
      <c r="T276" s="1038"/>
      <c r="U276" s="1038"/>
      <c r="V276" s="1038"/>
      <c r="W276" s="1038"/>
      <c r="X276" s="1038"/>
      <c r="Y276" s="1038"/>
    </row>
    <row r="277" spans="1:25" x14ac:dyDescent="0.2">
      <c r="A277" s="1037"/>
      <c r="B277" s="1037"/>
      <c r="C277" s="1037"/>
      <c r="D277" s="1037"/>
      <c r="E277" s="1037"/>
      <c r="P277" s="981"/>
      <c r="R277" s="1038"/>
      <c r="S277" s="1038"/>
      <c r="T277" s="1038"/>
      <c r="U277" s="1038"/>
      <c r="V277" s="1038"/>
      <c r="W277" s="1038"/>
      <c r="X277" s="1038"/>
      <c r="Y277" s="1038"/>
    </row>
    <row r="278" spans="1:25" x14ac:dyDescent="0.2">
      <c r="A278" s="1037"/>
      <c r="B278" s="1037"/>
      <c r="C278" s="1037"/>
      <c r="D278" s="1037"/>
      <c r="E278" s="1037"/>
      <c r="P278" s="981"/>
      <c r="R278" s="1038"/>
      <c r="S278" s="1038"/>
      <c r="T278" s="1038"/>
      <c r="U278" s="1038"/>
      <c r="V278" s="1038"/>
      <c r="W278" s="1038"/>
      <c r="X278" s="1038"/>
      <c r="Y278" s="1038"/>
    </row>
    <row r="279" spans="1:25" x14ac:dyDescent="0.2">
      <c r="A279" s="1037"/>
      <c r="B279" s="1037"/>
      <c r="C279" s="1037"/>
      <c r="D279" s="1037"/>
      <c r="E279" s="1037"/>
      <c r="P279" s="981"/>
      <c r="R279" s="1038"/>
      <c r="S279" s="1038"/>
      <c r="T279" s="1038"/>
      <c r="U279" s="1038"/>
      <c r="V279" s="1038"/>
      <c r="W279" s="1038"/>
      <c r="X279" s="1038"/>
      <c r="Y279" s="1038"/>
    </row>
    <row r="280" spans="1:25" x14ac:dyDescent="0.2">
      <c r="A280" s="1037"/>
      <c r="B280" s="1037"/>
      <c r="C280" s="1037"/>
      <c r="D280" s="1037"/>
      <c r="E280" s="1037"/>
      <c r="P280" s="981"/>
      <c r="R280" s="1038"/>
      <c r="S280" s="1038"/>
      <c r="T280" s="1038"/>
      <c r="U280" s="1038"/>
      <c r="V280" s="1038"/>
      <c r="W280" s="1038"/>
      <c r="X280" s="1038"/>
      <c r="Y280" s="1038"/>
    </row>
    <row r="281" spans="1:25" x14ac:dyDescent="0.2">
      <c r="A281" s="1037"/>
      <c r="B281" s="1037"/>
      <c r="C281" s="1037"/>
      <c r="D281" s="1037"/>
      <c r="E281" s="1037"/>
      <c r="P281" s="981"/>
      <c r="R281" s="1038"/>
      <c r="S281" s="1038"/>
      <c r="T281" s="1038"/>
      <c r="U281" s="1038"/>
      <c r="V281" s="1038"/>
      <c r="W281" s="1038"/>
      <c r="X281" s="1038"/>
      <c r="Y281" s="1038"/>
    </row>
    <row r="282" spans="1:25" x14ac:dyDescent="0.2">
      <c r="A282" s="1037"/>
      <c r="B282" s="1037"/>
      <c r="C282" s="1037"/>
      <c r="D282" s="1037"/>
      <c r="E282" s="1037"/>
      <c r="P282" s="981"/>
      <c r="R282" s="1038"/>
      <c r="S282" s="1038"/>
      <c r="T282" s="1038"/>
      <c r="U282" s="1038"/>
      <c r="V282" s="1038"/>
      <c r="W282" s="1038"/>
      <c r="X282" s="1038"/>
      <c r="Y282" s="1038"/>
    </row>
    <row r="283" spans="1:25" x14ac:dyDescent="0.2">
      <c r="A283" s="1037"/>
      <c r="B283" s="1037"/>
      <c r="C283" s="1037"/>
      <c r="D283" s="1037"/>
      <c r="E283" s="1037"/>
      <c r="P283" s="981"/>
      <c r="R283" s="1038"/>
      <c r="S283" s="1038"/>
      <c r="T283" s="1038"/>
      <c r="U283" s="1038"/>
      <c r="V283" s="1038"/>
      <c r="W283" s="1038"/>
      <c r="X283" s="1038"/>
      <c r="Y283" s="1038"/>
    </row>
    <row r="284" spans="1:25" x14ac:dyDescent="0.2">
      <c r="A284" s="1037"/>
      <c r="B284" s="1037"/>
      <c r="C284" s="1037"/>
      <c r="D284" s="1037"/>
      <c r="E284" s="1037"/>
      <c r="P284" s="981"/>
      <c r="R284" s="1038"/>
      <c r="S284" s="1038"/>
      <c r="T284" s="1038"/>
      <c r="U284" s="1038"/>
      <c r="V284" s="1038"/>
      <c r="W284" s="1038"/>
      <c r="X284" s="1038"/>
      <c r="Y284" s="1038"/>
    </row>
    <row r="285" spans="1:25" x14ac:dyDescent="0.2">
      <c r="A285" s="1037"/>
      <c r="B285" s="1037"/>
      <c r="C285" s="1037"/>
      <c r="D285" s="1037"/>
      <c r="E285" s="1037"/>
      <c r="P285" s="981"/>
      <c r="R285" s="1038"/>
      <c r="S285" s="1038"/>
      <c r="T285" s="1038"/>
      <c r="U285" s="1038"/>
      <c r="V285" s="1038"/>
      <c r="W285" s="1038"/>
      <c r="X285" s="1038"/>
      <c r="Y285" s="1038"/>
    </row>
    <row r="286" spans="1:25" x14ac:dyDescent="0.2">
      <c r="A286" s="1037"/>
      <c r="B286" s="1037"/>
      <c r="C286" s="1037"/>
      <c r="D286" s="1037"/>
      <c r="E286" s="1037"/>
      <c r="P286" s="981"/>
      <c r="R286" s="1038"/>
      <c r="S286" s="1038"/>
      <c r="T286" s="1038"/>
      <c r="U286" s="1038"/>
      <c r="V286" s="1038"/>
      <c r="W286" s="1038"/>
      <c r="X286" s="1038"/>
      <c r="Y286" s="1038"/>
    </row>
    <row r="287" spans="1:25" x14ac:dyDescent="0.2">
      <c r="A287" s="1037"/>
      <c r="B287" s="1037"/>
      <c r="C287" s="1037"/>
      <c r="D287" s="1037"/>
      <c r="E287" s="1037"/>
      <c r="R287" s="1038"/>
      <c r="S287" s="1038"/>
      <c r="T287" s="1038"/>
      <c r="U287" s="1038"/>
      <c r="V287" s="1038"/>
      <c r="W287" s="1038"/>
      <c r="X287" s="1038"/>
      <c r="Y287" s="1038"/>
    </row>
    <row r="288" spans="1:25" x14ac:dyDescent="0.2">
      <c r="A288" s="1037"/>
      <c r="B288" s="1037"/>
      <c r="C288" s="1037"/>
      <c r="D288" s="1037"/>
      <c r="E288" s="1037"/>
      <c r="R288" s="1038"/>
      <c r="S288" s="1038"/>
      <c r="T288" s="1038"/>
      <c r="U288" s="1038"/>
      <c r="V288" s="1038"/>
      <c r="W288" s="1038"/>
      <c r="X288" s="1038"/>
      <c r="Y288" s="1038"/>
    </row>
    <row r="289" spans="1:25" x14ac:dyDescent="0.2">
      <c r="A289" s="1037"/>
      <c r="B289" s="1037"/>
      <c r="C289" s="1037"/>
      <c r="D289" s="1037"/>
      <c r="E289" s="1037"/>
      <c r="R289" s="1038"/>
      <c r="S289" s="1038"/>
      <c r="T289" s="1038"/>
      <c r="U289" s="1038"/>
      <c r="V289" s="1038"/>
      <c r="W289" s="1038"/>
      <c r="X289" s="1038"/>
      <c r="Y289" s="1038"/>
    </row>
    <row r="290" spans="1:25" x14ac:dyDescent="0.2">
      <c r="A290" s="1037"/>
      <c r="B290" s="1037"/>
      <c r="C290" s="1037"/>
      <c r="D290" s="1037"/>
      <c r="E290" s="1037"/>
      <c r="R290" s="1038"/>
      <c r="S290" s="1038"/>
      <c r="T290" s="1038"/>
      <c r="U290" s="1038"/>
      <c r="V290" s="1038"/>
      <c r="W290" s="1038"/>
      <c r="X290" s="1038"/>
      <c r="Y290" s="1038"/>
    </row>
    <row r="291" spans="1:25" x14ac:dyDescent="0.2">
      <c r="A291" s="1037"/>
      <c r="B291" s="1037"/>
      <c r="C291" s="1037"/>
      <c r="D291" s="1037"/>
      <c r="E291" s="1037"/>
      <c r="R291" s="1038"/>
      <c r="S291" s="1038"/>
      <c r="T291" s="1038"/>
      <c r="U291" s="1038"/>
      <c r="V291" s="1038"/>
      <c r="W291" s="1038"/>
      <c r="X291" s="1038"/>
      <c r="Y291" s="1038"/>
    </row>
    <row r="292" spans="1:25" x14ac:dyDescent="0.2">
      <c r="A292" s="1037"/>
      <c r="B292" s="1037"/>
      <c r="C292" s="1037"/>
      <c r="D292" s="1037"/>
      <c r="E292" s="1037"/>
      <c r="R292" s="1038"/>
      <c r="S292" s="1038"/>
      <c r="T292" s="1038"/>
      <c r="U292" s="1038"/>
      <c r="V292" s="1038"/>
      <c r="W292" s="1038"/>
      <c r="X292" s="1038"/>
      <c r="Y292" s="1038"/>
    </row>
    <row r="293" spans="1:25" x14ac:dyDescent="0.2">
      <c r="A293" s="1037"/>
      <c r="B293" s="1037"/>
      <c r="C293" s="1037"/>
      <c r="D293" s="1037"/>
      <c r="E293" s="1037"/>
      <c r="R293" s="1038"/>
      <c r="S293" s="1038"/>
      <c r="T293" s="1038"/>
      <c r="U293" s="1038"/>
      <c r="V293" s="1038"/>
      <c r="W293" s="1038"/>
      <c r="X293" s="1038"/>
      <c r="Y293" s="1038"/>
    </row>
    <row r="294" spans="1:25" x14ac:dyDescent="0.2">
      <c r="A294" s="1037"/>
      <c r="B294" s="1037"/>
      <c r="C294" s="1037"/>
      <c r="D294" s="1037"/>
      <c r="E294" s="1037"/>
      <c r="R294" s="1038"/>
      <c r="S294" s="1038"/>
      <c r="T294" s="1038"/>
      <c r="U294" s="1038"/>
      <c r="V294" s="1038"/>
      <c r="W294" s="1038"/>
      <c r="X294" s="1038"/>
      <c r="Y294" s="1038"/>
    </row>
    <row r="295" spans="1:25" x14ac:dyDescent="0.2">
      <c r="A295" s="1037"/>
      <c r="B295" s="1037"/>
      <c r="C295" s="1037"/>
      <c r="D295" s="1037"/>
      <c r="E295" s="1037"/>
      <c r="R295" s="1038"/>
      <c r="S295" s="1038"/>
      <c r="T295" s="1038"/>
      <c r="U295" s="1038"/>
      <c r="V295" s="1038"/>
      <c r="W295" s="1038"/>
      <c r="X295" s="1038"/>
      <c r="Y295" s="1038"/>
    </row>
    <row r="296" spans="1:25" x14ac:dyDescent="0.2">
      <c r="A296" s="1037"/>
      <c r="B296" s="1037"/>
      <c r="C296" s="1037"/>
      <c r="D296" s="1037"/>
      <c r="E296" s="1037"/>
      <c r="R296" s="1038"/>
      <c r="S296" s="1038"/>
      <c r="T296" s="1038"/>
      <c r="U296" s="1038"/>
      <c r="V296" s="1038"/>
      <c r="W296" s="1038"/>
      <c r="X296" s="1038"/>
      <c r="Y296" s="1038"/>
    </row>
    <row r="297" spans="1:25" x14ac:dyDescent="0.2">
      <c r="A297" s="1037"/>
      <c r="B297" s="1037"/>
      <c r="C297" s="1037"/>
      <c r="D297" s="1037"/>
      <c r="E297" s="1037"/>
      <c r="R297" s="1038"/>
      <c r="S297" s="1038"/>
      <c r="T297" s="1038"/>
      <c r="U297" s="1038"/>
      <c r="V297" s="1038"/>
      <c r="W297" s="1038"/>
      <c r="X297" s="1038"/>
      <c r="Y297" s="1038"/>
    </row>
    <row r="298" spans="1:25" x14ac:dyDescent="0.2">
      <c r="A298" s="1037"/>
      <c r="B298" s="1037"/>
      <c r="C298" s="1037"/>
      <c r="D298" s="1037"/>
      <c r="E298" s="1037"/>
      <c r="R298" s="1038"/>
      <c r="S298" s="1038"/>
      <c r="T298" s="1038"/>
      <c r="U298" s="1038"/>
      <c r="V298" s="1038"/>
      <c r="W298" s="1038"/>
      <c r="X298" s="1038"/>
      <c r="Y298" s="1038"/>
    </row>
    <row r="299" spans="1:25" x14ac:dyDescent="0.2">
      <c r="A299" s="1037"/>
      <c r="B299" s="1037"/>
      <c r="C299" s="1037"/>
      <c r="D299" s="1037"/>
      <c r="E299" s="1037"/>
      <c r="R299" s="1038"/>
      <c r="S299" s="1038"/>
      <c r="T299" s="1038"/>
      <c r="U299" s="1038"/>
      <c r="V299" s="1038"/>
      <c r="W299" s="1038"/>
      <c r="X299" s="1038"/>
      <c r="Y299" s="1038"/>
    </row>
    <row r="300" spans="1:25" x14ac:dyDescent="0.2">
      <c r="A300" s="1037"/>
      <c r="B300" s="1037"/>
      <c r="C300" s="1037"/>
      <c r="D300" s="1037"/>
      <c r="E300" s="1037"/>
      <c r="R300" s="1038"/>
      <c r="S300" s="1038"/>
      <c r="T300" s="1038"/>
      <c r="U300" s="1038"/>
      <c r="V300" s="1038"/>
      <c r="W300" s="1038"/>
      <c r="X300" s="1038"/>
      <c r="Y300" s="1038"/>
    </row>
    <row r="301" spans="1:25" x14ac:dyDescent="0.2">
      <c r="A301" s="1037"/>
      <c r="B301" s="1037"/>
      <c r="C301" s="1037"/>
      <c r="D301" s="1037"/>
      <c r="E301" s="1037"/>
      <c r="P301" s="1040"/>
      <c r="R301" s="1038"/>
      <c r="S301" s="1038"/>
      <c r="T301" s="1038"/>
      <c r="U301" s="1038"/>
      <c r="V301" s="1038"/>
      <c r="W301" s="1038"/>
      <c r="X301" s="1038"/>
      <c r="Y301" s="1038"/>
    </row>
    <row r="302" spans="1:25" x14ac:dyDescent="0.2">
      <c r="A302" s="1037"/>
      <c r="B302" s="1037"/>
      <c r="C302" s="1037"/>
      <c r="D302" s="1037"/>
      <c r="E302" s="1037"/>
      <c r="R302" s="1038"/>
      <c r="S302" s="1038"/>
      <c r="T302" s="1038"/>
      <c r="U302" s="1038"/>
      <c r="V302" s="1038"/>
      <c r="W302" s="1038"/>
      <c r="X302" s="1038"/>
      <c r="Y302" s="1038"/>
    </row>
    <row r="303" spans="1:25" x14ac:dyDescent="0.2">
      <c r="A303" s="1037"/>
      <c r="B303" s="1037"/>
      <c r="C303" s="1037"/>
      <c r="D303" s="1037"/>
      <c r="E303" s="1037"/>
      <c r="R303" s="1038"/>
      <c r="S303" s="1038"/>
      <c r="T303" s="1038"/>
      <c r="U303" s="1038"/>
      <c r="V303" s="1038"/>
      <c r="W303" s="1038"/>
      <c r="X303" s="1038"/>
      <c r="Y303" s="1038"/>
    </row>
    <row r="304" spans="1:25" x14ac:dyDescent="0.2">
      <c r="A304" s="1037"/>
      <c r="B304" s="1037"/>
      <c r="C304" s="1037"/>
      <c r="D304" s="1037"/>
      <c r="E304" s="1037"/>
      <c r="R304" s="1038"/>
      <c r="S304" s="1038"/>
      <c r="T304" s="1038"/>
      <c r="U304" s="1038"/>
      <c r="V304" s="1038"/>
      <c r="W304" s="1038"/>
      <c r="X304" s="1038"/>
      <c r="Y304" s="1038"/>
    </row>
    <row r="305" spans="1:25" x14ac:dyDescent="0.2">
      <c r="A305" s="1037"/>
      <c r="B305" s="1037"/>
      <c r="C305" s="1037"/>
      <c r="D305" s="1037"/>
      <c r="E305" s="1037"/>
      <c r="R305" s="1038"/>
      <c r="S305" s="1038"/>
      <c r="T305" s="1038"/>
      <c r="U305" s="1038"/>
      <c r="V305" s="1038"/>
      <c r="W305" s="1038"/>
      <c r="X305" s="1038"/>
      <c r="Y305" s="1038"/>
    </row>
    <row r="306" spans="1:25" x14ac:dyDescent="0.2">
      <c r="A306" s="1037"/>
      <c r="B306" s="1037"/>
      <c r="C306" s="1037"/>
      <c r="D306" s="1037"/>
      <c r="E306" s="1037"/>
      <c r="R306" s="1038"/>
      <c r="S306" s="1038"/>
      <c r="T306" s="1038"/>
      <c r="U306" s="1038"/>
      <c r="V306" s="1038"/>
      <c r="W306" s="1038"/>
      <c r="X306" s="1038"/>
      <c r="Y306" s="1038"/>
    </row>
    <row r="307" spans="1:25" x14ac:dyDescent="0.2">
      <c r="A307" s="1037"/>
      <c r="B307" s="1037"/>
      <c r="C307" s="1037"/>
      <c r="D307" s="1037"/>
      <c r="E307" s="1037"/>
      <c r="R307" s="1038"/>
      <c r="S307" s="1038"/>
      <c r="T307" s="1038"/>
      <c r="U307" s="1038"/>
      <c r="V307" s="1038"/>
      <c r="W307" s="1038"/>
      <c r="X307" s="1038"/>
      <c r="Y307" s="1038"/>
    </row>
    <row r="308" spans="1:25" x14ac:dyDescent="0.2">
      <c r="A308" s="1037"/>
      <c r="B308" s="1037"/>
      <c r="C308" s="1037"/>
      <c r="D308" s="1037"/>
      <c r="E308" s="1037"/>
      <c r="R308" s="1038"/>
      <c r="S308" s="1038"/>
      <c r="T308" s="1038"/>
      <c r="U308" s="1038"/>
      <c r="V308" s="1038"/>
      <c r="W308" s="1038"/>
      <c r="X308" s="1038"/>
      <c r="Y308" s="1038"/>
    </row>
    <row r="309" spans="1:25" x14ac:dyDescent="0.2">
      <c r="A309" s="1037"/>
      <c r="B309" s="1037"/>
      <c r="C309" s="1037"/>
      <c r="D309" s="1037"/>
      <c r="E309" s="1037"/>
      <c r="R309" s="1038"/>
      <c r="S309" s="1038"/>
      <c r="T309" s="1038"/>
      <c r="U309" s="1038"/>
      <c r="V309" s="1038"/>
      <c r="W309" s="1038"/>
      <c r="X309" s="1038"/>
      <c r="Y309" s="1038"/>
    </row>
    <row r="310" spans="1:25" x14ac:dyDescent="0.2">
      <c r="A310" s="1037"/>
      <c r="B310" s="1037"/>
      <c r="C310" s="1037"/>
      <c r="D310" s="1037"/>
      <c r="E310" s="1037"/>
      <c r="P310" s="1040"/>
      <c r="R310" s="1038"/>
      <c r="S310" s="1038"/>
      <c r="T310" s="1038"/>
      <c r="U310" s="1038"/>
      <c r="V310" s="1038"/>
      <c r="W310" s="1038"/>
      <c r="X310" s="1038"/>
      <c r="Y310" s="1038"/>
    </row>
    <row r="311" spans="1:25" x14ac:dyDescent="0.2">
      <c r="A311" s="1037"/>
      <c r="B311" s="1037"/>
      <c r="C311" s="1037"/>
      <c r="D311" s="1037"/>
      <c r="E311" s="1037"/>
      <c r="R311" s="1038"/>
      <c r="S311" s="1038"/>
      <c r="T311" s="1038"/>
      <c r="U311" s="1038"/>
      <c r="V311" s="1038"/>
      <c r="W311" s="1038"/>
      <c r="X311" s="1038"/>
      <c r="Y311" s="1038"/>
    </row>
    <row r="312" spans="1:25" x14ac:dyDescent="0.2">
      <c r="A312" s="1037"/>
      <c r="B312" s="1037"/>
      <c r="C312" s="1037"/>
      <c r="D312" s="1037"/>
      <c r="E312" s="1037"/>
      <c r="R312" s="1038"/>
      <c r="S312" s="1038"/>
      <c r="T312" s="1038"/>
      <c r="U312" s="1038"/>
      <c r="V312" s="1038"/>
      <c r="W312" s="1038"/>
      <c r="X312" s="1038"/>
      <c r="Y312" s="1038"/>
    </row>
    <row r="313" spans="1:25" x14ac:dyDescent="0.2">
      <c r="A313" s="1037"/>
      <c r="B313" s="1037"/>
      <c r="C313" s="1037"/>
      <c r="D313" s="1037"/>
      <c r="E313" s="1037"/>
      <c r="R313" s="1038"/>
      <c r="S313" s="1038"/>
      <c r="T313" s="1038"/>
      <c r="U313" s="1038"/>
      <c r="V313" s="1038"/>
      <c r="W313" s="1038"/>
      <c r="X313" s="1038"/>
      <c r="Y313" s="1038"/>
    </row>
    <row r="314" spans="1:25" x14ac:dyDescent="0.2">
      <c r="A314" s="1037"/>
      <c r="B314" s="1037"/>
      <c r="C314" s="1037"/>
      <c r="D314" s="1037"/>
      <c r="E314" s="1037"/>
      <c r="R314" s="1038"/>
      <c r="S314" s="1038"/>
      <c r="T314" s="1038"/>
      <c r="U314" s="1038"/>
      <c r="V314" s="1038"/>
      <c r="W314" s="1038"/>
      <c r="X314" s="1038"/>
      <c r="Y314" s="1038"/>
    </row>
    <row r="315" spans="1:25" x14ac:dyDescent="0.2">
      <c r="A315" s="1037"/>
      <c r="B315" s="1037"/>
      <c r="C315" s="1037"/>
      <c r="D315" s="1037"/>
      <c r="E315" s="1037"/>
      <c r="R315" s="1038"/>
      <c r="S315" s="1038"/>
      <c r="T315" s="1038"/>
      <c r="U315" s="1038"/>
      <c r="V315" s="1038"/>
      <c r="W315" s="1038"/>
      <c r="X315" s="1038"/>
      <c r="Y315" s="1038"/>
    </row>
    <row r="316" spans="1:25" x14ac:dyDescent="0.2">
      <c r="A316" s="1037"/>
      <c r="B316" s="1037"/>
      <c r="C316" s="1037"/>
      <c r="D316" s="1037"/>
      <c r="E316" s="1037"/>
      <c r="R316" s="1038"/>
      <c r="S316" s="1038"/>
      <c r="T316" s="1038"/>
      <c r="U316" s="1038"/>
      <c r="V316" s="1038"/>
      <c r="W316" s="1038"/>
      <c r="X316" s="1038"/>
      <c r="Y316" s="1038"/>
    </row>
    <row r="317" spans="1:25" x14ac:dyDescent="0.2">
      <c r="A317" s="1037"/>
      <c r="B317" s="1037"/>
      <c r="C317" s="1037"/>
      <c r="D317" s="1037"/>
      <c r="E317" s="1037"/>
      <c r="R317" s="1038"/>
      <c r="S317" s="1038"/>
      <c r="T317" s="1038"/>
      <c r="U317" s="1038"/>
      <c r="V317" s="1038"/>
      <c r="W317" s="1038"/>
      <c r="X317" s="1038"/>
      <c r="Y317" s="1038"/>
    </row>
    <row r="318" spans="1:25" x14ac:dyDescent="0.2">
      <c r="A318" s="1037"/>
      <c r="B318" s="1037"/>
      <c r="C318" s="1037"/>
      <c r="D318" s="1037"/>
      <c r="E318" s="1037"/>
      <c r="R318" s="1038"/>
      <c r="S318" s="1038"/>
      <c r="T318" s="1038"/>
      <c r="U318" s="1038"/>
      <c r="V318" s="1038"/>
      <c r="W318" s="1038"/>
      <c r="X318" s="1038"/>
      <c r="Y318" s="1038"/>
    </row>
    <row r="319" spans="1:25" x14ac:dyDescent="0.2">
      <c r="A319" s="1037"/>
      <c r="B319" s="1037"/>
      <c r="C319" s="1037"/>
      <c r="D319" s="1037"/>
      <c r="E319" s="1037"/>
      <c r="R319" s="1038"/>
      <c r="S319" s="1038"/>
      <c r="T319" s="1038"/>
      <c r="U319" s="1038"/>
      <c r="V319" s="1038"/>
      <c r="W319" s="1038"/>
      <c r="X319" s="1038"/>
      <c r="Y319" s="1038"/>
    </row>
    <row r="320" spans="1:25" x14ac:dyDescent="0.2">
      <c r="A320" s="1037"/>
      <c r="B320" s="1037"/>
      <c r="C320" s="1037"/>
      <c r="D320" s="1037"/>
      <c r="E320" s="1037"/>
      <c r="R320" s="1038"/>
      <c r="S320" s="1038"/>
      <c r="T320" s="1038"/>
      <c r="U320" s="1038"/>
      <c r="V320" s="1038"/>
      <c r="W320" s="1038"/>
      <c r="X320" s="1038"/>
      <c r="Y320" s="1038"/>
    </row>
    <row r="321" spans="1:25" x14ac:dyDescent="0.2">
      <c r="A321" s="1037"/>
      <c r="B321" s="1037"/>
      <c r="C321" s="1037"/>
      <c r="D321" s="1037"/>
      <c r="E321" s="1037"/>
      <c r="R321" s="1038"/>
      <c r="S321" s="1038"/>
      <c r="T321" s="1038"/>
      <c r="U321" s="1038"/>
      <c r="V321" s="1038"/>
      <c r="W321" s="1038"/>
      <c r="X321" s="1038"/>
      <c r="Y321" s="1038"/>
    </row>
    <row r="322" spans="1:25" x14ac:dyDescent="0.2">
      <c r="A322" s="1037"/>
      <c r="B322" s="1037"/>
      <c r="C322" s="1037"/>
      <c r="D322" s="1037"/>
      <c r="E322" s="1037"/>
      <c r="R322" s="1038"/>
      <c r="S322" s="1038"/>
      <c r="T322" s="1038"/>
      <c r="U322" s="1038"/>
      <c r="V322" s="1038"/>
      <c r="W322" s="1038"/>
      <c r="X322" s="1038"/>
      <c r="Y322" s="1038"/>
    </row>
    <row r="323" spans="1:25" x14ac:dyDescent="0.2">
      <c r="A323" s="1037"/>
      <c r="B323" s="1037"/>
      <c r="C323" s="1037"/>
      <c r="D323" s="1037"/>
      <c r="E323" s="1037"/>
      <c r="R323" s="1038"/>
      <c r="S323" s="1038"/>
      <c r="T323" s="1038"/>
      <c r="U323" s="1038"/>
      <c r="V323" s="1038"/>
      <c r="W323" s="1038"/>
      <c r="X323" s="1038"/>
      <c r="Y323" s="1038"/>
    </row>
    <row r="324" spans="1:25" x14ac:dyDescent="0.2">
      <c r="A324" s="1037"/>
      <c r="B324" s="1037"/>
      <c r="C324" s="1037"/>
      <c r="D324" s="1037"/>
      <c r="E324" s="1037"/>
      <c r="R324" s="1038"/>
      <c r="S324" s="1038"/>
      <c r="T324" s="1038"/>
      <c r="U324" s="1038"/>
      <c r="V324" s="1038"/>
      <c r="W324" s="1038"/>
      <c r="X324" s="1038"/>
      <c r="Y324" s="1038"/>
    </row>
    <row r="325" spans="1:25" x14ac:dyDescent="0.2">
      <c r="A325" s="1037"/>
      <c r="B325" s="1037"/>
      <c r="C325" s="1037"/>
      <c r="D325" s="1037"/>
      <c r="E325" s="1037"/>
      <c r="R325" s="1038"/>
      <c r="S325" s="1038"/>
      <c r="T325" s="1038"/>
      <c r="U325" s="1038"/>
      <c r="V325" s="1038"/>
      <c r="W325" s="1038"/>
      <c r="X325" s="1038"/>
      <c r="Y325" s="1038"/>
    </row>
    <row r="326" spans="1:25" x14ac:dyDescent="0.2">
      <c r="A326" s="1037"/>
      <c r="B326" s="1037"/>
      <c r="C326" s="1037"/>
      <c r="D326" s="1037"/>
      <c r="E326" s="1037"/>
      <c r="R326" s="1038"/>
      <c r="S326" s="1038"/>
      <c r="T326" s="1038"/>
      <c r="U326" s="1038"/>
      <c r="V326" s="1038"/>
      <c r="W326" s="1038"/>
      <c r="X326" s="1038"/>
      <c r="Y326" s="1038"/>
    </row>
    <row r="327" spans="1:25" x14ac:dyDescent="0.2">
      <c r="A327" s="1037"/>
      <c r="B327" s="1037"/>
      <c r="C327" s="1037"/>
      <c r="D327" s="1037"/>
      <c r="E327" s="1037"/>
      <c r="R327" s="1038"/>
      <c r="S327" s="1038"/>
      <c r="T327" s="1038"/>
      <c r="U327" s="1038"/>
      <c r="V327" s="1038"/>
      <c r="W327" s="1038"/>
      <c r="X327" s="1038"/>
      <c r="Y327" s="1038"/>
    </row>
    <row r="328" spans="1:25" x14ac:dyDescent="0.2">
      <c r="A328" s="1037"/>
      <c r="B328" s="1037"/>
      <c r="C328" s="1037"/>
      <c r="D328" s="1037"/>
      <c r="E328" s="1037"/>
      <c r="R328" s="1038"/>
      <c r="S328" s="1038"/>
      <c r="T328" s="1038"/>
      <c r="U328" s="1038"/>
      <c r="V328" s="1038"/>
      <c r="W328" s="1038"/>
      <c r="X328" s="1038"/>
      <c r="Y328" s="1038"/>
    </row>
    <row r="329" spans="1:25" x14ac:dyDescent="0.2">
      <c r="A329" s="1037"/>
      <c r="B329" s="1037"/>
      <c r="C329" s="1037"/>
      <c r="D329" s="1037"/>
      <c r="E329" s="1037"/>
      <c r="P329" s="1040"/>
      <c r="R329" s="1038"/>
      <c r="S329" s="1038"/>
      <c r="T329" s="1038"/>
      <c r="U329" s="1038"/>
      <c r="V329" s="1038"/>
      <c r="W329" s="1038"/>
      <c r="X329" s="1038"/>
      <c r="Y329" s="1038"/>
    </row>
    <row r="330" spans="1:25" x14ac:dyDescent="0.2">
      <c r="A330" s="1037"/>
      <c r="B330" s="1037"/>
      <c r="C330" s="1037"/>
      <c r="D330" s="1037"/>
      <c r="E330" s="1037"/>
      <c r="R330" s="1038"/>
      <c r="S330" s="1038"/>
      <c r="T330" s="1038"/>
      <c r="U330" s="1038"/>
      <c r="V330" s="1038"/>
      <c r="W330" s="1038"/>
      <c r="X330" s="1038"/>
      <c r="Y330" s="1038"/>
    </row>
    <row r="331" spans="1:25" x14ac:dyDescent="0.2">
      <c r="A331" s="1037"/>
      <c r="B331" s="1037"/>
      <c r="C331" s="1037"/>
      <c r="D331" s="1037"/>
      <c r="E331" s="1037"/>
      <c r="R331" s="1038"/>
      <c r="S331" s="1038"/>
      <c r="T331" s="1038"/>
      <c r="U331" s="1038"/>
      <c r="V331" s="1038"/>
      <c r="W331" s="1038"/>
      <c r="X331" s="1038"/>
      <c r="Y331" s="1038"/>
    </row>
    <row r="332" spans="1:25" x14ac:dyDescent="0.2">
      <c r="A332" s="1037"/>
      <c r="B332" s="1037"/>
      <c r="C332" s="1037"/>
      <c r="D332" s="1037"/>
      <c r="E332" s="1037"/>
      <c r="R332" s="1038"/>
      <c r="S332" s="1038"/>
      <c r="T332" s="1038"/>
      <c r="U332" s="1038"/>
      <c r="V332" s="1038"/>
      <c r="W332" s="1038"/>
      <c r="X332" s="1038"/>
      <c r="Y332" s="1038"/>
    </row>
    <row r="333" spans="1:25" x14ac:dyDescent="0.2">
      <c r="A333" s="1037"/>
      <c r="B333" s="1037"/>
      <c r="C333" s="1037"/>
      <c r="D333" s="1037"/>
      <c r="E333" s="1037"/>
      <c r="P333" s="1040"/>
      <c r="R333" s="1038"/>
      <c r="S333" s="1038"/>
      <c r="T333" s="1038"/>
      <c r="U333" s="1038"/>
      <c r="V333" s="1038"/>
      <c r="W333" s="1038"/>
      <c r="X333" s="1038"/>
      <c r="Y333" s="1038"/>
    </row>
    <row r="334" spans="1:25" x14ac:dyDescent="0.2">
      <c r="A334" s="1037"/>
      <c r="B334" s="1037"/>
      <c r="C334" s="1037"/>
      <c r="D334" s="1037"/>
      <c r="E334" s="1037"/>
      <c r="R334" s="1038"/>
      <c r="S334" s="1038"/>
      <c r="T334" s="1038"/>
      <c r="U334" s="1038"/>
      <c r="V334" s="1038"/>
      <c r="W334" s="1038"/>
      <c r="X334" s="1038"/>
      <c r="Y334" s="1038"/>
    </row>
    <row r="335" spans="1:25" x14ac:dyDescent="0.2">
      <c r="A335" s="1037"/>
      <c r="B335" s="1037"/>
      <c r="C335" s="1037"/>
      <c r="D335" s="1037"/>
      <c r="E335" s="1037"/>
      <c r="R335" s="1038"/>
      <c r="S335" s="1038"/>
      <c r="T335" s="1038"/>
      <c r="U335" s="1038"/>
      <c r="V335" s="1038"/>
      <c r="W335" s="1038"/>
      <c r="X335" s="1038"/>
      <c r="Y335" s="1038"/>
    </row>
    <row r="336" spans="1:25" x14ac:dyDescent="0.2">
      <c r="A336" s="1037"/>
      <c r="B336" s="1037"/>
      <c r="C336" s="1037"/>
      <c r="D336" s="1037"/>
      <c r="E336" s="1037"/>
      <c r="R336" s="1038"/>
      <c r="S336" s="1038"/>
      <c r="T336" s="1038"/>
      <c r="U336" s="1038"/>
      <c r="V336" s="1038"/>
      <c r="W336" s="1038"/>
      <c r="X336" s="1038"/>
      <c r="Y336" s="1038"/>
    </row>
    <row r="337" spans="1:25" x14ac:dyDescent="0.2">
      <c r="A337" s="1037"/>
      <c r="B337" s="1037"/>
      <c r="C337" s="1037"/>
      <c r="D337" s="1037"/>
      <c r="E337" s="1037"/>
      <c r="R337" s="1038"/>
      <c r="S337" s="1038"/>
      <c r="T337" s="1038"/>
      <c r="U337" s="1038"/>
      <c r="V337" s="1038"/>
      <c r="W337" s="1038"/>
      <c r="X337" s="1038"/>
      <c r="Y337" s="1038"/>
    </row>
    <row r="338" spans="1:25" x14ac:dyDescent="0.2">
      <c r="A338" s="1037"/>
      <c r="B338" s="1037"/>
      <c r="C338" s="1037"/>
      <c r="D338" s="1037"/>
      <c r="E338" s="1037"/>
      <c r="R338" s="1038"/>
      <c r="S338" s="1038"/>
      <c r="T338" s="1038"/>
      <c r="U338" s="1038"/>
      <c r="V338" s="1038"/>
      <c r="W338" s="1038"/>
      <c r="X338" s="1038"/>
      <c r="Y338" s="1038"/>
    </row>
    <row r="339" spans="1:25" x14ac:dyDescent="0.2">
      <c r="A339" s="1037"/>
      <c r="B339" s="1037"/>
      <c r="C339" s="1037"/>
      <c r="D339" s="1037"/>
      <c r="E339" s="1037"/>
      <c r="R339" s="1038"/>
      <c r="S339" s="1038"/>
      <c r="T339" s="1038"/>
      <c r="U339" s="1038"/>
      <c r="V339" s="1038"/>
      <c r="W339" s="1038"/>
      <c r="X339" s="1038"/>
      <c r="Y339" s="1038"/>
    </row>
    <row r="340" spans="1:25" x14ac:dyDescent="0.2">
      <c r="A340" s="1037"/>
      <c r="B340" s="1037"/>
      <c r="C340" s="1037"/>
      <c r="D340" s="1037"/>
      <c r="E340" s="1037"/>
      <c r="R340" s="1038"/>
      <c r="S340" s="1038"/>
      <c r="T340" s="1038"/>
      <c r="U340" s="1038"/>
      <c r="V340" s="1038"/>
      <c r="W340" s="1038"/>
      <c r="X340" s="1038"/>
      <c r="Y340" s="1038"/>
    </row>
    <row r="341" spans="1:25" x14ac:dyDescent="0.2">
      <c r="A341" s="1037"/>
      <c r="B341" s="1037"/>
      <c r="C341" s="1037"/>
      <c r="D341" s="1037"/>
      <c r="E341" s="1037"/>
      <c r="R341" s="1038"/>
      <c r="S341" s="1038"/>
      <c r="T341" s="1038"/>
      <c r="U341" s="1038"/>
      <c r="V341" s="1038"/>
      <c r="W341" s="1038"/>
      <c r="X341" s="1038"/>
      <c r="Y341" s="1038"/>
    </row>
    <row r="342" spans="1:25" x14ac:dyDescent="0.2">
      <c r="A342" s="1037"/>
      <c r="B342" s="1037"/>
      <c r="C342" s="1037"/>
      <c r="D342" s="1037"/>
      <c r="E342" s="1037"/>
      <c r="R342" s="1038"/>
      <c r="S342" s="1038"/>
      <c r="T342" s="1038"/>
      <c r="U342" s="1038"/>
      <c r="V342" s="1038"/>
      <c r="W342" s="1038"/>
      <c r="X342" s="1038"/>
      <c r="Y342" s="1038"/>
    </row>
    <row r="343" spans="1:25" x14ac:dyDescent="0.2">
      <c r="A343" s="1037"/>
      <c r="B343" s="1037"/>
      <c r="C343" s="1037"/>
      <c r="D343" s="1037"/>
      <c r="E343" s="1037"/>
      <c r="R343" s="1038"/>
      <c r="S343" s="1038"/>
      <c r="T343" s="1038"/>
      <c r="U343" s="1038"/>
      <c r="V343" s="1038"/>
      <c r="W343" s="1038"/>
      <c r="X343" s="1038"/>
      <c r="Y343" s="1038"/>
    </row>
    <row r="344" spans="1:25" x14ac:dyDescent="0.2">
      <c r="A344" s="1037"/>
      <c r="B344" s="1037"/>
      <c r="C344" s="1037"/>
      <c r="D344" s="1037"/>
      <c r="E344" s="1037"/>
      <c r="R344" s="1038"/>
      <c r="S344" s="1038"/>
      <c r="T344" s="1038"/>
      <c r="U344" s="1038"/>
      <c r="V344" s="1038"/>
      <c r="W344" s="1038"/>
      <c r="X344" s="1038"/>
      <c r="Y344" s="1038"/>
    </row>
    <row r="345" spans="1:25" x14ac:dyDescent="0.2">
      <c r="A345" s="1037"/>
      <c r="B345" s="1037"/>
      <c r="C345" s="1037"/>
      <c r="D345" s="1037"/>
      <c r="E345" s="1037"/>
      <c r="R345" s="1038"/>
      <c r="S345" s="1038"/>
      <c r="T345" s="1038"/>
      <c r="U345" s="1038"/>
      <c r="V345" s="1038"/>
      <c r="W345" s="1038"/>
      <c r="X345" s="1038"/>
      <c r="Y345" s="1038"/>
    </row>
    <row r="346" spans="1:25" x14ac:dyDescent="0.2">
      <c r="A346" s="1037"/>
      <c r="B346" s="1037"/>
      <c r="C346" s="1037"/>
      <c r="D346" s="1037"/>
      <c r="E346" s="1037"/>
      <c r="R346" s="1038"/>
      <c r="S346" s="1038"/>
      <c r="T346" s="1038"/>
      <c r="U346" s="1038"/>
      <c r="V346" s="1038"/>
      <c r="W346" s="1038"/>
      <c r="X346" s="1038"/>
      <c r="Y346" s="1038"/>
    </row>
    <row r="347" spans="1:25" x14ac:dyDescent="0.2">
      <c r="A347" s="1037"/>
      <c r="B347" s="1037"/>
      <c r="C347" s="1037"/>
      <c r="D347" s="1037"/>
      <c r="E347" s="1037"/>
      <c r="R347" s="1038"/>
      <c r="S347" s="1038"/>
      <c r="T347" s="1038"/>
      <c r="U347" s="1038"/>
      <c r="V347" s="1038"/>
      <c r="W347" s="1038"/>
      <c r="X347" s="1038"/>
      <c r="Y347" s="1038"/>
    </row>
    <row r="348" spans="1:25" x14ac:dyDescent="0.2">
      <c r="A348" s="1037"/>
      <c r="B348" s="1037"/>
      <c r="C348" s="1037"/>
      <c r="D348" s="1037"/>
      <c r="E348" s="1037"/>
      <c r="R348" s="1038"/>
      <c r="S348" s="1038"/>
      <c r="T348" s="1038"/>
      <c r="U348" s="1038"/>
      <c r="V348" s="1038"/>
      <c r="W348" s="1038"/>
      <c r="X348" s="1038"/>
      <c r="Y348" s="1038"/>
    </row>
    <row r="349" spans="1:25" x14ac:dyDescent="0.2">
      <c r="A349" s="1037"/>
      <c r="B349" s="1037"/>
      <c r="C349" s="1037"/>
      <c r="D349" s="1037"/>
      <c r="E349" s="1037"/>
      <c r="R349" s="1038"/>
      <c r="S349" s="1038"/>
      <c r="T349" s="1038"/>
      <c r="U349" s="1038"/>
      <c r="V349" s="1038"/>
      <c r="W349" s="1038"/>
      <c r="X349" s="1038"/>
      <c r="Y349" s="1038"/>
    </row>
    <row r="350" spans="1:25" x14ac:dyDescent="0.2">
      <c r="A350" s="1037"/>
      <c r="B350" s="1037"/>
      <c r="C350" s="1037"/>
      <c r="D350" s="1037"/>
      <c r="E350" s="1037"/>
      <c r="R350" s="1038"/>
      <c r="S350" s="1038"/>
      <c r="T350" s="1038"/>
      <c r="U350" s="1038"/>
      <c r="V350" s="1038"/>
      <c r="W350" s="1038"/>
      <c r="X350" s="1038"/>
      <c r="Y350" s="1038"/>
    </row>
    <row r="351" spans="1:25" x14ac:dyDescent="0.2">
      <c r="A351" s="1037"/>
      <c r="B351" s="1037"/>
      <c r="C351" s="1037"/>
      <c r="D351" s="1037"/>
      <c r="E351" s="1037"/>
      <c r="R351" s="1038"/>
      <c r="S351" s="1038"/>
      <c r="T351" s="1038"/>
      <c r="U351" s="1038"/>
      <c r="V351" s="1038"/>
      <c r="W351" s="1038"/>
      <c r="X351" s="1038"/>
      <c r="Y351" s="1038"/>
    </row>
    <row r="352" spans="1:25" x14ac:dyDescent="0.2">
      <c r="A352" s="1037"/>
      <c r="B352" s="1037"/>
      <c r="C352" s="1037"/>
      <c r="D352" s="1037"/>
      <c r="E352" s="1037"/>
      <c r="R352" s="1038"/>
      <c r="S352" s="1038"/>
      <c r="T352" s="1038"/>
      <c r="U352" s="1038"/>
      <c r="V352" s="1038"/>
      <c r="W352" s="1038"/>
      <c r="X352" s="1038"/>
      <c r="Y352" s="1038"/>
    </row>
    <row r="353" spans="1:25" x14ac:dyDescent="0.2">
      <c r="A353" s="1037"/>
      <c r="B353" s="1037"/>
      <c r="C353" s="1037"/>
      <c r="D353" s="1037"/>
      <c r="E353" s="1037"/>
      <c r="R353" s="1038"/>
      <c r="S353" s="1038"/>
      <c r="T353" s="1038"/>
      <c r="U353" s="1038"/>
      <c r="V353" s="1038"/>
      <c r="W353" s="1038"/>
      <c r="X353" s="1038"/>
      <c r="Y353" s="1038"/>
    </row>
    <row r="354" spans="1:25" x14ac:dyDescent="0.2">
      <c r="A354" s="1037"/>
      <c r="B354" s="1037"/>
      <c r="C354" s="1037"/>
      <c r="D354" s="1037"/>
      <c r="E354" s="1037"/>
      <c r="R354" s="1038"/>
      <c r="S354" s="1038"/>
      <c r="T354" s="1038"/>
      <c r="U354" s="1038"/>
      <c r="V354" s="1038"/>
      <c r="W354" s="1038"/>
      <c r="X354" s="1038"/>
      <c r="Y354" s="1038"/>
    </row>
    <row r="355" spans="1:25" x14ac:dyDescent="0.2">
      <c r="A355" s="1037"/>
      <c r="B355" s="1037"/>
      <c r="C355" s="1037"/>
      <c r="D355" s="1037"/>
      <c r="E355" s="1037"/>
      <c r="R355" s="1038"/>
      <c r="S355" s="1038"/>
      <c r="T355" s="1038"/>
      <c r="U355" s="1038"/>
      <c r="V355" s="1038"/>
      <c r="W355" s="1038"/>
      <c r="X355" s="1038"/>
      <c r="Y355" s="1038"/>
    </row>
    <row r="356" spans="1:25" x14ac:dyDescent="0.2">
      <c r="A356" s="1037"/>
      <c r="B356" s="1037"/>
      <c r="C356" s="1037"/>
      <c r="D356" s="1037"/>
      <c r="E356" s="1037"/>
      <c r="R356" s="1038"/>
      <c r="S356" s="1038"/>
      <c r="T356" s="1038"/>
      <c r="U356" s="1038"/>
      <c r="V356" s="1038"/>
      <c r="W356" s="1038"/>
      <c r="X356" s="1038"/>
      <c r="Y356" s="1038"/>
    </row>
    <row r="357" spans="1:25" x14ac:dyDescent="0.2">
      <c r="A357" s="1037"/>
      <c r="B357" s="1037"/>
      <c r="C357" s="1037"/>
      <c r="D357" s="1037"/>
      <c r="E357" s="1037"/>
      <c r="R357" s="1038"/>
      <c r="S357" s="1038"/>
      <c r="T357" s="1038"/>
      <c r="U357" s="1038"/>
      <c r="V357" s="1038"/>
      <c r="W357" s="1038"/>
      <c r="X357" s="1038"/>
      <c r="Y357" s="1038"/>
    </row>
    <row r="358" spans="1:25" x14ac:dyDescent="0.2">
      <c r="A358" s="1037"/>
      <c r="B358" s="1037"/>
      <c r="C358" s="1037"/>
      <c r="D358" s="1037"/>
      <c r="E358" s="1037"/>
      <c r="R358" s="1038"/>
      <c r="S358" s="1038"/>
      <c r="T358" s="1038"/>
      <c r="U358" s="1038"/>
      <c r="V358" s="1038"/>
      <c r="W358" s="1038"/>
      <c r="X358" s="1038"/>
      <c r="Y358" s="1038"/>
    </row>
    <row r="359" spans="1:25" x14ac:dyDescent="0.2">
      <c r="A359" s="1037"/>
      <c r="B359" s="1037"/>
      <c r="C359" s="1037"/>
      <c r="D359" s="1037"/>
      <c r="E359" s="1037"/>
      <c r="R359" s="1038"/>
      <c r="S359" s="1038"/>
      <c r="T359" s="1038"/>
      <c r="U359" s="1038"/>
      <c r="V359" s="1038"/>
      <c r="W359" s="1038"/>
      <c r="X359" s="1038"/>
      <c r="Y359" s="1038"/>
    </row>
    <row r="360" spans="1:25" x14ac:dyDescent="0.2">
      <c r="A360" s="1037"/>
      <c r="B360" s="1037"/>
      <c r="C360" s="1037"/>
      <c r="D360" s="1037"/>
      <c r="E360" s="1037"/>
      <c r="R360" s="1038"/>
      <c r="S360" s="1038"/>
      <c r="T360" s="1038"/>
      <c r="U360" s="1038"/>
      <c r="V360" s="1038"/>
      <c r="W360" s="1038"/>
      <c r="X360" s="1038"/>
      <c r="Y360" s="1038"/>
    </row>
    <row r="361" spans="1:25" x14ac:dyDescent="0.2">
      <c r="A361" s="1037"/>
      <c r="B361" s="1037"/>
      <c r="C361" s="1037"/>
      <c r="D361" s="1037"/>
      <c r="E361" s="1037"/>
      <c r="R361" s="1038"/>
      <c r="S361" s="1038"/>
      <c r="T361" s="1038"/>
      <c r="U361" s="1038"/>
      <c r="V361" s="1038"/>
      <c r="W361" s="1038"/>
      <c r="X361" s="1038"/>
      <c r="Y361" s="1038"/>
    </row>
    <row r="362" spans="1:25" x14ac:dyDescent="0.2">
      <c r="A362" s="1037"/>
      <c r="B362" s="1037"/>
      <c r="C362" s="1037"/>
      <c r="D362" s="1037"/>
      <c r="E362" s="1037"/>
      <c r="R362" s="1038"/>
      <c r="S362" s="1038"/>
      <c r="T362" s="1038"/>
      <c r="U362" s="1038"/>
      <c r="V362" s="1038"/>
      <c r="W362" s="1038"/>
      <c r="X362" s="1038"/>
      <c r="Y362" s="1038"/>
    </row>
    <row r="363" spans="1:25" x14ac:dyDescent="0.2">
      <c r="A363" s="1037"/>
      <c r="B363" s="1037"/>
      <c r="C363" s="1037"/>
      <c r="D363" s="1037"/>
      <c r="E363" s="1037"/>
      <c r="R363" s="1038"/>
      <c r="S363" s="1038"/>
      <c r="T363" s="1038"/>
      <c r="U363" s="1038"/>
      <c r="V363" s="1038"/>
      <c r="W363" s="1038"/>
      <c r="X363" s="1038"/>
      <c r="Y363" s="1038"/>
    </row>
    <row r="364" spans="1:25" x14ac:dyDescent="0.2">
      <c r="A364" s="1037"/>
      <c r="B364" s="1037"/>
      <c r="C364" s="1037"/>
      <c r="D364" s="1037"/>
      <c r="E364" s="1037"/>
      <c r="R364" s="1038"/>
      <c r="S364" s="1038"/>
      <c r="T364" s="1038"/>
      <c r="U364" s="1038"/>
      <c r="V364" s="1038"/>
      <c r="W364" s="1038"/>
      <c r="X364" s="1038"/>
      <c r="Y364" s="1038"/>
    </row>
    <row r="365" spans="1:25" x14ac:dyDescent="0.2">
      <c r="A365" s="1037"/>
      <c r="B365" s="1037"/>
      <c r="C365" s="1037"/>
      <c r="D365" s="1037"/>
      <c r="E365" s="1037"/>
      <c r="R365" s="1038"/>
      <c r="S365" s="1038"/>
      <c r="T365" s="1038"/>
      <c r="U365" s="1038"/>
      <c r="V365" s="1038"/>
      <c r="W365" s="1038"/>
      <c r="X365" s="1038"/>
      <c r="Y365" s="1038"/>
    </row>
    <row r="366" spans="1:25" x14ac:dyDescent="0.2">
      <c r="A366" s="1037"/>
      <c r="B366" s="1037"/>
      <c r="C366" s="1037"/>
      <c r="D366" s="1037"/>
      <c r="E366" s="1037"/>
      <c r="R366" s="1038"/>
      <c r="S366" s="1038"/>
      <c r="T366" s="1038"/>
      <c r="U366" s="1038"/>
      <c r="V366" s="1038"/>
      <c r="W366" s="1038"/>
      <c r="X366" s="1038"/>
      <c r="Y366" s="1038"/>
    </row>
    <row r="367" spans="1:25" x14ac:dyDescent="0.2">
      <c r="A367" s="1037"/>
      <c r="B367" s="1037"/>
      <c r="C367" s="1037"/>
      <c r="D367" s="1037"/>
      <c r="E367" s="1037"/>
      <c r="R367" s="1038"/>
      <c r="S367" s="1038"/>
      <c r="T367" s="1038"/>
      <c r="U367" s="1038"/>
      <c r="V367" s="1038"/>
      <c r="W367" s="1038"/>
      <c r="X367" s="1038"/>
      <c r="Y367" s="1038"/>
    </row>
    <row r="368" spans="1:25" x14ac:dyDescent="0.2">
      <c r="A368" s="1037"/>
      <c r="B368" s="1037"/>
      <c r="C368" s="1037"/>
      <c r="D368" s="1037"/>
      <c r="E368" s="1037"/>
      <c r="R368" s="1038"/>
      <c r="S368" s="1038"/>
      <c r="T368" s="1038"/>
      <c r="U368" s="1038"/>
      <c r="V368" s="1038"/>
      <c r="W368" s="1038"/>
      <c r="X368" s="1038"/>
      <c r="Y368" s="1038"/>
    </row>
    <row r="369" spans="1:25" x14ac:dyDescent="0.2">
      <c r="A369" s="1037"/>
      <c r="B369" s="1037"/>
      <c r="C369" s="1037"/>
      <c r="D369" s="1037"/>
      <c r="E369" s="1037"/>
      <c r="R369" s="1038"/>
      <c r="S369" s="1038"/>
      <c r="T369" s="1038"/>
      <c r="U369" s="1038"/>
      <c r="V369" s="1038"/>
      <c r="W369" s="1038"/>
      <c r="X369" s="1038"/>
      <c r="Y369" s="1038"/>
    </row>
    <row r="370" spans="1:25" x14ac:dyDescent="0.2">
      <c r="A370" s="1037"/>
      <c r="B370" s="1037"/>
      <c r="C370" s="1037"/>
      <c r="D370" s="1037"/>
      <c r="E370" s="1037"/>
      <c r="R370" s="1038"/>
      <c r="S370" s="1038"/>
      <c r="T370" s="1038"/>
      <c r="U370" s="1038"/>
      <c r="V370" s="1038"/>
      <c r="W370" s="1038"/>
      <c r="X370" s="1038"/>
      <c r="Y370" s="1038"/>
    </row>
    <row r="371" spans="1:25" x14ac:dyDescent="0.2">
      <c r="A371" s="1037"/>
      <c r="B371" s="1037"/>
      <c r="C371" s="1037"/>
      <c r="D371" s="1037"/>
      <c r="E371" s="1037"/>
      <c r="R371" s="1038"/>
      <c r="S371" s="1038"/>
      <c r="T371" s="1038"/>
      <c r="U371" s="1038"/>
      <c r="V371" s="1038"/>
      <c r="W371" s="1038"/>
      <c r="X371" s="1038"/>
      <c r="Y371" s="1038"/>
    </row>
    <row r="372" spans="1:25" x14ac:dyDescent="0.2">
      <c r="A372" s="1037"/>
      <c r="B372" s="1037"/>
      <c r="C372" s="1037"/>
      <c r="D372" s="1037"/>
      <c r="E372" s="1037"/>
      <c r="R372" s="1038"/>
      <c r="S372" s="1038"/>
      <c r="T372" s="1038"/>
      <c r="U372" s="1038"/>
      <c r="V372" s="1038"/>
      <c r="W372" s="1038"/>
      <c r="X372" s="1038"/>
      <c r="Y372" s="1038"/>
    </row>
    <row r="373" spans="1:25" x14ac:dyDescent="0.2">
      <c r="A373" s="1037"/>
      <c r="B373" s="1037"/>
      <c r="C373" s="1037"/>
      <c r="D373" s="1037"/>
      <c r="E373" s="1037"/>
      <c r="R373" s="1038"/>
      <c r="S373" s="1038"/>
      <c r="T373" s="1038"/>
      <c r="U373" s="1038"/>
      <c r="V373" s="1038"/>
      <c r="W373" s="1038"/>
      <c r="X373" s="1038"/>
      <c r="Y373" s="1038"/>
    </row>
    <row r="374" spans="1:25" x14ac:dyDescent="0.2">
      <c r="A374" s="1037"/>
      <c r="B374" s="1037"/>
      <c r="C374" s="1037"/>
      <c r="D374" s="1037"/>
      <c r="E374" s="1037"/>
      <c r="R374" s="1038"/>
      <c r="S374" s="1038"/>
      <c r="T374" s="1038"/>
      <c r="U374" s="1038"/>
      <c r="V374" s="1038"/>
      <c r="W374" s="1038"/>
      <c r="X374" s="1038"/>
      <c r="Y374" s="1038"/>
    </row>
    <row r="375" spans="1:25" x14ac:dyDescent="0.2">
      <c r="A375" s="1037"/>
      <c r="B375" s="1037"/>
      <c r="C375" s="1037"/>
      <c r="D375" s="1037"/>
      <c r="E375" s="1037"/>
      <c r="R375" s="1038"/>
      <c r="S375" s="1038"/>
      <c r="T375" s="1038"/>
      <c r="U375" s="1038"/>
      <c r="V375" s="1038"/>
      <c r="W375" s="1038"/>
      <c r="X375" s="1038"/>
      <c r="Y375" s="1038"/>
    </row>
    <row r="376" spans="1:25" x14ac:dyDescent="0.2">
      <c r="A376" s="1037"/>
      <c r="B376" s="1037"/>
      <c r="C376" s="1037"/>
      <c r="D376" s="1037"/>
      <c r="E376" s="1037"/>
      <c r="R376" s="1038"/>
      <c r="S376" s="1038"/>
      <c r="T376" s="1038"/>
      <c r="U376" s="1038"/>
      <c r="V376" s="1038"/>
      <c r="W376" s="1038"/>
      <c r="X376" s="1038"/>
      <c r="Y376" s="1038"/>
    </row>
    <row r="377" spans="1:25" x14ac:dyDescent="0.2">
      <c r="A377" s="1037"/>
      <c r="B377" s="1037"/>
      <c r="C377" s="1037"/>
      <c r="D377" s="1037"/>
      <c r="E377" s="1037"/>
      <c r="R377" s="1038"/>
      <c r="S377" s="1038"/>
      <c r="T377" s="1038"/>
      <c r="U377" s="1038"/>
      <c r="V377" s="1038"/>
      <c r="W377" s="1038"/>
      <c r="X377" s="1038"/>
      <c r="Y377" s="1038"/>
    </row>
    <row r="378" spans="1:25" x14ac:dyDescent="0.2">
      <c r="A378" s="1037"/>
      <c r="B378" s="1037"/>
      <c r="C378" s="1037"/>
      <c r="D378" s="1037"/>
      <c r="E378" s="1037"/>
      <c r="R378" s="1038"/>
      <c r="S378" s="1038"/>
      <c r="T378" s="1038"/>
      <c r="U378" s="1038"/>
      <c r="V378" s="1038"/>
      <c r="W378" s="1038"/>
      <c r="X378" s="1038"/>
      <c r="Y378" s="1038"/>
    </row>
    <row r="379" spans="1:25" x14ac:dyDescent="0.2">
      <c r="A379" s="1037"/>
      <c r="B379" s="1037"/>
      <c r="C379" s="1037"/>
      <c r="D379" s="1037"/>
      <c r="E379" s="1037"/>
      <c r="R379" s="1038"/>
      <c r="S379" s="1038"/>
      <c r="T379" s="1038"/>
      <c r="U379" s="1038"/>
      <c r="V379" s="1038"/>
      <c r="W379" s="1038"/>
      <c r="X379" s="1038"/>
      <c r="Y379" s="1038"/>
    </row>
    <row r="380" spans="1:25" x14ac:dyDescent="0.2">
      <c r="A380" s="1037"/>
      <c r="B380" s="1037"/>
      <c r="C380" s="1037"/>
      <c r="D380" s="1037"/>
      <c r="E380" s="1037"/>
      <c r="R380" s="1038"/>
      <c r="S380" s="1038"/>
      <c r="T380" s="1038"/>
      <c r="U380" s="1038"/>
      <c r="V380" s="1038"/>
      <c r="W380" s="1038"/>
      <c r="X380" s="1038"/>
      <c r="Y380" s="1038"/>
    </row>
    <row r="381" spans="1:25" x14ac:dyDescent="0.2">
      <c r="A381" s="1037"/>
      <c r="B381" s="1037"/>
      <c r="C381" s="1037"/>
      <c r="D381" s="1037"/>
      <c r="E381" s="1037"/>
      <c r="R381" s="1038"/>
      <c r="S381" s="1038"/>
      <c r="T381" s="1038"/>
      <c r="U381" s="1038"/>
      <c r="V381" s="1038"/>
      <c r="W381" s="1038"/>
      <c r="X381" s="1038"/>
      <c r="Y381" s="1038"/>
    </row>
    <row r="382" spans="1:25" x14ac:dyDescent="0.2">
      <c r="A382" s="1037"/>
      <c r="B382" s="1037"/>
      <c r="C382" s="1037"/>
      <c r="D382" s="1037"/>
      <c r="E382" s="1037"/>
      <c r="R382" s="1038"/>
      <c r="S382" s="1038"/>
      <c r="T382" s="1038"/>
      <c r="U382" s="1038"/>
      <c r="V382" s="1038"/>
      <c r="W382" s="1038"/>
      <c r="X382" s="1038"/>
      <c r="Y382" s="1038"/>
    </row>
    <row r="383" spans="1:25" x14ac:dyDescent="0.2">
      <c r="A383" s="1037"/>
      <c r="B383" s="1037"/>
      <c r="C383" s="1037"/>
      <c r="D383" s="1037"/>
      <c r="E383" s="1037"/>
      <c r="R383" s="1038"/>
      <c r="S383" s="1038"/>
      <c r="T383" s="1038"/>
      <c r="U383" s="1038"/>
      <c r="V383" s="1038"/>
      <c r="W383" s="1038"/>
      <c r="X383" s="1038"/>
      <c r="Y383" s="1038"/>
    </row>
    <row r="384" spans="1:25" x14ac:dyDescent="0.2">
      <c r="A384" s="1037"/>
      <c r="B384" s="1037"/>
      <c r="C384" s="1037"/>
      <c r="D384" s="1037"/>
      <c r="E384" s="1037"/>
      <c r="R384" s="1038"/>
      <c r="S384" s="1038"/>
      <c r="T384" s="1038"/>
      <c r="U384" s="1038"/>
      <c r="V384" s="1038"/>
      <c r="W384" s="1038"/>
      <c r="X384" s="1038"/>
      <c r="Y384" s="1038"/>
    </row>
    <row r="385" spans="1:25" x14ac:dyDescent="0.2">
      <c r="A385" s="1037"/>
      <c r="B385" s="1037"/>
      <c r="C385" s="1037"/>
      <c r="D385" s="1037"/>
      <c r="E385" s="1037"/>
      <c r="R385" s="1038"/>
      <c r="S385" s="1038"/>
      <c r="T385" s="1038"/>
      <c r="U385" s="1038"/>
      <c r="V385" s="1038"/>
      <c r="W385" s="1038"/>
      <c r="X385" s="1038"/>
      <c r="Y385" s="1038"/>
    </row>
    <row r="386" spans="1:25" x14ac:dyDescent="0.2">
      <c r="A386" s="1037"/>
      <c r="B386" s="1037"/>
      <c r="C386" s="1037"/>
      <c r="D386" s="1037"/>
      <c r="E386" s="1037"/>
      <c r="R386" s="1038"/>
      <c r="S386" s="1038"/>
      <c r="T386" s="1038"/>
      <c r="U386" s="1038"/>
      <c r="V386" s="1038"/>
      <c r="W386" s="1038"/>
      <c r="X386" s="1038"/>
      <c r="Y386" s="1038"/>
    </row>
    <row r="387" spans="1:25" x14ac:dyDescent="0.2">
      <c r="A387" s="1037"/>
      <c r="B387" s="1037"/>
      <c r="C387" s="1037"/>
      <c r="D387" s="1037"/>
      <c r="E387" s="1037"/>
      <c r="R387" s="1038"/>
      <c r="S387" s="1038"/>
      <c r="T387" s="1038"/>
      <c r="U387" s="1038"/>
      <c r="V387" s="1038"/>
      <c r="W387" s="1038"/>
      <c r="X387" s="1038"/>
      <c r="Y387" s="1038"/>
    </row>
    <row r="388" spans="1:25" x14ac:dyDescent="0.2">
      <c r="A388" s="1037"/>
      <c r="B388" s="1037"/>
      <c r="C388" s="1037"/>
      <c r="D388" s="1037"/>
      <c r="E388" s="1037"/>
      <c r="R388" s="1038"/>
      <c r="S388" s="1038"/>
      <c r="T388" s="1038"/>
      <c r="U388" s="1038"/>
      <c r="V388" s="1038"/>
      <c r="W388" s="1038"/>
      <c r="X388" s="1038"/>
      <c r="Y388" s="1038"/>
    </row>
    <row r="389" spans="1:25" x14ac:dyDescent="0.2">
      <c r="A389" s="1037"/>
      <c r="B389" s="1037"/>
      <c r="C389" s="1037"/>
      <c r="D389" s="1037"/>
      <c r="E389" s="1037"/>
      <c r="R389" s="1038"/>
      <c r="S389" s="1038"/>
      <c r="T389" s="1038"/>
      <c r="U389" s="1038"/>
      <c r="V389" s="1038"/>
      <c r="W389" s="1038"/>
      <c r="X389" s="1038"/>
      <c r="Y389" s="1038"/>
    </row>
    <row r="390" spans="1:25" x14ac:dyDescent="0.2">
      <c r="A390" s="1037"/>
      <c r="B390" s="1037"/>
      <c r="C390" s="1037"/>
      <c r="D390" s="1037"/>
      <c r="E390" s="1037"/>
      <c r="R390" s="1038"/>
      <c r="S390" s="1038"/>
      <c r="T390" s="1038"/>
      <c r="U390" s="1038"/>
      <c r="V390" s="1038"/>
      <c r="W390" s="1038"/>
      <c r="X390" s="1038"/>
      <c r="Y390" s="1038"/>
    </row>
    <row r="391" spans="1:25" x14ac:dyDescent="0.2">
      <c r="A391" s="1037"/>
      <c r="B391" s="1037"/>
      <c r="C391" s="1037"/>
      <c r="D391" s="1037"/>
      <c r="E391" s="1037"/>
      <c r="R391" s="1038"/>
      <c r="S391" s="1038"/>
      <c r="T391" s="1038"/>
      <c r="U391" s="1038"/>
      <c r="V391" s="1038"/>
      <c r="W391" s="1038"/>
      <c r="X391" s="1038"/>
      <c r="Y391" s="1038"/>
    </row>
    <row r="392" spans="1:25" x14ac:dyDescent="0.2">
      <c r="A392" s="1037"/>
      <c r="B392" s="1037"/>
      <c r="C392" s="1037"/>
      <c r="D392" s="1037"/>
      <c r="E392" s="1037"/>
      <c r="R392" s="1038"/>
      <c r="S392" s="1038"/>
      <c r="T392" s="1038"/>
      <c r="U392" s="1038"/>
      <c r="V392" s="1038"/>
      <c r="W392" s="1038"/>
      <c r="X392" s="1038"/>
      <c r="Y392" s="1038"/>
    </row>
    <row r="393" spans="1:25" x14ac:dyDescent="0.2">
      <c r="A393" s="1037"/>
      <c r="B393" s="1037"/>
      <c r="C393" s="1037"/>
      <c r="D393" s="1037"/>
      <c r="E393" s="1037"/>
      <c r="R393" s="1038"/>
      <c r="S393" s="1038"/>
      <c r="T393" s="1038"/>
      <c r="U393" s="1038"/>
      <c r="V393" s="1038"/>
      <c r="W393" s="1038"/>
      <c r="X393" s="1038"/>
      <c r="Y393" s="1038"/>
    </row>
    <row r="394" spans="1:25" x14ac:dyDescent="0.2">
      <c r="A394" s="1037"/>
      <c r="B394" s="1037"/>
      <c r="C394" s="1037"/>
      <c r="D394" s="1037"/>
      <c r="E394" s="1037"/>
      <c r="R394" s="1038"/>
      <c r="S394" s="1038"/>
      <c r="T394" s="1038"/>
      <c r="U394" s="1038"/>
      <c r="V394" s="1038"/>
      <c r="W394" s="1038"/>
      <c r="X394" s="1038"/>
      <c r="Y394" s="1038"/>
    </row>
    <row r="395" spans="1:25" x14ac:dyDescent="0.2">
      <c r="A395" s="1037"/>
      <c r="B395" s="1037"/>
      <c r="C395" s="1037"/>
      <c r="D395" s="1037"/>
      <c r="E395" s="1037"/>
      <c r="R395" s="1038"/>
      <c r="S395" s="1038"/>
      <c r="T395" s="1038"/>
      <c r="U395" s="1038"/>
      <c r="V395" s="1038"/>
      <c r="W395" s="1038"/>
      <c r="X395" s="1038"/>
      <c r="Y395" s="1038"/>
    </row>
    <row r="396" spans="1:25" x14ac:dyDescent="0.2">
      <c r="A396" s="1037"/>
      <c r="B396" s="1037"/>
      <c r="C396" s="1037"/>
      <c r="D396" s="1037"/>
      <c r="E396" s="1037"/>
      <c r="R396" s="1038"/>
      <c r="S396" s="1038"/>
      <c r="T396" s="1038"/>
      <c r="U396" s="1038"/>
      <c r="V396" s="1038"/>
      <c r="W396" s="1038"/>
      <c r="X396" s="1038"/>
      <c r="Y396" s="1038"/>
    </row>
    <row r="397" spans="1:25" x14ac:dyDescent="0.2">
      <c r="A397" s="1037"/>
      <c r="B397" s="1037"/>
      <c r="C397" s="1037"/>
      <c r="D397" s="1037"/>
      <c r="E397" s="1037"/>
      <c r="R397" s="1038"/>
      <c r="S397" s="1038"/>
      <c r="T397" s="1038"/>
      <c r="U397" s="1038"/>
      <c r="V397" s="1038"/>
      <c r="W397" s="1038"/>
      <c r="X397" s="1038"/>
      <c r="Y397" s="1038"/>
    </row>
    <row r="398" spans="1:25" x14ac:dyDescent="0.2">
      <c r="A398" s="1037"/>
      <c r="B398" s="1037"/>
      <c r="C398" s="1037"/>
      <c r="D398" s="1037"/>
      <c r="E398" s="1037"/>
      <c r="R398" s="1038"/>
      <c r="S398" s="1038"/>
      <c r="T398" s="1038"/>
      <c r="U398" s="1038"/>
      <c r="V398" s="1038"/>
      <c r="W398" s="1038"/>
      <c r="X398" s="1038"/>
      <c r="Y398" s="1038"/>
    </row>
    <row r="399" spans="1:25" x14ac:dyDescent="0.2">
      <c r="A399" s="1037"/>
      <c r="B399" s="1037"/>
      <c r="C399" s="1037"/>
      <c r="D399" s="1037"/>
      <c r="E399" s="1037"/>
      <c r="R399" s="1038"/>
      <c r="S399" s="1038"/>
      <c r="T399" s="1038"/>
      <c r="U399" s="1038"/>
      <c r="V399" s="1038"/>
      <c r="W399" s="1038"/>
      <c r="X399" s="1038"/>
      <c r="Y399" s="1038"/>
    </row>
    <row r="400" spans="1:25" x14ac:dyDescent="0.2">
      <c r="A400" s="1037"/>
      <c r="B400" s="1037"/>
      <c r="C400" s="1037"/>
      <c r="D400" s="1037"/>
      <c r="E400" s="1037"/>
      <c r="R400" s="1038"/>
      <c r="S400" s="1038"/>
      <c r="T400" s="1038"/>
      <c r="U400" s="1038"/>
      <c r="V400" s="1038"/>
      <c r="W400" s="1038"/>
      <c r="X400" s="1038"/>
      <c r="Y400" s="1038"/>
    </row>
    <row r="401" spans="1:25" x14ac:dyDescent="0.2">
      <c r="A401" s="1037"/>
      <c r="B401" s="1037"/>
      <c r="C401" s="1037"/>
      <c r="D401" s="1037"/>
      <c r="E401" s="1037"/>
      <c r="R401" s="1038"/>
      <c r="S401" s="1038"/>
      <c r="T401" s="1038"/>
      <c r="U401" s="1038"/>
      <c r="V401" s="1038"/>
      <c r="W401" s="1038"/>
      <c r="X401" s="1038"/>
      <c r="Y401" s="1038"/>
    </row>
    <row r="402" spans="1:25" x14ac:dyDescent="0.2">
      <c r="A402" s="1037"/>
      <c r="B402" s="1037"/>
      <c r="C402" s="1037"/>
      <c r="D402" s="1037"/>
      <c r="E402" s="1037"/>
      <c r="R402" s="1038"/>
      <c r="S402" s="1038"/>
      <c r="T402" s="1038"/>
      <c r="U402" s="1038"/>
      <c r="V402" s="1038"/>
      <c r="W402" s="1038"/>
      <c r="X402" s="1038"/>
      <c r="Y402" s="1038"/>
    </row>
    <row r="403" spans="1:25" x14ac:dyDescent="0.2">
      <c r="A403" s="1037"/>
      <c r="B403" s="1037"/>
      <c r="C403" s="1037"/>
      <c r="D403" s="1037"/>
      <c r="E403" s="1037"/>
      <c r="R403" s="1038"/>
      <c r="S403" s="1038"/>
      <c r="T403" s="1038"/>
      <c r="U403" s="1038"/>
      <c r="V403" s="1038"/>
      <c r="W403" s="1038"/>
      <c r="X403" s="1038"/>
      <c r="Y403" s="1038"/>
    </row>
    <row r="404" spans="1:25" x14ac:dyDescent="0.2">
      <c r="A404" s="1037"/>
      <c r="B404" s="1037"/>
      <c r="C404" s="1037"/>
      <c r="D404" s="1037"/>
      <c r="E404" s="1037"/>
      <c r="R404" s="1038"/>
      <c r="S404" s="1038"/>
      <c r="T404" s="1038"/>
      <c r="U404" s="1038"/>
      <c r="V404" s="1038"/>
      <c r="W404" s="1038"/>
      <c r="X404" s="1038"/>
      <c r="Y404" s="1038"/>
    </row>
    <row r="405" spans="1:25" x14ac:dyDescent="0.2">
      <c r="A405" s="1037"/>
      <c r="B405" s="1037"/>
      <c r="C405" s="1037"/>
      <c r="D405" s="1037"/>
      <c r="E405" s="1037"/>
      <c r="R405" s="1038"/>
      <c r="S405" s="1038"/>
      <c r="T405" s="1038"/>
      <c r="U405" s="1038"/>
      <c r="V405" s="1038"/>
      <c r="W405" s="1038"/>
      <c r="X405" s="1038"/>
      <c r="Y405" s="1038"/>
    </row>
    <row r="406" spans="1:25" x14ac:dyDescent="0.2">
      <c r="A406" s="1037"/>
      <c r="B406" s="1037"/>
      <c r="C406" s="1037"/>
      <c r="D406" s="1037"/>
      <c r="E406" s="1037"/>
      <c r="R406" s="1038"/>
      <c r="S406" s="1038"/>
      <c r="T406" s="1038"/>
      <c r="U406" s="1038"/>
      <c r="V406" s="1038"/>
      <c r="W406" s="1038"/>
      <c r="X406" s="1038"/>
      <c r="Y406" s="1038"/>
    </row>
    <row r="407" spans="1:25" x14ac:dyDescent="0.2">
      <c r="A407" s="1037"/>
      <c r="B407" s="1037"/>
      <c r="C407" s="1037"/>
      <c r="D407" s="1037"/>
      <c r="E407" s="1037"/>
      <c r="R407" s="1038"/>
      <c r="S407" s="1038"/>
      <c r="T407" s="1038"/>
      <c r="U407" s="1038"/>
      <c r="V407" s="1038"/>
      <c r="W407" s="1038"/>
      <c r="X407" s="1038"/>
      <c r="Y407" s="1038"/>
    </row>
    <row r="408" spans="1:25" x14ac:dyDescent="0.2">
      <c r="A408" s="1037"/>
      <c r="B408" s="1037"/>
      <c r="C408" s="1037"/>
      <c r="D408" s="1037"/>
      <c r="E408" s="1037"/>
      <c r="R408" s="1038"/>
      <c r="S408" s="1038"/>
      <c r="T408" s="1038"/>
      <c r="U408" s="1038"/>
      <c r="V408" s="1038"/>
      <c r="W408" s="1038"/>
      <c r="X408" s="1038"/>
      <c r="Y408" s="1038"/>
    </row>
    <row r="409" spans="1:25" x14ac:dyDescent="0.2">
      <c r="A409" s="1037"/>
      <c r="B409" s="1037"/>
      <c r="C409" s="1037"/>
      <c r="D409" s="1037"/>
      <c r="E409" s="1037"/>
      <c r="R409" s="1038"/>
      <c r="S409" s="1038"/>
      <c r="T409" s="1038"/>
      <c r="U409" s="1038"/>
      <c r="V409" s="1038"/>
      <c r="W409" s="1038"/>
      <c r="X409" s="1038"/>
      <c r="Y409" s="1038"/>
    </row>
    <row r="410" spans="1:25" x14ac:dyDescent="0.2">
      <c r="A410" s="1037"/>
      <c r="B410" s="1037"/>
      <c r="C410" s="1037"/>
      <c r="D410" s="1037"/>
      <c r="E410" s="1037"/>
      <c r="R410" s="1038"/>
      <c r="S410" s="1038"/>
      <c r="T410" s="1038"/>
      <c r="U410" s="1038"/>
      <c r="V410" s="1038"/>
      <c r="W410" s="1038"/>
      <c r="X410" s="1038"/>
      <c r="Y410" s="1038"/>
    </row>
    <row r="411" spans="1:25" x14ac:dyDescent="0.2">
      <c r="A411" s="1037"/>
      <c r="B411" s="1037"/>
      <c r="C411" s="1037"/>
      <c r="D411" s="1037"/>
      <c r="E411" s="1037"/>
      <c r="R411" s="1038"/>
      <c r="S411" s="1038"/>
      <c r="T411" s="1038"/>
      <c r="U411" s="1038"/>
      <c r="V411" s="1038"/>
      <c r="W411" s="1038"/>
      <c r="X411" s="1038"/>
      <c r="Y411" s="1038"/>
    </row>
    <row r="412" spans="1:25" x14ac:dyDescent="0.2">
      <c r="A412" s="1037"/>
      <c r="B412" s="1037"/>
      <c r="C412" s="1037"/>
      <c r="D412" s="1037"/>
      <c r="E412" s="1037"/>
      <c r="R412" s="1038"/>
      <c r="S412" s="1038"/>
      <c r="T412" s="1038"/>
      <c r="U412" s="1038"/>
      <c r="V412" s="1038"/>
      <c r="W412" s="1038"/>
      <c r="X412" s="1038"/>
      <c r="Y412" s="1038"/>
    </row>
    <row r="413" spans="1:25" x14ac:dyDescent="0.2">
      <c r="A413" s="1037"/>
      <c r="B413" s="1037"/>
      <c r="C413" s="1037"/>
      <c r="D413" s="1037"/>
      <c r="E413" s="1037"/>
      <c r="R413" s="1038"/>
      <c r="S413" s="1038"/>
      <c r="T413" s="1038"/>
      <c r="U413" s="1038"/>
      <c r="V413" s="1038"/>
      <c r="W413" s="1038"/>
      <c r="X413" s="1038"/>
      <c r="Y413" s="1038"/>
    </row>
    <row r="414" spans="1:25" x14ac:dyDescent="0.2">
      <c r="A414" s="1037"/>
      <c r="B414" s="1037"/>
      <c r="C414" s="1037"/>
      <c r="D414" s="1037"/>
      <c r="E414" s="1037"/>
      <c r="R414" s="1038"/>
      <c r="S414" s="1038"/>
      <c r="T414" s="1038"/>
      <c r="U414" s="1038"/>
      <c r="V414" s="1038"/>
      <c r="W414" s="1038"/>
      <c r="X414" s="1038"/>
      <c r="Y414" s="1038"/>
    </row>
    <row r="415" spans="1:25" x14ac:dyDescent="0.2">
      <c r="A415" s="1037"/>
      <c r="B415" s="1037"/>
      <c r="C415" s="1037"/>
      <c r="D415" s="1037"/>
      <c r="E415" s="1037"/>
      <c r="R415" s="1038"/>
      <c r="S415" s="1038"/>
      <c r="T415" s="1038"/>
      <c r="U415" s="1038"/>
      <c r="V415" s="1038"/>
      <c r="W415" s="1038"/>
      <c r="X415" s="1038"/>
      <c r="Y415" s="1038"/>
    </row>
    <row r="416" spans="1:25" x14ac:dyDescent="0.2">
      <c r="A416" s="1037"/>
      <c r="B416" s="1037"/>
      <c r="C416" s="1037"/>
      <c r="D416" s="1037"/>
      <c r="E416" s="1037"/>
      <c r="R416" s="1038"/>
      <c r="S416" s="1038"/>
      <c r="T416" s="1038"/>
      <c r="U416" s="1038"/>
      <c r="V416" s="1038"/>
      <c r="W416" s="1038"/>
      <c r="X416" s="1038"/>
      <c r="Y416" s="1038"/>
    </row>
    <row r="417" spans="1:25" x14ac:dyDescent="0.2">
      <c r="A417" s="1037"/>
      <c r="B417" s="1037"/>
      <c r="C417" s="1037"/>
      <c r="D417" s="1037"/>
      <c r="E417" s="1037"/>
      <c r="R417" s="1038"/>
      <c r="S417" s="1038"/>
      <c r="T417" s="1038"/>
      <c r="U417" s="1038"/>
      <c r="V417" s="1038"/>
      <c r="W417" s="1038"/>
      <c r="X417" s="1038"/>
      <c r="Y417" s="1038"/>
    </row>
    <row r="418" spans="1:25" x14ac:dyDescent="0.2">
      <c r="A418" s="1037"/>
      <c r="B418" s="1037"/>
      <c r="C418" s="1037"/>
      <c r="D418" s="1037"/>
      <c r="E418" s="1037"/>
      <c r="R418" s="1038"/>
      <c r="S418" s="1038"/>
      <c r="T418" s="1038"/>
      <c r="U418" s="1038"/>
      <c r="V418" s="1038"/>
      <c r="W418" s="1038"/>
      <c r="X418" s="1038"/>
      <c r="Y418" s="1038"/>
    </row>
    <row r="419" spans="1:25" x14ac:dyDescent="0.2">
      <c r="A419" s="1037"/>
      <c r="B419" s="1037"/>
      <c r="C419" s="1037"/>
      <c r="D419" s="1037"/>
      <c r="E419" s="1037"/>
      <c r="R419" s="1038"/>
      <c r="S419" s="1038"/>
      <c r="T419" s="1038"/>
      <c r="U419" s="1038"/>
      <c r="V419" s="1038"/>
      <c r="W419" s="1038"/>
      <c r="X419" s="1038"/>
      <c r="Y419" s="1038"/>
    </row>
    <row r="420" spans="1:25" x14ac:dyDescent="0.2">
      <c r="A420" s="1037"/>
      <c r="B420" s="1037"/>
      <c r="C420" s="1037"/>
      <c r="D420" s="1037"/>
      <c r="E420" s="1037"/>
      <c r="R420" s="1038"/>
      <c r="S420" s="1038"/>
      <c r="T420" s="1038"/>
      <c r="U420" s="1038"/>
      <c r="V420" s="1038"/>
      <c r="W420" s="1038"/>
      <c r="X420" s="1038"/>
      <c r="Y420" s="1038"/>
    </row>
    <row r="421" spans="1:25" x14ac:dyDescent="0.2">
      <c r="A421" s="1037"/>
      <c r="B421" s="1037"/>
      <c r="C421" s="1037"/>
      <c r="D421" s="1037"/>
      <c r="E421" s="1037"/>
      <c r="R421" s="1038"/>
      <c r="S421" s="1038"/>
      <c r="T421" s="1038"/>
      <c r="U421" s="1038"/>
      <c r="V421" s="1038"/>
      <c r="W421" s="1038"/>
      <c r="X421" s="1038"/>
      <c r="Y421" s="1038"/>
    </row>
    <row r="422" spans="1:25" x14ac:dyDescent="0.2">
      <c r="A422" s="1037"/>
      <c r="B422" s="1037"/>
      <c r="C422" s="1037"/>
      <c r="D422" s="1037"/>
      <c r="E422" s="1037"/>
      <c r="R422" s="1038"/>
      <c r="S422" s="1038"/>
      <c r="T422" s="1038"/>
      <c r="U422" s="1038"/>
      <c r="V422" s="1038"/>
      <c r="W422" s="1038"/>
      <c r="X422" s="1038"/>
      <c r="Y422" s="1038"/>
    </row>
    <row r="423" spans="1:25" x14ac:dyDescent="0.2">
      <c r="A423" s="1037"/>
      <c r="B423" s="1037"/>
      <c r="C423" s="1037"/>
      <c r="D423" s="1037"/>
      <c r="E423" s="1037"/>
      <c r="R423" s="1038"/>
      <c r="S423" s="1038"/>
      <c r="T423" s="1038"/>
      <c r="U423" s="1038"/>
      <c r="V423" s="1038"/>
      <c r="W423" s="1038"/>
      <c r="X423" s="1038"/>
      <c r="Y423" s="1038"/>
    </row>
    <row r="424" spans="1:25" x14ac:dyDescent="0.2">
      <c r="A424" s="1037"/>
      <c r="B424" s="1037"/>
      <c r="C424" s="1037"/>
      <c r="D424" s="1037"/>
      <c r="E424" s="1037"/>
      <c r="R424" s="1038"/>
      <c r="S424" s="1038"/>
      <c r="T424" s="1038"/>
      <c r="U424" s="1038"/>
      <c r="V424" s="1038"/>
      <c r="W424" s="1038"/>
      <c r="X424" s="1038"/>
      <c r="Y424" s="1038"/>
    </row>
    <row r="425" spans="1:25" x14ac:dyDescent="0.2">
      <c r="A425" s="1037"/>
      <c r="B425" s="1037"/>
      <c r="C425" s="1037"/>
      <c r="D425" s="1037"/>
      <c r="E425" s="1037"/>
      <c r="R425" s="1038"/>
      <c r="S425" s="1038"/>
      <c r="T425" s="1038"/>
      <c r="U425" s="1038"/>
      <c r="V425" s="1038"/>
      <c r="W425" s="1038"/>
      <c r="X425" s="1038"/>
      <c r="Y425" s="1038"/>
    </row>
    <row r="426" spans="1:25" x14ac:dyDescent="0.2">
      <c r="A426" s="1037"/>
      <c r="B426" s="1037"/>
      <c r="C426" s="1037"/>
      <c r="D426" s="1037"/>
      <c r="E426" s="1037"/>
      <c r="R426" s="1038"/>
      <c r="S426" s="1038"/>
      <c r="T426" s="1038"/>
      <c r="U426" s="1038"/>
      <c r="V426" s="1038"/>
      <c r="W426" s="1038"/>
      <c r="X426" s="1038"/>
      <c r="Y426" s="1038"/>
    </row>
    <row r="427" spans="1:25" x14ac:dyDescent="0.2">
      <c r="A427" s="1037"/>
      <c r="B427" s="1037"/>
      <c r="C427" s="1037"/>
      <c r="D427" s="1037"/>
      <c r="E427" s="1037"/>
      <c r="R427" s="1038"/>
      <c r="S427" s="1038"/>
      <c r="T427" s="1038"/>
      <c r="U427" s="1038"/>
      <c r="V427" s="1038"/>
      <c r="W427" s="1038"/>
      <c r="X427" s="1038"/>
      <c r="Y427" s="1038"/>
    </row>
    <row r="428" spans="1:25" x14ac:dyDescent="0.2">
      <c r="A428" s="1037"/>
      <c r="B428" s="1037"/>
      <c r="C428" s="1037"/>
      <c r="D428" s="1037"/>
      <c r="E428" s="1037"/>
      <c r="R428" s="1038"/>
      <c r="S428" s="1038"/>
      <c r="T428" s="1038"/>
      <c r="U428" s="1038"/>
      <c r="V428" s="1038"/>
      <c r="W428" s="1038"/>
      <c r="X428" s="1038"/>
      <c r="Y428" s="1038"/>
    </row>
    <row r="429" spans="1:25" x14ac:dyDescent="0.2">
      <c r="A429" s="1037"/>
      <c r="B429" s="1037"/>
      <c r="C429" s="1037"/>
      <c r="D429" s="1037"/>
      <c r="E429" s="1037"/>
      <c r="R429" s="1038"/>
      <c r="S429" s="1038"/>
      <c r="T429" s="1038"/>
      <c r="U429" s="1038"/>
      <c r="V429" s="1038"/>
      <c r="W429" s="1038"/>
      <c r="X429" s="1038"/>
      <c r="Y429" s="1038"/>
    </row>
    <row r="430" spans="1:25" x14ac:dyDescent="0.2">
      <c r="A430" s="1037"/>
      <c r="B430" s="1037"/>
      <c r="C430" s="1037"/>
      <c r="D430" s="1037"/>
      <c r="E430" s="1037"/>
      <c r="R430" s="1038"/>
      <c r="S430" s="1038"/>
      <c r="T430" s="1038"/>
      <c r="U430" s="1038"/>
      <c r="V430" s="1038"/>
      <c r="W430" s="1038"/>
      <c r="X430" s="1038"/>
      <c r="Y430" s="1038"/>
    </row>
    <row r="431" spans="1:25" x14ac:dyDescent="0.2">
      <c r="A431" s="1037"/>
      <c r="B431" s="1037"/>
      <c r="C431" s="1037"/>
      <c r="D431" s="1037"/>
      <c r="E431" s="1037"/>
      <c r="R431" s="1038"/>
      <c r="S431" s="1038"/>
      <c r="T431" s="1038"/>
      <c r="U431" s="1038"/>
      <c r="V431" s="1038"/>
      <c r="W431" s="1038"/>
      <c r="X431" s="1038"/>
      <c r="Y431" s="1038"/>
    </row>
    <row r="432" spans="1:25" x14ac:dyDescent="0.2">
      <c r="A432" s="1037"/>
      <c r="B432" s="1037"/>
      <c r="C432" s="1037"/>
      <c r="D432" s="1037"/>
      <c r="E432" s="1037"/>
      <c r="R432" s="1038"/>
      <c r="S432" s="1038"/>
      <c r="T432" s="1038"/>
      <c r="U432" s="1038"/>
      <c r="V432" s="1038"/>
      <c r="W432" s="1038"/>
      <c r="X432" s="1038"/>
      <c r="Y432" s="1038"/>
    </row>
    <row r="433" spans="1:25" x14ac:dyDescent="0.2">
      <c r="A433" s="1037"/>
      <c r="B433" s="1037"/>
      <c r="C433" s="1037"/>
      <c r="D433" s="1037"/>
      <c r="E433" s="1037"/>
      <c r="R433" s="1038"/>
      <c r="S433" s="1038"/>
      <c r="T433" s="1038"/>
      <c r="U433" s="1038"/>
      <c r="V433" s="1038"/>
      <c r="W433" s="1038"/>
      <c r="X433" s="1038"/>
      <c r="Y433" s="1038"/>
    </row>
    <row r="434" spans="1:25" x14ac:dyDescent="0.2">
      <c r="A434" s="1037"/>
      <c r="B434" s="1037"/>
      <c r="C434" s="1037"/>
      <c r="D434" s="1037"/>
      <c r="E434" s="1037"/>
      <c r="R434" s="1038"/>
      <c r="S434" s="1038"/>
      <c r="T434" s="1038"/>
      <c r="U434" s="1038"/>
      <c r="V434" s="1038"/>
      <c r="W434" s="1038"/>
      <c r="X434" s="1038"/>
      <c r="Y434" s="1038"/>
    </row>
    <row r="435" spans="1:25" x14ac:dyDescent="0.2">
      <c r="A435" s="1037"/>
      <c r="B435" s="1037"/>
      <c r="C435" s="1037"/>
      <c r="D435" s="1037"/>
      <c r="E435" s="1037"/>
      <c r="R435" s="1038"/>
      <c r="S435" s="1038"/>
      <c r="T435" s="1038"/>
      <c r="U435" s="1038"/>
      <c r="V435" s="1038"/>
      <c r="W435" s="1038"/>
      <c r="X435" s="1038"/>
      <c r="Y435" s="1038"/>
    </row>
    <row r="436" spans="1:25" x14ac:dyDescent="0.2">
      <c r="A436" s="1037"/>
      <c r="B436" s="1037"/>
      <c r="C436" s="1037"/>
      <c r="D436" s="1037"/>
      <c r="E436" s="1037"/>
      <c r="R436" s="1038"/>
      <c r="S436" s="1038"/>
      <c r="T436" s="1038"/>
      <c r="U436" s="1038"/>
      <c r="V436" s="1038"/>
      <c r="W436" s="1038"/>
      <c r="X436" s="1038"/>
      <c r="Y436" s="1038"/>
    </row>
    <row r="437" spans="1:25" x14ac:dyDescent="0.2">
      <c r="A437" s="1037"/>
      <c r="B437" s="1037"/>
      <c r="C437" s="1037"/>
      <c r="D437" s="1037"/>
      <c r="E437" s="1037"/>
      <c r="R437" s="1038"/>
      <c r="S437" s="1038"/>
      <c r="T437" s="1038"/>
      <c r="U437" s="1038"/>
      <c r="V437" s="1038"/>
      <c r="W437" s="1038"/>
      <c r="X437" s="1038"/>
      <c r="Y437" s="1038"/>
    </row>
    <row r="438" spans="1:25" x14ac:dyDescent="0.2">
      <c r="A438" s="1037"/>
      <c r="B438" s="1037"/>
      <c r="C438" s="1037"/>
      <c r="D438" s="1037"/>
      <c r="E438" s="1037"/>
      <c r="R438" s="1038"/>
      <c r="S438" s="1038"/>
      <c r="T438" s="1038"/>
      <c r="U438" s="1038"/>
      <c r="V438" s="1038"/>
      <c r="W438" s="1038"/>
      <c r="X438" s="1038"/>
      <c r="Y438" s="1038"/>
    </row>
    <row r="439" spans="1:25" x14ac:dyDescent="0.2">
      <c r="A439" s="1037"/>
      <c r="B439" s="1037"/>
      <c r="C439" s="1037"/>
      <c r="D439" s="1037"/>
      <c r="E439" s="1037"/>
      <c r="R439" s="1038"/>
      <c r="S439" s="1038"/>
      <c r="T439" s="1038"/>
      <c r="U439" s="1038"/>
      <c r="V439" s="1038"/>
      <c r="W439" s="1038"/>
      <c r="X439" s="1038"/>
      <c r="Y439" s="1038"/>
    </row>
    <row r="440" spans="1:25" x14ac:dyDescent="0.2">
      <c r="A440" s="1037"/>
      <c r="B440" s="1037"/>
      <c r="C440" s="1037"/>
      <c r="D440" s="1037"/>
      <c r="E440" s="1037"/>
      <c r="R440" s="1038"/>
      <c r="S440" s="1038"/>
      <c r="T440" s="1038"/>
      <c r="U440" s="1038"/>
      <c r="V440" s="1038"/>
      <c r="W440" s="1038"/>
      <c r="X440" s="1038"/>
      <c r="Y440" s="1038"/>
    </row>
    <row r="441" spans="1:25" x14ac:dyDescent="0.2">
      <c r="A441" s="1037"/>
      <c r="B441" s="1037"/>
      <c r="C441" s="1037"/>
      <c r="D441" s="1037"/>
      <c r="E441" s="1037"/>
      <c r="R441" s="1038"/>
      <c r="S441" s="1038"/>
      <c r="T441" s="1038"/>
      <c r="U441" s="1038"/>
      <c r="V441" s="1038"/>
      <c r="W441" s="1038"/>
      <c r="X441" s="1038"/>
      <c r="Y441" s="1038"/>
    </row>
    <row r="442" spans="1:25" x14ac:dyDescent="0.2">
      <c r="A442" s="1037"/>
      <c r="B442" s="1037"/>
      <c r="C442" s="1037"/>
      <c r="D442" s="1037"/>
      <c r="E442" s="1037"/>
      <c r="R442" s="1038"/>
      <c r="S442" s="1038"/>
      <c r="T442" s="1038"/>
      <c r="U442" s="1038"/>
      <c r="V442" s="1038"/>
      <c r="W442" s="1038"/>
      <c r="X442" s="1038"/>
      <c r="Y442" s="1038"/>
    </row>
    <row r="443" spans="1:25" x14ac:dyDescent="0.2">
      <c r="A443" s="1037"/>
      <c r="B443" s="1037"/>
      <c r="C443" s="1037"/>
      <c r="D443" s="1037"/>
      <c r="E443" s="1037"/>
      <c r="R443" s="1038"/>
      <c r="S443" s="1038"/>
      <c r="T443" s="1038"/>
      <c r="U443" s="1038"/>
      <c r="V443" s="1038"/>
      <c r="W443" s="1038"/>
      <c r="X443" s="1038"/>
      <c r="Y443" s="1038"/>
    </row>
    <row r="444" spans="1:25" x14ac:dyDescent="0.2">
      <c r="A444" s="1037"/>
      <c r="B444" s="1037"/>
      <c r="C444" s="1037"/>
      <c r="D444" s="1037"/>
      <c r="E444" s="1037"/>
      <c r="R444" s="1038"/>
      <c r="S444" s="1038"/>
      <c r="T444" s="1038"/>
      <c r="U444" s="1038"/>
      <c r="V444" s="1038"/>
      <c r="W444" s="1038"/>
      <c r="X444" s="1038"/>
      <c r="Y444" s="1038"/>
    </row>
    <row r="445" spans="1:25" x14ac:dyDescent="0.2">
      <c r="A445" s="1037"/>
      <c r="B445" s="1037"/>
      <c r="C445" s="1037"/>
      <c r="D445" s="1037"/>
      <c r="E445" s="1037"/>
      <c r="R445" s="1038"/>
      <c r="S445" s="1038"/>
      <c r="T445" s="1038"/>
      <c r="U445" s="1038"/>
      <c r="V445" s="1038"/>
      <c r="W445" s="1038"/>
      <c r="X445" s="1038"/>
      <c r="Y445" s="1038"/>
    </row>
    <row r="446" spans="1:25" x14ac:dyDescent="0.2">
      <c r="A446" s="1037"/>
      <c r="B446" s="1037"/>
      <c r="C446" s="1037"/>
      <c r="D446" s="1037"/>
      <c r="E446" s="1037"/>
      <c r="R446" s="1038"/>
      <c r="S446" s="1038"/>
      <c r="T446" s="1038"/>
      <c r="U446" s="1038"/>
      <c r="V446" s="1038"/>
      <c r="W446" s="1038"/>
      <c r="X446" s="1038"/>
      <c r="Y446" s="1038"/>
    </row>
    <row r="447" spans="1:25" x14ac:dyDescent="0.2">
      <c r="A447" s="1037"/>
      <c r="B447" s="1037"/>
      <c r="C447" s="1037"/>
      <c r="D447" s="1037"/>
      <c r="E447" s="1037"/>
      <c r="R447" s="1038"/>
      <c r="S447" s="1038"/>
      <c r="T447" s="1038"/>
      <c r="U447" s="1038"/>
      <c r="V447" s="1038"/>
      <c r="W447" s="1038"/>
      <c r="X447" s="1038"/>
      <c r="Y447" s="1038"/>
    </row>
    <row r="448" spans="1:25" x14ac:dyDescent="0.2">
      <c r="A448" s="1037"/>
      <c r="B448" s="1037"/>
      <c r="C448" s="1037"/>
      <c r="D448" s="1037"/>
      <c r="E448" s="1037"/>
      <c r="R448" s="1038"/>
      <c r="S448" s="1038"/>
      <c r="T448" s="1038"/>
      <c r="U448" s="1038"/>
      <c r="V448" s="1038"/>
      <c r="W448" s="1038"/>
      <c r="X448" s="1038"/>
      <c r="Y448" s="1038"/>
    </row>
    <row r="449" spans="1:25" x14ac:dyDescent="0.2">
      <c r="A449" s="1037"/>
      <c r="B449" s="1037"/>
      <c r="C449" s="1037"/>
      <c r="D449" s="1037"/>
      <c r="E449" s="1037"/>
      <c r="R449" s="1038"/>
      <c r="S449" s="1038"/>
      <c r="T449" s="1038"/>
      <c r="U449" s="1038"/>
      <c r="V449" s="1038"/>
      <c r="W449" s="1038"/>
      <c r="X449" s="1038"/>
      <c r="Y449" s="1038"/>
    </row>
    <row r="450" spans="1:25" x14ac:dyDescent="0.2">
      <c r="A450" s="1037"/>
      <c r="B450" s="1037"/>
      <c r="C450" s="1037"/>
      <c r="D450" s="1037"/>
      <c r="E450" s="1037"/>
      <c r="R450" s="1038"/>
      <c r="S450" s="1038"/>
      <c r="T450" s="1038"/>
      <c r="U450" s="1038"/>
      <c r="V450" s="1038"/>
      <c r="W450" s="1038"/>
      <c r="X450" s="1038"/>
      <c r="Y450" s="1038"/>
    </row>
    <row r="451" spans="1:25" x14ac:dyDescent="0.2">
      <c r="A451" s="1037"/>
      <c r="B451" s="1037"/>
      <c r="C451" s="1037"/>
      <c r="D451" s="1037"/>
      <c r="E451" s="1037"/>
      <c r="R451" s="1038"/>
      <c r="S451" s="1038"/>
      <c r="T451" s="1038"/>
      <c r="U451" s="1038"/>
      <c r="V451" s="1038"/>
      <c r="W451" s="1038"/>
      <c r="X451" s="1038"/>
      <c r="Y451" s="1038"/>
    </row>
    <row r="452" spans="1:25" x14ac:dyDescent="0.2">
      <c r="A452" s="1037"/>
      <c r="B452" s="1037"/>
      <c r="C452" s="1037"/>
      <c r="D452" s="1037"/>
      <c r="E452" s="1037"/>
      <c r="R452" s="1038"/>
      <c r="S452" s="1038"/>
      <c r="T452" s="1038"/>
      <c r="U452" s="1038"/>
      <c r="V452" s="1038"/>
      <c r="W452" s="1038"/>
      <c r="X452" s="1038"/>
      <c r="Y452" s="1038"/>
    </row>
    <row r="453" spans="1:25" x14ac:dyDescent="0.2">
      <c r="A453" s="1037"/>
      <c r="B453" s="1037"/>
      <c r="C453" s="1037"/>
      <c r="D453" s="1037"/>
      <c r="E453" s="1037"/>
      <c r="R453" s="1038"/>
      <c r="S453" s="1038"/>
      <c r="T453" s="1038"/>
      <c r="U453" s="1038"/>
      <c r="V453" s="1038"/>
      <c r="W453" s="1038"/>
      <c r="X453" s="1038"/>
      <c r="Y453" s="1038"/>
    </row>
    <row r="454" spans="1:25" x14ac:dyDescent="0.2">
      <c r="A454" s="1037"/>
      <c r="B454" s="1037"/>
      <c r="C454" s="1037"/>
      <c r="D454" s="1037"/>
      <c r="E454" s="1037"/>
      <c r="R454" s="1038"/>
      <c r="S454" s="1038"/>
      <c r="T454" s="1038"/>
      <c r="U454" s="1038"/>
      <c r="V454" s="1038"/>
      <c r="W454" s="1038"/>
      <c r="X454" s="1038"/>
      <c r="Y454" s="1038"/>
    </row>
    <row r="455" spans="1:25" x14ac:dyDescent="0.2">
      <c r="A455" s="1037"/>
      <c r="B455" s="1037"/>
      <c r="C455" s="1037"/>
      <c r="D455" s="1037"/>
      <c r="E455" s="1037"/>
      <c r="R455" s="1038"/>
      <c r="S455" s="1038"/>
      <c r="T455" s="1038"/>
      <c r="U455" s="1038"/>
      <c r="V455" s="1038"/>
      <c r="W455" s="1038"/>
      <c r="X455" s="1038"/>
      <c r="Y455" s="1038"/>
    </row>
    <row r="456" spans="1:25" x14ac:dyDescent="0.2">
      <c r="A456" s="1037"/>
      <c r="B456" s="1037"/>
      <c r="C456" s="1037"/>
      <c r="D456" s="1037"/>
      <c r="E456" s="1037"/>
      <c r="R456" s="1038"/>
      <c r="S456" s="1038"/>
      <c r="T456" s="1038"/>
      <c r="U456" s="1038"/>
      <c r="V456" s="1038"/>
      <c r="W456" s="1038"/>
      <c r="X456" s="1038"/>
      <c r="Y456" s="1038"/>
    </row>
    <row r="457" spans="1:25" x14ac:dyDescent="0.2">
      <c r="A457" s="1037"/>
      <c r="B457" s="1037"/>
      <c r="C457" s="1037"/>
      <c r="D457" s="1037"/>
      <c r="E457" s="1037"/>
      <c r="R457" s="1038"/>
      <c r="S457" s="1038"/>
      <c r="T457" s="1038"/>
      <c r="U457" s="1038"/>
      <c r="V457" s="1038"/>
      <c r="W457" s="1038"/>
      <c r="X457" s="1038"/>
      <c r="Y457" s="1038"/>
    </row>
    <row r="458" spans="1:25" x14ac:dyDescent="0.2">
      <c r="A458" s="1037"/>
      <c r="B458" s="1037"/>
      <c r="C458" s="1037"/>
      <c r="D458" s="1037"/>
      <c r="E458" s="1037"/>
      <c r="R458" s="1038"/>
      <c r="S458" s="1038"/>
      <c r="T458" s="1038"/>
      <c r="U458" s="1038"/>
      <c r="V458" s="1038"/>
      <c r="W458" s="1038"/>
      <c r="X458" s="1038"/>
      <c r="Y458" s="1038"/>
    </row>
    <row r="459" spans="1:25" x14ac:dyDescent="0.2">
      <c r="A459" s="1037"/>
      <c r="B459" s="1037"/>
      <c r="C459" s="1037"/>
      <c r="D459" s="1037"/>
      <c r="E459" s="1037"/>
      <c r="R459" s="1038"/>
      <c r="S459" s="1038"/>
      <c r="T459" s="1038"/>
      <c r="U459" s="1038"/>
      <c r="V459" s="1038"/>
      <c r="W459" s="1038"/>
      <c r="X459" s="1038"/>
      <c r="Y459" s="1038"/>
    </row>
    <row r="460" spans="1:25" x14ac:dyDescent="0.2">
      <c r="A460" s="1037"/>
      <c r="B460" s="1037"/>
      <c r="C460" s="1037"/>
      <c r="D460" s="1037"/>
      <c r="E460" s="1037"/>
      <c r="R460" s="1038"/>
      <c r="S460" s="1038"/>
      <c r="T460" s="1038"/>
      <c r="U460" s="1038"/>
      <c r="V460" s="1038"/>
      <c r="W460" s="1038"/>
      <c r="X460" s="1038"/>
      <c r="Y460" s="1038"/>
    </row>
    <row r="461" spans="1:25" x14ac:dyDescent="0.2">
      <c r="A461" s="1037"/>
      <c r="B461" s="1037"/>
      <c r="C461" s="1037"/>
      <c r="D461" s="1037"/>
      <c r="E461" s="1037"/>
      <c r="R461" s="1038"/>
      <c r="S461" s="1038"/>
      <c r="T461" s="1038"/>
      <c r="U461" s="1038"/>
      <c r="V461" s="1038"/>
      <c r="W461" s="1038"/>
      <c r="X461" s="1038"/>
      <c r="Y461" s="1038"/>
    </row>
    <row r="462" spans="1:25" x14ac:dyDescent="0.2">
      <c r="A462" s="1037"/>
      <c r="B462" s="1037"/>
      <c r="C462" s="1037"/>
      <c r="D462" s="1037"/>
      <c r="E462" s="1037"/>
      <c r="R462" s="1038"/>
      <c r="S462" s="1038"/>
      <c r="T462" s="1038"/>
      <c r="U462" s="1038"/>
      <c r="V462" s="1038"/>
      <c r="W462" s="1038"/>
      <c r="X462" s="1038"/>
      <c r="Y462" s="1038"/>
    </row>
    <row r="463" spans="1:25" x14ac:dyDescent="0.2">
      <c r="A463" s="1037"/>
      <c r="B463" s="1037"/>
      <c r="C463" s="1037"/>
      <c r="D463" s="1037"/>
      <c r="E463" s="1037"/>
      <c r="R463" s="1038"/>
      <c r="S463" s="1038"/>
      <c r="T463" s="1038"/>
      <c r="U463" s="1038"/>
      <c r="V463" s="1038"/>
      <c r="W463" s="1038"/>
      <c r="X463" s="1038"/>
      <c r="Y463" s="1038"/>
    </row>
    <row r="464" spans="1:25" x14ac:dyDescent="0.2">
      <c r="A464" s="1037"/>
      <c r="B464" s="1037"/>
      <c r="C464" s="1037"/>
      <c r="D464" s="1037"/>
      <c r="E464" s="1037"/>
      <c r="R464" s="1038"/>
      <c r="S464" s="1038"/>
      <c r="T464" s="1038"/>
      <c r="U464" s="1038"/>
      <c r="V464" s="1038"/>
      <c r="W464" s="1038"/>
      <c r="X464" s="1038"/>
      <c r="Y464" s="1038"/>
    </row>
    <row r="465" spans="1:25" x14ac:dyDescent="0.2">
      <c r="A465" s="1037"/>
      <c r="B465" s="1037"/>
      <c r="C465" s="1037"/>
      <c r="D465" s="1037"/>
      <c r="E465" s="1037"/>
      <c r="R465" s="1038"/>
      <c r="S465" s="1038"/>
      <c r="T465" s="1038"/>
      <c r="U465" s="1038"/>
      <c r="V465" s="1038"/>
      <c r="W465" s="1038"/>
      <c r="X465" s="1038"/>
      <c r="Y465" s="1038"/>
    </row>
    <row r="466" spans="1:25" x14ac:dyDescent="0.2">
      <c r="A466" s="1037"/>
      <c r="B466" s="1037"/>
      <c r="C466" s="1037"/>
      <c r="D466" s="1037"/>
      <c r="E466" s="1037"/>
      <c r="R466" s="1038"/>
      <c r="S466" s="1038"/>
      <c r="T466" s="1038"/>
      <c r="U466" s="1038"/>
      <c r="V466" s="1038"/>
      <c r="W466" s="1038"/>
      <c r="X466" s="1038"/>
      <c r="Y466" s="1038"/>
    </row>
    <row r="467" spans="1:25" x14ac:dyDescent="0.2">
      <c r="A467" s="1037"/>
      <c r="B467" s="1037"/>
      <c r="C467" s="1037"/>
      <c r="D467" s="1037"/>
      <c r="E467" s="1037"/>
      <c r="R467" s="1038"/>
      <c r="S467" s="1038"/>
      <c r="T467" s="1038"/>
      <c r="U467" s="1038"/>
      <c r="V467" s="1038"/>
      <c r="W467" s="1038"/>
      <c r="X467" s="1038"/>
      <c r="Y467" s="1038"/>
    </row>
    <row r="468" spans="1:25" x14ac:dyDescent="0.2">
      <c r="A468" s="1037"/>
      <c r="B468" s="1037"/>
      <c r="C468" s="1037"/>
      <c r="D468" s="1037"/>
      <c r="E468" s="1037"/>
      <c r="R468" s="1038"/>
      <c r="S468" s="1038"/>
      <c r="T468" s="1038"/>
      <c r="U468" s="1038"/>
      <c r="V468" s="1038"/>
      <c r="W468" s="1038"/>
      <c r="X468" s="1038"/>
      <c r="Y468" s="1038"/>
    </row>
    <row r="469" spans="1:25" x14ac:dyDescent="0.2">
      <c r="A469" s="1037"/>
      <c r="B469" s="1037"/>
      <c r="C469" s="1037"/>
      <c r="D469" s="1037"/>
      <c r="E469" s="1037"/>
      <c r="R469" s="1038"/>
      <c r="S469" s="1038"/>
      <c r="T469" s="1038"/>
      <c r="U469" s="1038"/>
      <c r="V469" s="1038"/>
      <c r="W469" s="1038"/>
      <c r="X469" s="1038"/>
      <c r="Y469" s="1038"/>
    </row>
    <row r="470" spans="1:25" x14ac:dyDescent="0.2">
      <c r="A470" s="1037"/>
      <c r="B470" s="1037"/>
      <c r="C470" s="1037"/>
      <c r="D470" s="1037"/>
      <c r="E470" s="1037"/>
      <c r="R470" s="1038"/>
      <c r="S470" s="1038"/>
      <c r="T470" s="1038"/>
      <c r="U470" s="1038"/>
      <c r="V470" s="1038"/>
      <c r="W470" s="1038"/>
      <c r="X470" s="1038"/>
      <c r="Y470" s="1038"/>
    </row>
    <row r="471" spans="1:25" x14ac:dyDescent="0.2">
      <c r="A471" s="1037"/>
      <c r="B471" s="1037"/>
      <c r="C471" s="1037"/>
      <c r="D471" s="1037"/>
      <c r="E471" s="1037"/>
      <c r="R471" s="1038"/>
      <c r="S471" s="1038"/>
      <c r="T471" s="1038"/>
      <c r="U471" s="1038"/>
      <c r="V471" s="1038"/>
      <c r="W471" s="1038"/>
      <c r="X471" s="1038"/>
      <c r="Y471" s="1038"/>
    </row>
    <row r="472" spans="1:25" x14ac:dyDescent="0.2">
      <c r="A472" s="1037"/>
      <c r="B472" s="1037"/>
      <c r="C472" s="1037"/>
      <c r="D472" s="1037"/>
      <c r="E472" s="1037"/>
      <c r="R472" s="1038"/>
      <c r="S472" s="1038"/>
      <c r="T472" s="1038"/>
      <c r="U472" s="1038"/>
      <c r="V472" s="1038"/>
      <c r="W472" s="1038"/>
      <c r="X472" s="1038"/>
      <c r="Y472" s="1038"/>
    </row>
    <row r="473" spans="1:25" x14ac:dyDescent="0.2">
      <c r="A473" s="1037"/>
      <c r="B473" s="1037"/>
      <c r="C473" s="1037"/>
      <c r="D473" s="1037"/>
      <c r="E473" s="1037"/>
      <c r="R473" s="1038"/>
      <c r="S473" s="1038"/>
      <c r="T473" s="1038"/>
      <c r="U473" s="1038"/>
      <c r="V473" s="1038"/>
      <c r="W473" s="1038"/>
      <c r="X473" s="1038"/>
      <c r="Y473" s="1038"/>
    </row>
    <row r="474" spans="1:25" x14ac:dyDescent="0.2">
      <c r="A474" s="1037"/>
      <c r="B474" s="1037"/>
      <c r="C474" s="1037"/>
      <c r="D474" s="1037"/>
      <c r="E474" s="1037"/>
      <c r="R474" s="1038"/>
      <c r="S474" s="1038"/>
      <c r="T474" s="1038"/>
      <c r="U474" s="1038"/>
      <c r="V474" s="1038"/>
      <c r="W474" s="1038"/>
      <c r="X474" s="1038"/>
      <c r="Y474" s="1038"/>
    </row>
    <row r="475" spans="1:25" x14ac:dyDescent="0.2">
      <c r="A475" s="1037"/>
      <c r="B475" s="1037"/>
      <c r="C475" s="1037"/>
      <c r="D475" s="1037"/>
      <c r="E475" s="1037"/>
      <c r="R475" s="1038"/>
      <c r="S475" s="1038"/>
      <c r="T475" s="1038"/>
      <c r="U475" s="1038"/>
      <c r="V475" s="1038"/>
      <c r="W475" s="1038"/>
      <c r="X475" s="1038"/>
      <c r="Y475" s="1038"/>
    </row>
    <row r="476" spans="1:25" x14ac:dyDescent="0.2">
      <c r="A476" s="1037"/>
      <c r="B476" s="1037"/>
      <c r="C476" s="1037"/>
      <c r="D476" s="1037"/>
      <c r="E476" s="1037"/>
      <c r="R476" s="1038"/>
      <c r="S476" s="1038"/>
      <c r="T476" s="1038"/>
      <c r="U476" s="1038"/>
      <c r="V476" s="1038"/>
      <c r="W476" s="1038"/>
      <c r="X476" s="1038"/>
      <c r="Y476" s="1038"/>
    </row>
    <row r="477" spans="1:25" x14ac:dyDescent="0.2">
      <c r="A477" s="1037"/>
      <c r="B477" s="1037"/>
      <c r="C477" s="1037"/>
      <c r="D477" s="1037"/>
      <c r="E477" s="1037"/>
      <c r="R477" s="1038"/>
      <c r="S477" s="1038"/>
      <c r="T477" s="1038"/>
      <c r="U477" s="1038"/>
      <c r="V477" s="1038"/>
      <c r="W477" s="1038"/>
      <c r="X477" s="1038"/>
      <c r="Y477" s="1038"/>
    </row>
    <row r="478" spans="1:25" x14ac:dyDescent="0.2">
      <c r="A478" s="1037"/>
      <c r="B478" s="1037"/>
      <c r="C478" s="1037"/>
      <c r="D478" s="1037"/>
      <c r="E478" s="1037"/>
      <c r="R478" s="1038"/>
      <c r="S478" s="1038"/>
      <c r="T478" s="1038"/>
      <c r="U478" s="1038"/>
      <c r="V478" s="1038"/>
      <c r="W478" s="1038"/>
      <c r="X478" s="1038"/>
      <c r="Y478" s="1038"/>
    </row>
    <row r="479" spans="1:25" x14ac:dyDescent="0.2">
      <c r="A479" s="1037"/>
      <c r="B479" s="1037"/>
      <c r="C479" s="1037"/>
      <c r="D479" s="1037"/>
      <c r="E479" s="1037"/>
      <c r="R479" s="1038"/>
      <c r="S479" s="1038"/>
      <c r="T479" s="1038"/>
      <c r="U479" s="1038"/>
      <c r="V479" s="1038"/>
      <c r="W479" s="1038"/>
      <c r="X479" s="1038"/>
      <c r="Y479" s="1038"/>
    </row>
    <row r="480" spans="1:25" x14ac:dyDescent="0.2">
      <c r="A480" s="1037"/>
      <c r="B480" s="1037"/>
      <c r="C480" s="1037"/>
      <c r="D480" s="1037"/>
      <c r="E480" s="1037"/>
      <c r="R480" s="1038"/>
      <c r="S480" s="1038"/>
      <c r="T480" s="1038"/>
      <c r="U480" s="1038"/>
      <c r="V480" s="1038"/>
      <c r="W480" s="1038"/>
      <c r="X480" s="1038"/>
      <c r="Y480" s="1038"/>
    </row>
    <row r="481" spans="1:25" x14ac:dyDescent="0.2">
      <c r="A481" s="1037"/>
      <c r="B481" s="1037"/>
      <c r="C481" s="1037"/>
      <c r="D481" s="1037"/>
      <c r="E481" s="1037"/>
      <c r="R481" s="1038"/>
      <c r="S481" s="1038"/>
      <c r="T481" s="1038"/>
      <c r="U481" s="1038"/>
      <c r="V481" s="1038"/>
      <c r="W481" s="1038"/>
      <c r="X481" s="1038"/>
      <c r="Y481" s="1038"/>
    </row>
    <row r="482" spans="1:25" x14ac:dyDescent="0.2">
      <c r="A482" s="1037"/>
      <c r="B482" s="1037"/>
      <c r="C482" s="1037"/>
      <c r="D482" s="1037"/>
      <c r="E482" s="1037"/>
      <c r="R482" s="1038"/>
      <c r="S482" s="1038"/>
      <c r="T482" s="1038"/>
      <c r="U482" s="1038"/>
      <c r="V482" s="1038"/>
      <c r="W482" s="1038"/>
      <c r="X482" s="1038"/>
      <c r="Y482" s="1038"/>
    </row>
    <row r="483" spans="1:25" x14ac:dyDescent="0.2">
      <c r="A483" s="1037"/>
      <c r="B483" s="1037"/>
      <c r="C483" s="1037"/>
      <c r="D483" s="1037"/>
      <c r="E483" s="1037"/>
      <c r="R483" s="1038"/>
      <c r="S483" s="1038"/>
      <c r="T483" s="1038"/>
      <c r="U483" s="1038"/>
      <c r="V483" s="1038"/>
      <c r="W483" s="1038"/>
      <c r="X483" s="1038"/>
      <c r="Y483" s="1038"/>
    </row>
    <row r="484" spans="1:25" x14ac:dyDescent="0.2">
      <c r="A484" s="1037"/>
      <c r="B484" s="1037"/>
      <c r="C484" s="1037"/>
      <c r="D484" s="1037"/>
      <c r="E484" s="1037"/>
      <c r="R484" s="1038"/>
      <c r="S484" s="1038"/>
      <c r="T484" s="1038"/>
      <c r="U484" s="1038"/>
      <c r="V484" s="1038"/>
      <c r="W484" s="1038"/>
      <c r="X484" s="1038"/>
      <c r="Y484" s="1038"/>
    </row>
    <row r="485" spans="1:25" x14ac:dyDescent="0.2">
      <c r="A485" s="1037"/>
      <c r="B485" s="1037"/>
      <c r="C485" s="1037"/>
      <c r="D485" s="1037"/>
      <c r="E485" s="1037"/>
      <c r="R485" s="1038"/>
      <c r="S485" s="1038"/>
      <c r="T485" s="1038"/>
      <c r="U485" s="1038"/>
      <c r="V485" s="1038"/>
      <c r="W485" s="1038"/>
      <c r="X485" s="1038"/>
      <c r="Y485" s="1038"/>
    </row>
    <row r="486" spans="1:25" x14ac:dyDescent="0.2">
      <c r="A486" s="1037"/>
      <c r="B486" s="1037"/>
      <c r="C486" s="1037"/>
      <c r="D486" s="1037"/>
      <c r="E486" s="1037"/>
      <c r="R486" s="1038"/>
      <c r="S486" s="1038"/>
      <c r="T486" s="1038"/>
      <c r="U486" s="1038"/>
      <c r="V486" s="1038"/>
      <c r="W486" s="1038"/>
      <c r="X486" s="1038"/>
      <c r="Y486" s="1038"/>
    </row>
    <row r="487" spans="1:25" x14ac:dyDescent="0.2">
      <c r="A487" s="1037"/>
      <c r="B487" s="1037"/>
      <c r="C487" s="1037"/>
      <c r="D487" s="1037"/>
      <c r="E487" s="1037"/>
      <c r="R487" s="1038"/>
      <c r="S487" s="1038"/>
      <c r="T487" s="1038"/>
      <c r="U487" s="1038"/>
      <c r="V487" s="1038"/>
      <c r="W487" s="1038"/>
      <c r="X487" s="1038"/>
      <c r="Y487" s="1038"/>
    </row>
    <row r="488" spans="1:25" x14ac:dyDescent="0.2">
      <c r="A488" s="1037"/>
      <c r="B488" s="1037"/>
      <c r="C488" s="1037"/>
      <c r="D488" s="1037"/>
      <c r="E488" s="1037"/>
      <c r="R488" s="1038"/>
      <c r="S488" s="1038"/>
      <c r="T488" s="1038"/>
      <c r="U488" s="1038"/>
      <c r="V488" s="1038"/>
      <c r="W488" s="1038"/>
      <c r="X488" s="1038"/>
      <c r="Y488" s="1038"/>
    </row>
    <row r="489" spans="1:25" x14ac:dyDescent="0.2">
      <c r="A489" s="1037"/>
      <c r="B489" s="1037"/>
      <c r="C489" s="1037"/>
      <c r="D489" s="1037"/>
      <c r="E489" s="1037"/>
      <c r="R489" s="1038"/>
      <c r="S489" s="1038"/>
      <c r="T489" s="1038"/>
      <c r="U489" s="1038"/>
      <c r="V489" s="1038"/>
      <c r="W489" s="1038"/>
      <c r="X489" s="1038"/>
      <c r="Y489" s="1038"/>
    </row>
    <row r="490" spans="1:25" x14ac:dyDescent="0.2">
      <c r="A490" s="1037"/>
      <c r="B490" s="1037"/>
      <c r="C490" s="1037"/>
      <c r="D490" s="1037"/>
      <c r="E490" s="1037"/>
      <c r="R490" s="1038"/>
      <c r="S490" s="1038"/>
      <c r="T490" s="1038"/>
      <c r="U490" s="1038"/>
      <c r="V490" s="1038"/>
      <c r="W490" s="1038"/>
      <c r="X490" s="1038"/>
      <c r="Y490" s="1038"/>
    </row>
    <row r="491" spans="1:25" x14ac:dyDescent="0.2">
      <c r="A491" s="1037"/>
      <c r="B491" s="1037"/>
      <c r="C491" s="1037"/>
      <c r="D491" s="1037"/>
      <c r="E491" s="1037"/>
      <c r="R491" s="1038"/>
      <c r="S491" s="1038"/>
      <c r="T491" s="1038"/>
      <c r="U491" s="1038"/>
      <c r="V491" s="1038"/>
      <c r="W491" s="1038"/>
      <c r="X491" s="1038"/>
      <c r="Y491" s="1038"/>
    </row>
    <row r="492" spans="1:25" x14ac:dyDescent="0.2">
      <c r="A492" s="1037"/>
      <c r="B492" s="1037"/>
      <c r="C492" s="1037"/>
      <c r="D492" s="1037"/>
      <c r="E492" s="1037"/>
      <c r="R492" s="1038"/>
      <c r="S492" s="1038"/>
      <c r="T492" s="1038"/>
      <c r="U492" s="1038"/>
      <c r="V492" s="1038"/>
      <c r="W492" s="1038"/>
      <c r="X492" s="1038"/>
      <c r="Y492" s="1038"/>
    </row>
    <row r="493" spans="1:25" x14ac:dyDescent="0.2">
      <c r="A493" s="1037"/>
      <c r="B493" s="1037"/>
      <c r="C493" s="1037"/>
      <c r="D493" s="1037"/>
      <c r="E493" s="1037"/>
      <c r="R493" s="1038"/>
      <c r="S493" s="1038"/>
      <c r="T493" s="1038"/>
      <c r="U493" s="1038"/>
      <c r="V493" s="1038"/>
      <c r="W493" s="1038"/>
      <c r="X493" s="1038"/>
      <c r="Y493" s="1038"/>
    </row>
    <row r="494" spans="1:25" x14ac:dyDescent="0.2">
      <c r="A494" s="1037"/>
      <c r="B494" s="1037"/>
      <c r="C494" s="1037"/>
      <c r="D494" s="1037"/>
      <c r="E494" s="1037"/>
      <c r="R494" s="1038"/>
      <c r="S494" s="1038"/>
      <c r="T494" s="1038"/>
      <c r="U494" s="1038"/>
      <c r="V494" s="1038"/>
      <c r="W494" s="1038"/>
      <c r="X494" s="1038"/>
      <c r="Y494" s="1038"/>
    </row>
    <row r="495" spans="1:25" x14ac:dyDescent="0.2">
      <c r="A495" s="1037"/>
      <c r="B495" s="1037"/>
      <c r="C495" s="1037"/>
      <c r="D495" s="1037"/>
      <c r="E495" s="1037"/>
      <c r="R495" s="1038"/>
      <c r="S495" s="1038"/>
      <c r="T495" s="1038"/>
      <c r="U495" s="1038"/>
      <c r="V495" s="1038"/>
      <c r="W495" s="1038"/>
      <c r="X495" s="1038"/>
      <c r="Y495" s="1038"/>
    </row>
    <row r="496" spans="1:25" x14ac:dyDescent="0.2">
      <c r="A496" s="1037"/>
      <c r="B496" s="1037"/>
      <c r="C496" s="1037"/>
      <c r="D496" s="1037"/>
      <c r="E496" s="1037"/>
      <c r="R496" s="1038"/>
      <c r="S496" s="1038"/>
      <c r="T496" s="1038"/>
      <c r="U496" s="1038"/>
      <c r="V496" s="1038"/>
      <c r="W496" s="1038"/>
      <c r="X496" s="1038"/>
      <c r="Y496" s="1038"/>
    </row>
    <row r="497" spans="1:25" x14ac:dyDescent="0.2">
      <c r="A497" s="1037"/>
      <c r="B497" s="1037"/>
      <c r="C497" s="1037"/>
      <c r="D497" s="1037"/>
      <c r="E497" s="1037"/>
      <c r="R497" s="1038"/>
      <c r="S497" s="1038"/>
      <c r="T497" s="1038"/>
      <c r="U497" s="1038"/>
      <c r="V497" s="1038"/>
      <c r="W497" s="1038"/>
      <c r="X497" s="1038"/>
      <c r="Y497" s="1038"/>
    </row>
    <row r="498" spans="1:25" x14ac:dyDescent="0.2">
      <c r="A498" s="1037"/>
      <c r="B498" s="1037"/>
      <c r="C498" s="1037"/>
      <c r="D498" s="1037"/>
      <c r="E498" s="1037"/>
      <c r="R498" s="1038"/>
      <c r="S498" s="1038"/>
      <c r="T498" s="1038"/>
      <c r="U498" s="1038"/>
      <c r="V498" s="1038"/>
      <c r="W498" s="1038"/>
      <c r="X498" s="1038"/>
      <c r="Y498" s="1038"/>
    </row>
    <row r="499" spans="1:25" x14ac:dyDescent="0.2">
      <c r="A499" s="1037"/>
      <c r="B499" s="1037"/>
      <c r="C499" s="1037"/>
      <c r="D499" s="1037"/>
      <c r="E499" s="1037"/>
      <c r="R499" s="1038"/>
      <c r="S499" s="1038"/>
      <c r="T499" s="1038"/>
      <c r="U499" s="1038"/>
      <c r="V499" s="1038"/>
      <c r="W499" s="1038"/>
      <c r="X499" s="1038"/>
      <c r="Y499" s="1038"/>
    </row>
    <row r="500" spans="1:25" x14ac:dyDescent="0.2">
      <c r="A500" s="1037"/>
      <c r="B500" s="1037"/>
      <c r="C500" s="1037"/>
      <c r="D500" s="1037"/>
      <c r="E500" s="1037"/>
      <c r="R500" s="1038"/>
      <c r="S500" s="1038"/>
      <c r="T500" s="1038"/>
      <c r="U500" s="1038"/>
      <c r="V500" s="1038"/>
      <c r="W500" s="1038"/>
      <c r="X500" s="1038"/>
      <c r="Y500" s="1038"/>
    </row>
    <row r="501" spans="1:25" x14ac:dyDescent="0.2">
      <c r="A501" s="1037"/>
      <c r="B501" s="1037"/>
      <c r="C501" s="1037"/>
      <c r="D501" s="1037"/>
      <c r="E501" s="1037"/>
      <c r="R501" s="1038"/>
      <c r="S501" s="1038"/>
      <c r="T501" s="1038"/>
      <c r="U501" s="1038"/>
      <c r="V501" s="1038"/>
      <c r="W501" s="1038"/>
      <c r="X501" s="1038"/>
      <c r="Y501" s="1038"/>
    </row>
    <row r="502" spans="1:25" x14ac:dyDescent="0.2">
      <c r="A502" s="1037"/>
      <c r="B502" s="1037"/>
      <c r="C502" s="1037"/>
      <c r="D502" s="1037"/>
      <c r="E502" s="1037"/>
      <c r="R502" s="1038"/>
      <c r="S502" s="1038"/>
      <c r="T502" s="1038"/>
      <c r="U502" s="1038"/>
      <c r="V502" s="1038"/>
      <c r="W502" s="1038"/>
      <c r="X502" s="1038"/>
      <c r="Y502" s="1038"/>
    </row>
    <row r="503" spans="1:25" x14ac:dyDescent="0.2">
      <c r="A503" s="1037"/>
      <c r="B503" s="1037"/>
      <c r="C503" s="1037"/>
      <c r="D503" s="1037"/>
      <c r="E503" s="1037"/>
      <c r="R503" s="1038"/>
      <c r="S503" s="1038"/>
      <c r="T503" s="1038"/>
      <c r="U503" s="1038"/>
      <c r="V503" s="1038"/>
      <c r="W503" s="1038"/>
      <c r="X503" s="1038"/>
      <c r="Y503" s="1038"/>
    </row>
    <row r="504" spans="1:25" x14ac:dyDescent="0.2">
      <c r="A504" s="1037"/>
      <c r="B504" s="1037"/>
      <c r="C504" s="1037"/>
      <c r="D504" s="1037"/>
      <c r="E504" s="1037"/>
      <c r="R504" s="1038"/>
      <c r="S504" s="1038"/>
      <c r="T504" s="1038"/>
      <c r="U504" s="1038"/>
      <c r="V504" s="1038"/>
      <c r="W504" s="1038"/>
      <c r="X504" s="1038"/>
      <c r="Y504" s="1038"/>
    </row>
    <row r="505" spans="1:25" x14ac:dyDescent="0.2">
      <c r="A505" s="1037"/>
      <c r="B505" s="1037"/>
      <c r="C505" s="1037"/>
      <c r="D505" s="1037"/>
      <c r="E505" s="1037"/>
      <c r="R505" s="1038"/>
      <c r="S505" s="1038"/>
      <c r="T505" s="1038"/>
      <c r="U505" s="1038"/>
      <c r="V505" s="1038"/>
      <c r="W505" s="1038"/>
      <c r="X505" s="1038"/>
      <c r="Y505" s="1038"/>
    </row>
    <row r="506" spans="1:25" x14ac:dyDescent="0.2">
      <c r="A506" s="1037"/>
      <c r="B506" s="1037"/>
      <c r="C506" s="1037"/>
      <c r="D506" s="1037"/>
      <c r="E506" s="1037"/>
      <c r="R506" s="1038"/>
      <c r="S506" s="1038"/>
      <c r="T506" s="1038"/>
      <c r="U506" s="1038"/>
      <c r="V506" s="1038"/>
      <c r="W506" s="1038"/>
      <c r="X506" s="1038"/>
      <c r="Y506" s="1038"/>
    </row>
    <row r="507" spans="1:25" x14ac:dyDescent="0.2">
      <c r="A507" s="1037"/>
      <c r="B507" s="1037"/>
      <c r="C507" s="1037"/>
      <c r="D507" s="1037"/>
      <c r="E507" s="1037"/>
      <c r="R507" s="1038"/>
      <c r="S507" s="1038"/>
      <c r="T507" s="1038"/>
      <c r="U507" s="1038"/>
      <c r="V507" s="1038"/>
      <c r="W507" s="1038"/>
      <c r="X507" s="1038"/>
      <c r="Y507" s="1038"/>
    </row>
    <row r="508" spans="1:25" x14ac:dyDescent="0.2">
      <c r="A508" s="1037"/>
      <c r="B508" s="1037"/>
      <c r="C508" s="1037"/>
      <c r="D508" s="1037"/>
      <c r="E508" s="1037"/>
      <c r="R508" s="1038"/>
      <c r="S508" s="1038"/>
      <c r="T508" s="1038"/>
      <c r="U508" s="1038"/>
      <c r="V508" s="1038"/>
      <c r="W508" s="1038"/>
      <c r="X508" s="1038"/>
      <c r="Y508" s="1038"/>
    </row>
    <row r="509" spans="1:25" x14ac:dyDescent="0.2">
      <c r="A509" s="1037"/>
      <c r="B509" s="1037"/>
      <c r="C509" s="1037"/>
      <c r="D509" s="1037"/>
      <c r="E509" s="1037"/>
      <c r="R509" s="1038"/>
      <c r="S509" s="1038"/>
      <c r="T509" s="1038"/>
      <c r="U509" s="1038"/>
      <c r="V509" s="1038"/>
      <c r="W509" s="1038"/>
      <c r="X509" s="1038"/>
      <c r="Y509" s="1038"/>
    </row>
    <row r="510" spans="1:25" x14ac:dyDescent="0.2">
      <c r="A510" s="1037"/>
      <c r="B510" s="1037"/>
      <c r="C510" s="1037"/>
      <c r="D510" s="1037"/>
      <c r="E510" s="1037"/>
      <c r="R510" s="1038"/>
      <c r="S510" s="1038"/>
      <c r="T510" s="1038"/>
      <c r="U510" s="1038"/>
      <c r="V510" s="1038"/>
      <c r="W510" s="1038"/>
      <c r="X510" s="1038"/>
      <c r="Y510" s="1038"/>
    </row>
    <row r="511" spans="1:25" x14ac:dyDescent="0.2">
      <c r="A511" s="1037"/>
      <c r="B511" s="1037"/>
      <c r="C511" s="1037"/>
      <c r="D511" s="1037"/>
      <c r="E511" s="1037"/>
      <c r="R511" s="1038"/>
      <c r="S511" s="1038"/>
      <c r="T511" s="1038"/>
      <c r="U511" s="1038"/>
      <c r="V511" s="1038"/>
      <c r="W511" s="1038"/>
      <c r="X511" s="1038"/>
      <c r="Y511" s="1038"/>
    </row>
    <row r="512" spans="1:25" x14ac:dyDescent="0.2">
      <c r="A512" s="1037"/>
      <c r="B512" s="1037"/>
      <c r="C512" s="1037"/>
      <c r="D512" s="1037"/>
      <c r="E512" s="1037"/>
      <c r="R512" s="1038"/>
      <c r="S512" s="1038"/>
      <c r="T512" s="1038"/>
      <c r="U512" s="1038"/>
      <c r="V512" s="1038"/>
      <c r="W512" s="1038"/>
      <c r="X512" s="1038"/>
      <c r="Y512" s="1038"/>
    </row>
    <row r="513" spans="1:25" x14ac:dyDescent="0.2">
      <c r="A513" s="1037"/>
      <c r="B513" s="1037"/>
      <c r="C513" s="1037"/>
      <c r="D513" s="1037"/>
      <c r="E513" s="1037"/>
      <c r="R513" s="1038"/>
      <c r="S513" s="1038"/>
      <c r="T513" s="1038"/>
      <c r="U513" s="1038"/>
      <c r="V513" s="1038"/>
      <c r="W513" s="1038"/>
      <c r="X513" s="1038"/>
      <c r="Y513" s="1038"/>
    </row>
    <row r="514" spans="1:25" x14ac:dyDescent="0.2">
      <c r="A514" s="1037"/>
      <c r="B514" s="1037"/>
      <c r="C514" s="1037"/>
      <c r="D514" s="1037"/>
      <c r="E514" s="1037"/>
      <c r="R514" s="1038"/>
      <c r="S514" s="1038"/>
      <c r="T514" s="1038"/>
      <c r="U514" s="1038"/>
      <c r="V514" s="1038"/>
      <c r="W514" s="1038"/>
      <c r="X514" s="1038"/>
      <c r="Y514" s="1038"/>
    </row>
    <row r="515" spans="1:25" x14ac:dyDescent="0.2">
      <c r="A515" s="1037"/>
      <c r="B515" s="1037"/>
      <c r="C515" s="1037"/>
      <c r="D515" s="1037"/>
      <c r="E515" s="1037"/>
      <c r="R515" s="1038"/>
      <c r="S515" s="1038"/>
      <c r="T515" s="1038"/>
      <c r="U515" s="1038"/>
      <c r="V515" s="1038"/>
      <c r="W515" s="1038"/>
      <c r="X515" s="1038"/>
      <c r="Y515" s="1038"/>
    </row>
    <row r="516" spans="1:25" x14ac:dyDescent="0.2">
      <c r="A516" s="1037"/>
      <c r="B516" s="1037"/>
      <c r="C516" s="1037"/>
      <c r="D516" s="1037"/>
      <c r="E516" s="1037"/>
      <c r="R516" s="1038"/>
      <c r="S516" s="1038"/>
      <c r="T516" s="1038"/>
      <c r="U516" s="1038"/>
      <c r="V516" s="1038"/>
      <c r="W516" s="1038"/>
      <c r="X516" s="1038"/>
      <c r="Y516" s="1038"/>
    </row>
    <row r="517" spans="1:25" x14ac:dyDescent="0.2">
      <c r="A517" s="1037"/>
      <c r="B517" s="1037"/>
      <c r="C517" s="1037"/>
      <c r="D517" s="1037"/>
      <c r="E517" s="1037"/>
      <c r="R517" s="1038"/>
      <c r="S517" s="1038"/>
      <c r="T517" s="1038"/>
      <c r="U517" s="1038"/>
      <c r="V517" s="1038"/>
      <c r="W517" s="1038"/>
      <c r="X517" s="1038"/>
      <c r="Y517" s="1038"/>
    </row>
    <row r="518" spans="1:25" x14ac:dyDescent="0.2">
      <c r="A518" s="1037"/>
      <c r="B518" s="1037"/>
      <c r="C518" s="1037"/>
      <c r="D518" s="1037"/>
      <c r="E518" s="1037"/>
      <c r="R518" s="1038"/>
      <c r="S518" s="1038"/>
      <c r="T518" s="1038"/>
      <c r="U518" s="1038"/>
      <c r="V518" s="1038"/>
      <c r="W518" s="1038"/>
      <c r="X518" s="1038"/>
      <c r="Y518" s="1038"/>
    </row>
    <row r="519" spans="1:25" x14ac:dyDescent="0.2">
      <c r="A519" s="1037"/>
      <c r="B519" s="1037"/>
      <c r="C519" s="1037"/>
      <c r="D519" s="1037"/>
      <c r="E519" s="1037"/>
      <c r="R519" s="1038"/>
      <c r="S519" s="1038"/>
      <c r="T519" s="1038"/>
      <c r="U519" s="1038"/>
      <c r="V519" s="1038"/>
      <c r="W519" s="1038"/>
      <c r="X519" s="1038"/>
      <c r="Y519" s="1038"/>
    </row>
    <row r="520" spans="1:25" x14ac:dyDescent="0.2">
      <c r="A520" s="1037"/>
      <c r="B520" s="1037"/>
      <c r="C520" s="1037"/>
      <c r="D520" s="1037"/>
      <c r="E520" s="1037"/>
      <c r="R520" s="1038"/>
      <c r="S520" s="1038"/>
      <c r="T520" s="1038"/>
      <c r="U520" s="1038"/>
      <c r="V520" s="1038"/>
      <c r="W520" s="1038"/>
      <c r="X520" s="1038"/>
      <c r="Y520" s="1038"/>
    </row>
    <row r="521" spans="1:25" x14ac:dyDescent="0.2">
      <c r="A521" s="1037"/>
      <c r="B521" s="1037"/>
      <c r="C521" s="1037"/>
      <c r="D521" s="1037"/>
      <c r="E521" s="1037"/>
      <c r="R521" s="1038"/>
      <c r="S521" s="1038"/>
      <c r="T521" s="1038"/>
      <c r="U521" s="1038"/>
      <c r="V521" s="1038"/>
      <c r="W521" s="1038"/>
      <c r="X521" s="1038"/>
      <c r="Y521" s="1038"/>
    </row>
    <row r="522" spans="1:25" x14ac:dyDescent="0.2">
      <c r="A522" s="1037"/>
      <c r="B522" s="1037"/>
      <c r="C522" s="1037"/>
      <c r="D522" s="1037"/>
      <c r="E522" s="1037"/>
      <c r="R522" s="1038"/>
      <c r="S522" s="1038"/>
      <c r="T522" s="1038"/>
      <c r="U522" s="1038"/>
      <c r="V522" s="1038"/>
      <c r="W522" s="1038"/>
      <c r="X522" s="1038"/>
      <c r="Y522" s="1038"/>
    </row>
    <row r="523" spans="1:25" x14ac:dyDescent="0.2">
      <c r="A523" s="1037"/>
      <c r="B523" s="1037"/>
      <c r="C523" s="1037"/>
      <c r="D523" s="1037"/>
      <c r="E523" s="1037"/>
      <c r="R523" s="1038"/>
      <c r="S523" s="1038"/>
      <c r="T523" s="1038"/>
      <c r="U523" s="1038"/>
      <c r="V523" s="1038"/>
      <c r="W523" s="1038"/>
      <c r="X523" s="1038"/>
      <c r="Y523" s="1038"/>
    </row>
    <row r="524" spans="1:25" x14ac:dyDescent="0.2">
      <c r="A524" s="1037"/>
      <c r="B524" s="1037"/>
      <c r="C524" s="1037"/>
      <c r="D524" s="1037"/>
      <c r="E524" s="1037"/>
      <c r="R524" s="1038"/>
      <c r="S524" s="1038"/>
      <c r="T524" s="1038"/>
      <c r="U524" s="1038"/>
      <c r="V524" s="1038"/>
      <c r="W524" s="1038"/>
      <c r="X524" s="1038"/>
      <c r="Y524" s="1038"/>
    </row>
    <row r="525" spans="1:25" x14ac:dyDescent="0.2">
      <c r="A525" s="1037"/>
      <c r="B525" s="1037"/>
      <c r="C525" s="1037"/>
      <c r="D525" s="1037"/>
      <c r="E525" s="1037"/>
      <c r="R525" s="1038"/>
      <c r="S525" s="1038"/>
      <c r="T525" s="1038"/>
      <c r="U525" s="1038"/>
      <c r="V525" s="1038"/>
      <c r="W525" s="1038"/>
      <c r="X525" s="1038"/>
      <c r="Y525" s="1038"/>
    </row>
    <row r="526" spans="1:25" x14ac:dyDescent="0.2">
      <c r="A526" s="1037"/>
      <c r="B526" s="1037"/>
      <c r="C526" s="1037"/>
      <c r="D526" s="1037"/>
      <c r="E526" s="1037"/>
      <c r="R526" s="1038"/>
      <c r="S526" s="1038"/>
      <c r="T526" s="1038"/>
      <c r="U526" s="1038"/>
      <c r="V526" s="1038"/>
      <c r="W526" s="1038"/>
      <c r="X526" s="1038"/>
      <c r="Y526" s="1038"/>
    </row>
    <row r="527" spans="1:25" x14ac:dyDescent="0.2">
      <c r="A527" s="1037"/>
      <c r="B527" s="1037"/>
      <c r="C527" s="1037"/>
      <c r="D527" s="1037"/>
      <c r="E527" s="1037"/>
      <c r="R527" s="1038"/>
      <c r="S527" s="1038"/>
      <c r="T527" s="1038"/>
      <c r="U527" s="1038"/>
      <c r="V527" s="1038"/>
      <c r="W527" s="1038"/>
      <c r="X527" s="1038"/>
      <c r="Y527" s="1038"/>
    </row>
    <row r="528" spans="1:25" x14ac:dyDescent="0.2">
      <c r="A528" s="1037"/>
      <c r="B528" s="1037"/>
      <c r="C528" s="1037"/>
      <c r="D528" s="1037"/>
      <c r="E528" s="1037"/>
      <c r="R528" s="1038"/>
      <c r="S528" s="1038"/>
      <c r="T528" s="1038"/>
      <c r="U528" s="1038"/>
      <c r="V528" s="1038"/>
      <c r="W528" s="1038"/>
      <c r="X528" s="1038"/>
      <c r="Y528" s="1038"/>
    </row>
    <row r="529" spans="1:25" x14ac:dyDescent="0.2">
      <c r="A529" s="1037"/>
      <c r="B529" s="1037"/>
      <c r="C529" s="1037"/>
      <c r="D529" s="1037"/>
      <c r="E529" s="1037"/>
      <c r="R529" s="1038"/>
      <c r="S529" s="1038"/>
      <c r="T529" s="1038"/>
      <c r="U529" s="1038"/>
      <c r="V529" s="1038"/>
      <c r="W529" s="1038"/>
      <c r="X529" s="1038"/>
      <c r="Y529" s="1038"/>
    </row>
    <row r="530" spans="1:25" x14ac:dyDescent="0.2">
      <c r="A530" s="1037"/>
      <c r="B530" s="1037"/>
      <c r="C530" s="1037"/>
      <c r="D530" s="1037"/>
      <c r="E530" s="1037"/>
      <c r="R530" s="1038"/>
      <c r="S530" s="1038"/>
      <c r="T530" s="1038"/>
      <c r="U530" s="1038"/>
      <c r="V530" s="1038"/>
      <c r="W530" s="1038"/>
      <c r="X530" s="1038"/>
      <c r="Y530" s="1038"/>
    </row>
    <row r="531" spans="1:25" x14ac:dyDescent="0.2">
      <c r="A531" s="1037"/>
      <c r="B531" s="1037"/>
      <c r="C531" s="1037"/>
      <c r="D531" s="1037"/>
      <c r="E531" s="1037"/>
      <c r="R531" s="1038"/>
      <c r="S531" s="1038"/>
      <c r="T531" s="1038"/>
      <c r="U531" s="1038"/>
      <c r="V531" s="1038"/>
      <c r="W531" s="1038"/>
      <c r="X531" s="1038"/>
      <c r="Y531" s="1038"/>
    </row>
    <row r="532" spans="1:25" x14ac:dyDescent="0.2">
      <c r="A532" s="1037"/>
      <c r="B532" s="1037"/>
      <c r="C532" s="1037"/>
      <c r="D532" s="1037"/>
      <c r="E532" s="1037"/>
      <c r="R532" s="1038"/>
      <c r="S532" s="1038"/>
      <c r="T532" s="1038"/>
      <c r="U532" s="1038"/>
      <c r="V532" s="1038"/>
      <c r="W532" s="1038"/>
      <c r="X532" s="1038"/>
      <c r="Y532" s="1038"/>
    </row>
    <row r="533" spans="1:25" x14ac:dyDescent="0.2">
      <c r="A533" s="1037"/>
      <c r="B533" s="1037"/>
      <c r="C533" s="1037"/>
      <c r="D533" s="1037"/>
      <c r="E533" s="1037"/>
      <c r="R533" s="1038"/>
      <c r="S533" s="1038"/>
      <c r="T533" s="1038"/>
      <c r="U533" s="1038"/>
      <c r="V533" s="1038"/>
      <c r="W533" s="1038"/>
      <c r="X533" s="1038"/>
      <c r="Y533" s="1038"/>
    </row>
    <row r="534" spans="1:25" x14ac:dyDescent="0.2">
      <c r="A534" s="1037"/>
      <c r="B534" s="1037"/>
      <c r="C534" s="1037"/>
      <c r="D534" s="1037"/>
      <c r="E534" s="1037"/>
      <c r="R534" s="1038"/>
      <c r="S534" s="1038"/>
      <c r="T534" s="1038"/>
      <c r="U534" s="1038"/>
      <c r="V534" s="1038"/>
      <c r="W534" s="1038"/>
      <c r="X534" s="1038"/>
      <c r="Y534" s="1038"/>
    </row>
    <row r="535" spans="1:25" x14ac:dyDescent="0.2">
      <c r="A535" s="1037"/>
      <c r="B535" s="1037"/>
      <c r="C535" s="1037"/>
      <c r="D535" s="1037"/>
      <c r="E535" s="1037"/>
      <c r="R535" s="1038"/>
      <c r="S535" s="1038"/>
      <c r="T535" s="1038"/>
      <c r="U535" s="1038"/>
      <c r="V535" s="1038"/>
      <c r="W535" s="1038"/>
      <c r="X535" s="1038"/>
      <c r="Y535" s="1038"/>
    </row>
    <row r="536" spans="1:25" x14ac:dyDescent="0.2">
      <c r="A536" s="1037"/>
      <c r="B536" s="1037"/>
      <c r="C536" s="1037"/>
      <c r="D536" s="1037"/>
      <c r="E536" s="1037"/>
      <c r="R536" s="1038"/>
      <c r="S536" s="1038"/>
      <c r="T536" s="1038"/>
      <c r="U536" s="1038"/>
      <c r="V536" s="1038"/>
      <c r="W536" s="1038"/>
      <c r="X536" s="1038"/>
      <c r="Y536" s="1038"/>
    </row>
    <row r="537" spans="1:25" x14ac:dyDescent="0.2">
      <c r="A537" s="1037"/>
      <c r="B537" s="1037"/>
      <c r="C537" s="1037"/>
      <c r="D537" s="1037"/>
      <c r="E537" s="1037"/>
      <c r="R537" s="1038"/>
      <c r="S537" s="1038"/>
      <c r="T537" s="1038"/>
      <c r="U537" s="1038"/>
      <c r="V537" s="1038"/>
      <c r="W537" s="1038"/>
      <c r="X537" s="1038"/>
      <c r="Y537" s="1038"/>
    </row>
    <row r="538" spans="1:25" x14ac:dyDescent="0.2">
      <c r="A538" s="1037"/>
      <c r="B538" s="1037"/>
      <c r="C538" s="1037"/>
      <c r="D538" s="1037"/>
      <c r="E538" s="1037"/>
      <c r="R538" s="1038"/>
      <c r="S538" s="1038"/>
      <c r="T538" s="1038"/>
      <c r="U538" s="1038"/>
      <c r="V538" s="1038"/>
      <c r="W538" s="1038"/>
      <c r="X538" s="1038"/>
      <c r="Y538" s="1038"/>
    </row>
    <row r="539" spans="1:25" x14ac:dyDescent="0.2">
      <c r="A539" s="1037"/>
      <c r="B539" s="1037"/>
      <c r="C539" s="1037"/>
      <c r="D539" s="1037"/>
      <c r="E539" s="1037"/>
      <c r="R539" s="1038"/>
      <c r="S539" s="1038"/>
      <c r="T539" s="1038"/>
      <c r="U539" s="1038"/>
      <c r="V539" s="1038"/>
      <c r="W539" s="1038"/>
      <c r="X539" s="1038"/>
      <c r="Y539" s="1038"/>
    </row>
    <row r="540" spans="1:25" x14ac:dyDescent="0.2">
      <c r="A540" s="1037"/>
      <c r="B540" s="1037"/>
      <c r="C540" s="1037"/>
      <c r="D540" s="1037"/>
      <c r="E540" s="1037"/>
      <c r="R540" s="1038"/>
      <c r="S540" s="1038"/>
      <c r="T540" s="1038"/>
      <c r="U540" s="1038"/>
      <c r="V540" s="1038"/>
      <c r="W540" s="1038"/>
      <c r="X540" s="1038"/>
      <c r="Y540" s="1038"/>
    </row>
    <row r="541" spans="1:25" x14ac:dyDescent="0.2">
      <c r="A541" s="1037"/>
      <c r="B541" s="1037"/>
      <c r="C541" s="1037"/>
      <c r="D541" s="1037"/>
      <c r="E541" s="1037"/>
      <c r="R541" s="1038"/>
      <c r="S541" s="1038"/>
      <c r="T541" s="1038"/>
      <c r="U541" s="1038"/>
      <c r="V541" s="1038"/>
      <c r="W541" s="1038"/>
      <c r="X541" s="1038"/>
      <c r="Y541" s="1038"/>
    </row>
    <row r="542" spans="1:25" x14ac:dyDescent="0.2">
      <c r="A542" s="1037"/>
      <c r="B542" s="1037"/>
      <c r="C542" s="1037"/>
      <c r="D542" s="1037"/>
      <c r="E542" s="1037"/>
      <c r="R542" s="1038"/>
      <c r="S542" s="1038"/>
      <c r="T542" s="1038"/>
      <c r="U542" s="1038"/>
      <c r="V542" s="1038"/>
      <c r="W542" s="1038"/>
      <c r="X542" s="1038"/>
      <c r="Y542" s="1038"/>
    </row>
    <row r="543" spans="1:25" x14ac:dyDescent="0.2">
      <c r="A543" s="1037"/>
      <c r="B543" s="1037"/>
      <c r="C543" s="1037"/>
      <c r="D543" s="1037"/>
      <c r="E543" s="1037"/>
      <c r="R543" s="1038"/>
      <c r="S543" s="1038"/>
      <c r="T543" s="1038"/>
      <c r="U543" s="1038"/>
      <c r="V543" s="1038"/>
      <c r="W543" s="1038"/>
      <c r="X543" s="1038"/>
      <c r="Y543" s="1038"/>
    </row>
    <row r="544" spans="1:25" x14ac:dyDescent="0.2">
      <c r="A544" s="1037"/>
      <c r="B544" s="1037"/>
      <c r="C544" s="1037"/>
      <c r="D544" s="1037"/>
      <c r="E544" s="1037"/>
      <c r="R544" s="1038"/>
      <c r="S544" s="1038"/>
      <c r="T544" s="1038"/>
      <c r="U544" s="1038"/>
      <c r="V544" s="1038"/>
      <c r="W544" s="1038"/>
      <c r="X544" s="1038"/>
      <c r="Y544" s="1038"/>
    </row>
    <row r="545" spans="1:25" x14ac:dyDescent="0.2">
      <c r="A545" s="1037"/>
      <c r="B545" s="1037"/>
      <c r="C545" s="1037"/>
      <c r="D545" s="1037"/>
      <c r="E545" s="1037"/>
      <c r="R545" s="1038"/>
      <c r="S545" s="1038"/>
      <c r="T545" s="1038"/>
      <c r="U545" s="1038"/>
      <c r="V545" s="1038"/>
      <c r="W545" s="1038"/>
      <c r="X545" s="1038"/>
      <c r="Y545" s="1038"/>
    </row>
    <row r="546" spans="1:25" x14ac:dyDescent="0.2">
      <c r="A546" s="1037"/>
      <c r="B546" s="1037"/>
      <c r="C546" s="1037"/>
      <c r="D546" s="1037"/>
      <c r="E546" s="1037"/>
      <c r="R546" s="1038"/>
      <c r="S546" s="1038"/>
      <c r="T546" s="1038"/>
      <c r="U546" s="1038"/>
      <c r="V546" s="1038"/>
      <c r="W546" s="1038"/>
      <c r="X546" s="1038"/>
      <c r="Y546" s="1038"/>
    </row>
    <row r="547" spans="1:25" x14ac:dyDescent="0.2">
      <c r="A547" s="1037"/>
      <c r="B547" s="1037"/>
      <c r="C547" s="1037"/>
      <c r="D547" s="1037"/>
      <c r="E547" s="1037"/>
      <c r="R547" s="1038"/>
      <c r="S547" s="1038"/>
      <c r="T547" s="1038"/>
      <c r="U547" s="1038"/>
      <c r="V547" s="1038"/>
      <c r="W547" s="1038"/>
      <c r="X547" s="1038"/>
      <c r="Y547" s="1038"/>
    </row>
    <row r="548" spans="1:25" x14ac:dyDescent="0.2">
      <c r="A548" s="1037"/>
      <c r="B548" s="1037"/>
      <c r="C548" s="1037"/>
      <c r="D548" s="1037"/>
      <c r="E548" s="1037"/>
      <c r="R548" s="1038"/>
      <c r="S548" s="1038"/>
      <c r="T548" s="1038"/>
      <c r="U548" s="1038"/>
      <c r="V548" s="1038"/>
      <c r="W548" s="1038"/>
      <c r="X548" s="1038"/>
      <c r="Y548" s="1038"/>
    </row>
    <row r="549" spans="1:25" x14ac:dyDescent="0.2">
      <c r="A549" s="1037"/>
      <c r="B549" s="1037"/>
      <c r="C549" s="1037"/>
      <c r="D549" s="1037"/>
      <c r="E549" s="1037"/>
      <c r="R549" s="1038"/>
      <c r="S549" s="1038"/>
      <c r="T549" s="1038"/>
      <c r="U549" s="1038"/>
      <c r="V549" s="1038"/>
      <c r="W549" s="1038"/>
      <c r="X549" s="1038"/>
      <c r="Y549" s="1038"/>
    </row>
    <row r="550" spans="1:25" x14ac:dyDescent="0.2">
      <c r="A550" s="1037"/>
      <c r="B550" s="1037"/>
      <c r="C550" s="1037"/>
      <c r="D550" s="1037"/>
      <c r="E550" s="1037"/>
      <c r="R550" s="1038"/>
      <c r="S550" s="1038"/>
      <c r="T550" s="1038"/>
      <c r="U550" s="1038"/>
      <c r="V550" s="1038"/>
      <c r="W550" s="1038"/>
      <c r="X550" s="1038"/>
      <c r="Y550" s="1038"/>
    </row>
    <row r="551" spans="1:25" x14ac:dyDescent="0.2">
      <c r="A551" s="1037"/>
      <c r="B551" s="1037"/>
      <c r="C551" s="1037"/>
      <c r="D551" s="1037"/>
      <c r="E551" s="1037"/>
      <c r="R551" s="1038"/>
      <c r="S551" s="1038"/>
      <c r="T551" s="1038"/>
      <c r="U551" s="1038"/>
      <c r="V551" s="1038"/>
      <c r="W551" s="1038"/>
      <c r="X551" s="1038"/>
      <c r="Y551" s="1038"/>
    </row>
    <row r="552" spans="1:25" x14ac:dyDescent="0.2">
      <c r="A552" s="1037"/>
      <c r="B552" s="1037"/>
      <c r="C552" s="1037"/>
      <c r="D552" s="1037"/>
      <c r="E552" s="1037"/>
      <c r="R552" s="1038"/>
      <c r="S552" s="1038"/>
      <c r="T552" s="1038"/>
      <c r="U552" s="1038"/>
      <c r="V552" s="1038"/>
      <c r="W552" s="1038"/>
      <c r="X552" s="1038"/>
      <c r="Y552" s="1038"/>
    </row>
    <row r="553" spans="1:25" x14ac:dyDescent="0.2">
      <c r="A553" s="1037"/>
      <c r="B553" s="1037"/>
      <c r="C553" s="1037"/>
      <c r="D553" s="1037"/>
      <c r="E553" s="1037"/>
      <c r="R553" s="1038"/>
      <c r="S553" s="1038"/>
      <c r="T553" s="1038"/>
      <c r="U553" s="1038"/>
      <c r="V553" s="1038"/>
      <c r="W553" s="1038"/>
      <c r="X553" s="1038"/>
      <c r="Y553" s="1038"/>
    </row>
    <row r="554" spans="1:25" x14ac:dyDescent="0.2">
      <c r="A554" s="1037"/>
      <c r="B554" s="1037"/>
      <c r="C554" s="1037"/>
      <c r="D554" s="1037"/>
      <c r="E554" s="1037"/>
      <c r="R554" s="1038"/>
      <c r="S554" s="1038"/>
      <c r="T554" s="1038"/>
      <c r="U554" s="1038"/>
      <c r="V554" s="1038"/>
      <c r="W554" s="1038"/>
      <c r="X554" s="1038"/>
      <c r="Y554" s="1038"/>
    </row>
    <row r="555" spans="1:25" x14ac:dyDescent="0.2">
      <c r="A555" s="1037"/>
      <c r="B555" s="1037"/>
      <c r="C555" s="1037"/>
      <c r="D555" s="1037"/>
      <c r="E555" s="1037"/>
      <c r="R555" s="1038"/>
      <c r="S555" s="1038"/>
      <c r="T555" s="1038"/>
      <c r="U555" s="1038"/>
      <c r="V555" s="1038"/>
      <c r="W555" s="1038"/>
      <c r="X555" s="1038"/>
      <c r="Y555" s="1038"/>
    </row>
    <row r="556" spans="1:25" x14ac:dyDescent="0.2">
      <c r="A556" s="1037"/>
      <c r="B556" s="1037"/>
      <c r="C556" s="1037"/>
      <c r="D556" s="1037"/>
      <c r="E556" s="1037"/>
      <c r="R556" s="1038"/>
      <c r="S556" s="1038"/>
      <c r="T556" s="1038"/>
      <c r="U556" s="1038"/>
      <c r="V556" s="1038"/>
      <c r="W556" s="1038"/>
      <c r="X556" s="1038"/>
      <c r="Y556" s="1038"/>
    </row>
    <row r="557" spans="1:25" x14ac:dyDescent="0.2">
      <c r="A557" s="1037"/>
      <c r="B557" s="1037"/>
      <c r="C557" s="1037"/>
      <c r="D557" s="1037"/>
      <c r="E557" s="1037"/>
      <c r="R557" s="1038"/>
      <c r="S557" s="1038"/>
      <c r="T557" s="1038"/>
      <c r="U557" s="1038"/>
      <c r="V557" s="1038"/>
      <c r="W557" s="1038"/>
      <c r="X557" s="1038"/>
      <c r="Y557" s="1038"/>
    </row>
    <row r="558" spans="1:25" x14ac:dyDescent="0.2">
      <c r="A558" s="1037"/>
      <c r="B558" s="1037"/>
      <c r="C558" s="1037"/>
      <c r="D558" s="1037"/>
      <c r="E558" s="1037"/>
      <c r="R558" s="1038"/>
      <c r="S558" s="1038"/>
      <c r="T558" s="1038"/>
      <c r="U558" s="1038"/>
      <c r="V558" s="1038"/>
      <c r="W558" s="1038"/>
      <c r="X558" s="1038"/>
      <c r="Y558" s="1038"/>
    </row>
    <row r="559" spans="1:25" x14ac:dyDescent="0.2">
      <c r="A559" s="1037"/>
      <c r="B559" s="1037"/>
      <c r="C559" s="1037"/>
      <c r="D559" s="1037"/>
      <c r="E559" s="1037"/>
      <c r="R559" s="1038"/>
      <c r="S559" s="1038"/>
      <c r="T559" s="1038"/>
      <c r="U559" s="1038"/>
      <c r="V559" s="1038"/>
      <c r="W559" s="1038"/>
      <c r="X559" s="1038"/>
      <c r="Y559" s="1038"/>
    </row>
    <row r="560" spans="1:25" x14ac:dyDescent="0.2">
      <c r="A560" s="1037"/>
      <c r="B560" s="1037"/>
      <c r="C560" s="1037"/>
      <c r="D560" s="1037"/>
      <c r="E560" s="1037"/>
      <c r="R560" s="1038"/>
      <c r="S560" s="1038"/>
      <c r="T560" s="1038"/>
      <c r="U560" s="1038"/>
      <c r="V560" s="1038"/>
      <c r="W560" s="1038"/>
      <c r="X560" s="1038"/>
      <c r="Y560" s="1038"/>
    </row>
    <row r="561" spans="1:25" x14ac:dyDescent="0.2">
      <c r="A561" s="1037"/>
      <c r="B561" s="1037"/>
      <c r="C561" s="1037"/>
      <c r="D561" s="1037"/>
      <c r="E561" s="1037"/>
      <c r="R561" s="1038"/>
      <c r="S561" s="1038"/>
      <c r="T561" s="1038"/>
      <c r="U561" s="1038"/>
      <c r="V561" s="1038"/>
      <c r="W561" s="1038"/>
      <c r="X561" s="1038"/>
      <c r="Y561" s="1038"/>
    </row>
    <row r="562" spans="1:25" x14ac:dyDescent="0.2">
      <c r="A562" s="1037"/>
      <c r="B562" s="1037"/>
      <c r="C562" s="1037"/>
      <c r="D562" s="1037"/>
      <c r="E562" s="1037"/>
      <c r="R562" s="1038"/>
      <c r="S562" s="1038"/>
      <c r="T562" s="1038"/>
      <c r="U562" s="1038"/>
      <c r="V562" s="1038"/>
      <c r="W562" s="1038"/>
      <c r="X562" s="1038"/>
      <c r="Y562" s="1038"/>
    </row>
    <row r="563" spans="1:25" x14ac:dyDescent="0.2">
      <c r="A563" s="1037"/>
      <c r="B563" s="1037"/>
      <c r="C563" s="1037"/>
      <c r="D563" s="1037"/>
      <c r="E563" s="1037"/>
      <c r="R563" s="1038"/>
      <c r="S563" s="1038"/>
      <c r="T563" s="1038"/>
      <c r="U563" s="1038"/>
      <c r="V563" s="1038"/>
      <c r="W563" s="1038"/>
      <c r="X563" s="1038"/>
      <c r="Y563" s="1038"/>
    </row>
    <row r="564" spans="1:25" x14ac:dyDescent="0.2">
      <c r="A564" s="1037"/>
      <c r="B564" s="1037"/>
      <c r="C564" s="1037"/>
      <c r="D564" s="1037"/>
      <c r="E564" s="1037"/>
      <c r="R564" s="1038"/>
      <c r="S564" s="1038"/>
      <c r="T564" s="1038"/>
      <c r="U564" s="1038"/>
      <c r="V564" s="1038"/>
      <c r="W564" s="1038"/>
      <c r="X564" s="1038"/>
      <c r="Y564" s="1038"/>
    </row>
    <row r="565" spans="1:25" x14ac:dyDescent="0.2">
      <c r="A565" s="1037"/>
      <c r="B565" s="1037"/>
      <c r="C565" s="1037"/>
      <c r="D565" s="1037"/>
      <c r="E565" s="1037"/>
      <c r="R565" s="1038"/>
      <c r="S565" s="1038"/>
      <c r="T565" s="1038"/>
      <c r="U565" s="1038"/>
      <c r="V565" s="1038"/>
      <c r="W565" s="1038"/>
      <c r="X565" s="1038"/>
      <c r="Y565" s="1038"/>
    </row>
    <row r="566" spans="1:25" x14ac:dyDescent="0.2">
      <c r="A566" s="1037"/>
      <c r="B566" s="1037"/>
      <c r="C566" s="1037"/>
      <c r="D566" s="1037"/>
      <c r="E566" s="1037"/>
      <c r="R566" s="1038"/>
      <c r="S566" s="1038"/>
      <c r="T566" s="1038"/>
      <c r="U566" s="1038"/>
      <c r="V566" s="1038"/>
      <c r="W566" s="1038"/>
      <c r="X566" s="1038"/>
      <c r="Y566" s="1038"/>
    </row>
    <row r="567" spans="1:25" x14ac:dyDescent="0.2">
      <c r="A567" s="1037"/>
      <c r="B567" s="1037"/>
      <c r="C567" s="1037"/>
      <c r="D567" s="1037"/>
      <c r="E567" s="1037"/>
      <c r="R567" s="1038"/>
      <c r="S567" s="1038"/>
      <c r="T567" s="1038"/>
      <c r="U567" s="1038"/>
      <c r="V567" s="1038"/>
      <c r="W567" s="1038"/>
      <c r="X567" s="1038"/>
      <c r="Y567" s="1038"/>
    </row>
    <row r="568" spans="1:25" x14ac:dyDescent="0.2">
      <c r="A568" s="1037"/>
      <c r="B568" s="1037"/>
      <c r="C568" s="1037"/>
      <c r="D568" s="1037"/>
      <c r="E568" s="1037"/>
      <c r="R568" s="1038"/>
      <c r="S568" s="1038"/>
      <c r="T568" s="1038"/>
      <c r="U568" s="1038"/>
      <c r="V568" s="1038"/>
      <c r="W568" s="1038"/>
      <c r="X568" s="1038"/>
      <c r="Y568" s="1038"/>
    </row>
    <row r="569" spans="1:25" x14ac:dyDescent="0.2">
      <c r="A569" s="1037"/>
      <c r="B569" s="1037"/>
      <c r="C569" s="1037"/>
      <c r="D569" s="1037"/>
      <c r="E569" s="1037"/>
      <c r="R569" s="1038"/>
      <c r="S569" s="1038"/>
      <c r="T569" s="1038"/>
      <c r="U569" s="1038"/>
      <c r="V569" s="1038"/>
      <c r="W569" s="1038"/>
      <c r="X569" s="1038"/>
      <c r="Y569" s="1038"/>
    </row>
    <row r="570" spans="1:25" x14ac:dyDescent="0.2">
      <c r="A570" s="1037"/>
      <c r="B570" s="1037"/>
      <c r="C570" s="1037"/>
      <c r="D570" s="1037"/>
      <c r="E570" s="1037"/>
      <c r="R570" s="1038"/>
      <c r="S570" s="1038"/>
      <c r="T570" s="1038"/>
      <c r="U570" s="1038"/>
      <c r="V570" s="1038"/>
      <c r="W570" s="1038"/>
      <c r="X570" s="1038"/>
      <c r="Y570" s="1038"/>
    </row>
    <row r="571" spans="1:25" x14ac:dyDescent="0.2">
      <c r="A571" s="1037"/>
      <c r="B571" s="1037"/>
      <c r="C571" s="1037"/>
      <c r="D571" s="1037"/>
      <c r="E571" s="1037"/>
      <c r="R571" s="1038"/>
      <c r="S571" s="1038"/>
      <c r="T571" s="1038"/>
      <c r="U571" s="1038"/>
      <c r="V571" s="1038"/>
      <c r="W571" s="1038"/>
      <c r="X571" s="1038"/>
      <c r="Y571" s="1038"/>
    </row>
    <row r="572" spans="1:25" x14ac:dyDescent="0.2">
      <c r="A572" s="1037"/>
      <c r="B572" s="1037"/>
      <c r="C572" s="1037"/>
      <c r="D572" s="1037"/>
      <c r="E572" s="1037"/>
      <c r="R572" s="1038"/>
      <c r="S572" s="1038"/>
      <c r="T572" s="1038"/>
      <c r="U572" s="1038"/>
      <c r="V572" s="1038"/>
      <c r="W572" s="1038"/>
      <c r="X572" s="1038"/>
      <c r="Y572" s="1038"/>
    </row>
    <row r="573" spans="1:25" x14ac:dyDescent="0.2">
      <c r="A573" s="1037"/>
      <c r="B573" s="1037"/>
      <c r="C573" s="1037"/>
      <c r="D573" s="1037"/>
      <c r="E573" s="1037"/>
      <c r="R573" s="1038"/>
      <c r="S573" s="1038"/>
      <c r="T573" s="1038"/>
      <c r="U573" s="1038"/>
      <c r="V573" s="1038"/>
      <c r="W573" s="1038"/>
      <c r="X573" s="1038"/>
      <c r="Y573" s="1038"/>
    </row>
    <row r="574" spans="1:25" x14ac:dyDescent="0.2">
      <c r="A574" s="1037"/>
      <c r="B574" s="1037"/>
      <c r="C574" s="1037"/>
      <c r="D574" s="1037"/>
      <c r="E574" s="1037"/>
      <c r="R574" s="1038"/>
      <c r="S574" s="1038"/>
      <c r="T574" s="1038"/>
      <c r="U574" s="1038"/>
      <c r="V574" s="1038"/>
      <c r="W574" s="1038"/>
      <c r="X574" s="1038"/>
      <c r="Y574" s="1038"/>
    </row>
    <row r="575" spans="1:25" x14ac:dyDescent="0.2">
      <c r="A575" s="1037"/>
      <c r="B575" s="1037"/>
      <c r="C575" s="1037"/>
      <c r="D575" s="1037"/>
      <c r="E575" s="1037"/>
      <c r="R575" s="1038"/>
      <c r="S575" s="1038"/>
      <c r="T575" s="1038"/>
      <c r="U575" s="1038"/>
      <c r="V575" s="1038"/>
      <c r="W575" s="1038"/>
      <c r="X575" s="1038"/>
      <c r="Y575" s="1038"/>
    </row>
    <row r="576" spans="1:25" x14ac:dyDescent="0.2">
      <c r="A576" s="1037"/>
      <c r="B576" s="1037"/>
      <c r="C576" s="1037"/>
      <c r="D576" s="1037"/>
      <c r="E576" s="1037"/>
      <c r="R576" s="1038"/>
      <c r="S576" s="1038"/>
      <c r="T576" s="1038"/>
      <c r="U576" s="1038"/>
      <c r="V576" s="1038"/>
      <c r="W576" s="1038"/>
      <c r="X576" s="1038"/>
      <c r="Y576" s="1038"/>
    </row>
    <row r="577" spans="1:25" x14ac:dyDescent="0.2">
      <c r="A577" s="1037"/>
      <c r="B577" s="1037"/>
      <c r="C577" s="1037"/>
      <c r="D577" s="1037"/>
      <c r="E577" s="1037"/>
      <c r="R577" s="1038"/>
      <c r="S577" s="1038"/>
      <c r="T577" s="1038"/>
      <c r="U577" s="1038"/>
      <c r="V577" s="1038"/>
      <c r="W577" s="1038"/>
      <c r="X577" s="1038"/>
      <c r="Y577" s="1038"/>
    </row>
    <row r="578" spans="1:25" x14ac:dyDescent="0.2">
      <c r="A578" s="1037"/>
      <c r="B578" s="1037"/>
      <c r="C578" s="1037"/>
      <c r="D578" s="1037"/>
      <c r="E578" s="1037"/>
      <c r="R578" s="1038"/>
      <c r="S578" s="1038"/>
      <c r="T578" s="1038"/>
      <c r="U578" s="1038"/>
      <c r="V578" s="1038"/>
      <c r="W578" s="1038"/>
      <c r="X578" s="1038"/>
      <c r="Y578" s="1038"/>
    </row>
    <row r="579" spans="1:25" x14ac:dyDescent="0.2">
      <c r="A579" s="1037"/>
      <c r="B579" s="1037"/>
      <c r="C579" s="1037"/>
      <c r="D579" s="1037"/>
      <c r="E579" s="1037"/>
      <c r="R579" s="1038"/>
      <c r="S579" s="1038"/>
      <c r="T579" s="1038"/>
      <c r="U579" s="1038"/>
      <c r="V579" s="1038"/>
      <c r="W579" s="1038"/>
      <c r="X579" s="1038"/>
      <c r="Y579" s="1038"/>
    </row>
    <row r="580" spans="1:25" x14ac:dyDescent="0.2">
      <c r="A580" s="1037"/>
      <c r="B580" s="1037"/>
      <c r="C580" s="1037"/>
      <c r="D580" s="1037"/>
      <c r="E580" s="1037"/>
      <c r="R580" s="1038"/>
      <c r="S580" s="1038"/>
      <c r="T580" s="1038"/>
      <c r="U580" s="1038"/>
      <c r="V580" s="1038"/>
      <c r="W580" s="1038"/>
      <c r="X580" s="1038"/>
      <c r="Y580" s="1038"/>
    </row>
    <row r="581" spans="1:25" x14ac:dyDescent="0.2">
      <c r="A581" s="1037"/>
      <c r="B581" s="1037"/>
      <c r="C581" s="1037"/>
      <c r="D581" s="1037"/>
      <c r="E581" s="1037"/>
      <c r="R581" s="1038"/>
      <c r="S581" s="1038"/>
      <c r="T581" s="1038"/>
      <c r="U581" s="1038"/>
      <c r="V581" s="1038"/>
      <c r="W581" s="1038"/>
      <c r="X581" s="1038"/>
      <c r="Y581" s="1038"/>
    </row>
    <row r="582" spans="1:25" x14ac:dyDescent="0.2">
      <c r="A582" s="1037"/>
      <c r="B582" s="1037"/>
      <c r="C582" s="1037"/>
      <c r="D582" s="1037"/>
      <c r="E582" s="1037"/>
      <c r="R582" s="1038"/>
      <c r="S582" s="1038"/>
      <c r="T582" s="1038"/>
      <c r="U582" s="1038"/>
      <c r="V582" s="1038"/>
      <c r="W582" s="1038"/>
      <c r="X582" s="1038"/>
      <c r="Y582" s="1038"/>
    </row>
    <row r="583" spans="1:25" x14ac:dyDescent="0.2">
      <c r="A583" s="1037"/>
      <c r="B583" s="1037"/>
      <c r="C583" s="1037"/>
      <c r="D583" s="1037"/>
      <c r="E583" s="1037"/>
      <c r="R583" s="1038"/>
      <c r="S583" s="1038"/>
      <c r="T583" s="1038"/>
      <c r="U583" s="1038"/>
      <c r="V583" s="1038"/>
      <c r="W583" s="1038"/>
      <c r="X583" s="1038"/>
      <c r="Y583" s="1038"/>
    </row>
    <row r="584" spans="1:25" x14ac:dyDescent="0.2">
      <c r="A584" s="1037"/>
      <c r="B584" s="1037"/>
      <c r="C584" s="1037"/>
      <c r="D584" s="1037"/>
      <c r="E584" s="1037"/>
      <c r="R584" s="1038"/>
      <c r="S584" s="1038"/>
      <c r="T584" s="1038"/>
      <c r="U584" s="1038"/>
      <c r="V584" s="1038"/>
      <c r="W584" s="1038"/>
      <c r="X584" s="1038"/>
      <c r="Y584" s="1038"/>
    </row>
    <row r="585" spans="1:25" x14ac:dyDescent="0.2">
      <c r="A585" s="1037"/>
      <c r="B585" s="1037"/>
      <c r="C585" s="1037"/>
      <c r="D585" s="1037"/>
      <c r="E585" s="1037"/>
      <c r="R585" s="1038"/>
      <c r="S585" s="1038"/>
      <c r="T585" s="1038"/>
      <c r="U585" s="1038"/>
      <c r="V585" s="1038"/>
      <c r="W585" s="1038"/>
      <c r="X585" s="1038"/>
      <c r="Y585" s="1038"/>
    </row>
    <row r="586" spans="1:25" x14ac:dyDescent="0.2">
      <c r="A586" s="1037"/>
      <c r="B586" s="1037"/>
      <c r="C586" s="1037"/>
      <c r="D586" s="1037"/>
      <c r="E586" s="1037"/>
      <c r="R586" s="1038"/>
      <c r="S586" s="1038"/>
      <c r="T586" s="1038"/>
      <c r="U586" s="1038"/>
      <c r="V586" s="1038"/>
      <c r="W586" s="1038"/>
      <c r="X586" s="1038"/>
      <c r="Y586" s="1038"/>
    </row>
    <row r="587" spans="1:25" x14ac:dyDescent="0.2">
      <c r="A587" s="1037"/>
      <c r="B587" s="1037"/>
      <c r="C587" s="1037"/>
      <c r="D587" s="1037"/>
      <c r="E587" s="1037"/>
      <c r="R587" s="1038"/>
      <c r="S587" s="1038"/>
      <c r="T587" s="1038"/>
      <c r="U587" s="1038"/>
      <c r="V587" s="1038"/>
      <c r="W587" s="1038"/>
      <c r="X587" s="1038"/>
      <c r="Y587" s="1038"/>
    </row>
    <row r="588" spans="1:25" x14ac:dyDescent="0.2">
      <c r="A588" s="1037"/>
      <c r="B588" s="1037"/>
      <c r="C588" s="1037"/>
      <c r="D588" s="1037"/>
      <c r="E588" s="1037"/>
      <c r="R588" s="1038"/>
      <c r="S588" s="1038"/>
      <c r="T588" s="1038"/>
      <c r="U588" s="1038"/>
      <c r="V588" s="1038"/>
      <c r="W588" s="1038"/>
      <c r="X588" s="1038"/>
      <c r="Y588" s="1038"/>
    </row>
    <row r="589" spans="1:25" x14ac:dyDescent="0.2">
      <c r="A589" s="1037"/>
      <c r="B589" s="1037"/>
      <c r="C589" s="1037"/>
      <c r="D589" s="1037"/>
      <c r="E589" s="1037"/>
      <c r="R589" s="1038"/>
      <c r="S589" s="1038"/>
      <c r="T589" s="1038"/>
      <c r="U589" s="1038"/>
      <c r="V589" s="1038"/>
      <c r="W589" s="1038"/>
      <c r="X589" s="1038"/>
      <c r="Y589" s="1038"/>
    </row>
    <row r="590" spans="1:25" x14ac:dyDescent="0.2">
      <c r="A590" s="1037"/>
      <c r="B590" s="1037"/>
      <c r="C590" s="1037"/>
      <c r="D590" s="1037"/>
      <c r="E590" s="1037"/>
      <c r="R590" s="1038"/>
      <c r="S590" s="1038"/>
      <c r="T590" s="1038"/>
      <c r="U590" s="1038"/>
      <c r="V590" s="1038"/>
      <c r="W590" s="1038"/>
      <c r="X590" s="1038"/>
      <c r="Y590" s="1038"/>
    </row>
    <row r="591" spans="1:25" x14ac:dyDescent="0.2">
      <c r="A591" s="1037"/>
      <c r="B591" s="1037"/>
      <c r="C591" s="1037"/>
      <c r="D591" s="1037"/>
      <c r="E591" s="1037"/>
      <c r="R591" s="1038"/>
      <c r="S591" s="1038"/>
      <c r="T591" s="1038"/>
      <c r="U591" s="1038"/>
      <c r="V591" s="1038"/>
      <c r="W591" s="1038"/>
      <c r="X591" s="1038"/>
      <c r="Y591" s="1038"/>
    </row>
    <row r="592" spans="1:25" x14ac:dyDescent="0.2">
      <c r="A592" s="1037"/>
      <c r="B592" s="1037"/>
      <c r="C592" s="1037"/>
      <c r="D592" s="1037"/>
      <c r="E592" s="1037"/>
      <c r="R592" s="1038"/>
      <c r="S592" s="1038"/>
      <c r="T592" s="1038"/>
      <c r="U592" s="1038"/>
      <c r="V592" s="1038"/>
      <c r="W592" s="1038"/>
      <c r="X592" s="1038"/>
      <c r="Y592" s="1038"/>
    </row>
    <row r="593" spans="1:25" x14ac:dyDescent="0.2">
      <c r="A593" s="1037"/>
      <c r="B593" s="1037"/>
      <c r="C593" s="1037"/>
      <c r="D593" s="1037"/>
      <c r="E593" s="1037"/>
      <c r="R593" s="1038"/>
      <c r="S593" s="1038"/>
      <c r="T593" s="1038"/>
      <c r="U593" s="1038"/>
      <c r="V593" s="1038"/>
      <c r="W593" s="1038"/>
      <c r="X593" s="1038"/>
      <c r="Y593" s="1038"/>
    </row>
    <row r="594" spans="1:25" x14ac:dyDescent="0.2">
      <c r="A594" s="1037"/>
      <c r="B594" s="1037"/>
      <c r="C594" s="1037"/>
      <c r="D594" s="1037"/>
      <c r="E594" s="1037"/>
      <c r="R594" s="1038"/>
      <c r="S594" s="1038"/>
      <c r="T594" s="1038"/>
      <c r="U594" s="1038"/>
      <c r="V594" s="1038"/>
      <c r="W594" s="1038"/>
      <c r="X594" s="1038"/>
      <c r="Y594" s="1038"/>
    </row>
    <row r="595" spans="1:25" x14ac:dyDescent="0.2">
      <c r="A595" s="1037"/>
      <c r="B595" s="1037"/>
      <c r="C595" s="1037"/>
      <c r="D595" s="1037"/>
      <c r="E595" s="1037"/>
      <c r="R595" s="1038"/>
      <c r="S595" s="1038"/>
      <c r="T595" s="1038"/>
      <c r="U595" s="1038"/>
      <c r="V595" s="1038"/>
      <c r="W595" s="1038"/>
      <c r="X595" s="1038"/>
      <c r="Y595" s="1038"/>
    </row>
    <row r="596" spans="1:25" x14ac:dyDescent="0.2">
      <c r="A596" s="1037"/>
      <c r="B596" s="1037"/>
      <c r="C596" s="1037"/>
      <c r="D596" s="1037"/>
      <c r="E596" s="1037"/>
      <c r="R596" s="1038"/>
      <c r="S596" s="1038"/>
      <c r="T596" s="1038"/>
      <c r="U596" s="1038"/>
      <c r="V596" s="1038"/>
      <c r="W596" s="1038"/>
      <c r="X596" s="1038"/>
      <c r="Y596" s="1038"/>
    </row>
    <row r="597" spans="1:25" x14ac:dyDescent="0.2">
      <c r="A597" s="1037"/>
      <c r="B597" s="1037"/>
      <c r="C597" s="1037"/>
      <c r="D597" s="1037"/>
      <c r="E597" s="1037"/>
      <c r="R597" s="1038"/>
      <c r="S597" s="1038"/>
      <c r="T597" s="1038"/>
      <c r="U597" s="1038"/>
      <c r="V597" s="1038"/>
      <c r="W597" s="1038"/>
      <c r="X597" s="1038"/>
      <c r="Y597" s="1038"/>
    </row>
    <row r="598" spans="1:25" x14ac:dyDescent="0.2">
      <c r="A598" s="1037"/>
      <c r="B598" s="1037"/>
      <c r="C598" s="1037"/>
      <c r="D598" s="1037"/>
      <c r="E598" s="1037"/>
      <c r="R598" s="1038"/>
      <c r="S598" s="1038"/>
      <c r="T598" s="1038"/>
      <c r="U598" s="1038"/>
      <c r="V598" s="1038"/>
      <c r="W598" s="1038"/>
      <c r="X598" s="1038"/>
      <c r="Y598" s="1038"/>
    </row>
    <row r="599" spans="1:25" x14ac:dyDescent="0.2">
      <c r="A599" s="1037"/>
      <c r="B599" s="1037"/>
      <c r="C599" s="1037"/>
      <c r="D599" s="1037"/>
      <c r="E599" s="1037"/>
      <c r="R599" s="1038"/>
      <c r="S599" s="1038"/>
      <c r="T599" s="1038"/>
      <c r="U599" s="1038"/>
      <c r="V599" s="1038"/>
      <c r="W599" s="1038"/>
      <c r="X599" s="1038"/>
      <c r="Y599" s="1038"/>
    </row>
    <row r="600" spans="1:25" x14ac:dyDescent="0.2">
      <c r="A600" s="1037"/>
      <c r="B600" s="1037"/>
      <c r="C600" s="1037"/>
      <c r="D600" s="1037"/>
      <c r="E600" s="1037"/>
      <c r="R600" s="1038"/>
      <c r="S600" s="1038"/>
      <c r="T600" s="1038"/>
      <c r="U600" s="1038"/>
      <c r="V600" s="1038"/>
      <c r="W600" s="1038"/>
      <c r="X600" s="1038"/>
      <c r="Y600" s="1038"/>
    </row>
    <row r="601" spans="1:25" x14ac:dyDescent="0.2">
      <c r="A601" s="1037"/>
      <c r="B601" s="1037"/>
      <c r="C601" s="1037"/>
      <c r="D601" s="1037"/>
      <c r="E601" s="1037"/>
      <c r="R601" s="1038"/>
      <c r="S601" s="1038"/>
      <c r="T601" s="1038"/>
      <c r="U601" s="1038"/>
      <c r="V601" s="1038"/>
      <c r="W601" s="1038"/>
      <c r="X601" s="1038"/>
      <c r="Y601" s="1038"/>
    </row>
    <row r="602" spans="1:25" x14ac:dyDescent="0.2">
      <c r="A602" s="1037"/>
      <c r="B602" s="1037"/>
      <c r="C602" s="1037"/>
      <c r="D602" s="1037"/>
      <c r="E602" s="1037"/>
      <c r="R602" s="1038"/>
      <c r="S602" s="1038"/>
      <c r="T602" s="1038"/>
      <c r="U602" s="1038"/>
      <c r="V602" s="1038"/>
      <c r="W602" s="1038"/>
      <c r="X602" s="1038"/>
      <c r="Y602" s="1038"/>
    </row>
    <row r="603" spans="1:25" x14ac:dyDescent="0.2">
      <c r="A603" s="1037"/>
      <c r="B603" s="1037"/>
      <c r="C603" s="1037"/>
      <c r="D603" s="1037"/>
      <c r="E603" s="1037"/>
      <c r="R603" s="1038"/>
      <c r="S603" s="1038"/>
      <c r="T603" s="1038"/>
      <c r="U603" s="1038"/>
      <c r="V603" s="1038"/>
      <c r="W603" s="1038"/>
      <c r="X603" s="1038"/>
      <c r="Y603" s="1038"/>
    </row>
    <row r="604" spans="1:25" x14ac:dyDescent="0.2">
      <c r="A604" s="1037"/>
      <c r="B604" s="1037"/>
      <c r="C604" s="1037"/>
      <c r="D604" s="1037"/>
      <c r="E604" s="1037"/>
      <c r="R604" s="1038"/>
      <c r="S604" s="1038"/>
      <c r="T604" s="1038"/>
      <c r="U604" s="1038"/>
      <c r="V604" s="1038"/>
      <c r="W604" s="1038"/>
      <c r="X604" s="1038"/>
      <c r="Y604" s="1038"/>
    </row>
    <row r="605" spans="1:25" x14ac:dyDescent="0.2">
      <c r="A605" s="1037"/>
      <c r="B605" s="1037"/>
      <c r="C605" s="1037"/>
      <c r="D605" s="1037"/>
      <c r="E605" s="1037"/>
      <c r="R605" s="1038"/>
      <c r="S605" s="1038"/>
      <c r="T605" s="1038"/>
      <c r="U605" s="1038"/>
      <c r="V605" s="1038"/>
      <c r="W605" s="1038"/>
      <c r="X605" s="1038"/>
      <c r="Y605" s="1038"/>
    </row>
    <row r="606" spans="1:25" x14ac:dyDescent="0.2">
      <c r="A606" s="1037"/>
      <c r="B606" s="1037"/>
      <c r="C606" s="1037"/>
      <c r="D606" s="1037"/>
      <c r="E606" s="1037"/>
      <c r="R606" s="1038"/>
      <c r="S606" s="1038"/>
      <c r="T606" s="1038"/>
      <c r="U606" s="1038"/>
      <c r="V606" s="1038"/>
      <c r="W606" s="1038"/>
      <c r="X606" s="1038"/>
      <c r="Y606" s="1038"/>
    </row>
    <row r="607" spans="1:25" x14ac:dyDescent="0.2">
      <c r="A607" s="1037"/>
      <c r="B607" s="1037"/>
      <c r="C607" s="1037"/>
      <c r="D607" s="1037"/>
      <c r="E607" s="1037"/>
      <c r="R607" s="1038"/>
      <c r="S607" s="1038"/>
      <c r="T607" s="1038"/>
      <c r="U607" s="1038"/>
      <c r="V607" s="1038"/>
      <c r="W607" s="1038"/>
      <c r="X607" s="1038"/>
      <c r="Y607" s="1038"/>
    </row>
    <row r="608" spans="1:25" x14ac:dyDescent="0.2">
      <c r="A608" s="1037"/>
      <c r="B608" s="1037"/>
      <c r="C608" s="1037"/>
      <c r="D608" s="1037"/>
      <c r="E608" s="1037"/>
      <c r="R608" s="1038"/>
      <c r="S608" s="1038"/>
      <c r="T608" s="1038"/>
      <c r="U608" s="1038"/>
      <c r="V608" s="1038"/>
      <c r="W608" s="1038"/>
      <c r="X608" s="1038"/>
      <c r="Y608" s="1038"/>
    </row>
    <row r="609" spans="1:25" x14ac:dyDescent="0.2">
      <c r="A609" s="1037"/>
      <c r="B609" s="1037"/>
      <c r="C609" s="1037"/>
      <c r="D609" s="1037"/>
      <c r="E609" s="1037"/>
      <c r="R609" s="1038"/>
      <c r="S609" s="1038"/>
      <c r="T609" s="1038"/>
      <c r="U609" s="1038"/>
      <c r="V609" s="1038"/>
      <c r="W609" s="1038"/>
      <c r="X609" s="1038"/>
      <c r="Y609" s="1038"/>
    </row>
    <row r="610" spans="1:25" x14ac:dyDescent="0.2">
      <c r="A610" s="1037"/>
      <c r="B610" s="1037"/>
      <c r="C610" s="1037"/>
      <c r="D610" s="1037"/>
      <c r="E610" s="1037"/>
      <c r="R610" s="1038"/>
      <c r="S610" s="1038"/>
      <c r="T610" s="1038"/>
      <c r="U610" s="1038"/>
      <c r="V610" s="1038"/>
      <c r="W610" s="1038"/>
      <c r="X610" s="1038"/>
      <c r="Y610" s="1038"/>
    </row>
    <row r="611" spans="1:25" x14ac:dyDescent="0.2">
      <c r="A611" s="1037"/>
      <c r="B611" s="1037"/>
      <c r="C611" s="1037"/>
      <c r="D611" s="1037"/>
      <c r="E611" s="1037"/>
      <c r="R611" s="1038"/>
      <c r="S611" s="1038"/>
      <c r="T611" s="1038"/>
      <c r="U611" s="1038"/>
      <c r="V611" s="1038"/>
      <c r="W611" s="1038"/>
      <c r="X611" s="1038"/>
      <c r="Y611" s="1038"/>
    </row>
    <row r="612" spans="1:25" x14ac:dyDescent="0.2">
      <c r="A612" s="1037"/>
      <c r="B612" s="1037"/>
      <c r="C612" s="1037"/>
      <c r="D612" s="1037"/>
      <c r="E612" s="1037"/>
      <c r="R612" s="1038"/>
      <c r="S612" s="1038"/>
      <c r="T612" s="1038"/>
      <c r="U612" s="1038"/>
      <c r="V612" s="1038"/>
      <c r="W612" s="1038"/>
      <c r="X612" s="1038"/>
      <c r="Y612" s="1038"/>
    </row>
    <row r="613" spans="1:25" x14ac:dyDescent="0.2">
      <c r="A613" s="1037"/>
      <c r="B613" s="1037"/>
      <c r="C613" s="1037"/>
      <c r="D613" s="1037"/>
      <c r="E613" s="1037"/>
      <c r="R613" s="1038"/>
      <c r="S613" s="1038"/>
      <c r="T613" s="1038"/>
      <c r="U613" s="1038"/>
      <c r="V613" s="1038"/>
      <c r="W613" s="1038"/>
      <c r="X613" s="1038"/>
      <c r="Y613" s="1038"/>
    </row>
    <row r="614" spans="1:25" x14ac:dyDescent="0.2">
      <c r="A614" s="1037"/>
      <c r="B614" s="1037"/>
      <c r="C614" s="1037"/>
      <c r="D614" s="1037"/>
      <c r="E614" s="1037"/>
      <c r="R614" s="1038"/>
      <c r="S614" s="1038"/>
      <c r="T614" s="1038"/>
      <c r="U614" s="1038"/>
      <c r="V614" s="1038"/>
      <c r="W614" s="1038"/>
      <c r="X614" s="1038"/>
      <c r="Y614" s="1038"/>
    </row>
    <row r="615" spans="1:25" x14ac:dyDescent="0.2">
      <c r="A615" s="1037"/>
      <c r="B615" s="1037"/>
      <c r="C615" s="1037"/>
      <c r="D615" s="1037"/>
      <c r="E615" s="1037"/>
      <c r="R615" s="1038"/>
      <c r="S615" s="1038"/>
      <c r="T615" s="1038"/>
      <c r="U615" s="1038"/>
      <c r="V615" s="1038"/>
      <c r="W615" s="1038"/>
      <c r="X615" s="1038"/>
      <c r="Y615" s="1038"/>
    </row>
    <row r="616" spans="1:25" x14ac:dyDescent="0.2">
      <c r="A616" s="1037"/>
      <c r="B616" s="1037"/>
      <c r="C616" s="1037"/>
      <c r="D616" s="1037"/>
      <c r="E616" s="1037"/>
      <c r="R616" s="1038"/>
      <c r="S616" s="1038"/>
      <c r="T616" s="1038"/>
      <c r="U616" s="1038"/>
      <c r="V616" s="1038"/>
      <c r="W616" s="1038"/>
      <c r="X616" s="1038"/>
      <c r="Y616" s="1038"/>
    </row>
    <row r="617" spans="1:25" x14ac:dyDescent="0.2">
      <c r="A617" s="1037"/>
      <c r="B617" s="1037"/>
      <c r="C617" s="1037"/>
      <c r="D617" s="1037"/>
      <c r="E617" s="1037"/>
      <c r="R617" s="1038"/>
      <c r="S617" s="1038"/>
      <c r="T617" s="1038"/>
      <c r="U617" s="1038"/>
      <c r="V617" s="1038"/>
      <c r="W617" s="1038"/>
      <c r="X617" s="1038"/>
      <c r="Y617" s="1038"/>
    </row>
    <row r="618" spans="1:25" x14ac:dyDescent="0.2">
      <c r="A618" s="1037"/>
      <c r="B618" s="1037"/>
      <c r="C618" s="1037"/>
      <c r="D618" s="1037"/>
      <c r="E618" s="1037"/>
      <c r="R618" s="1038"/>
      <c r="S618" s="1038"/>
      <c r="T618" s="1038"/>
      <c r="U618" s="1038"/>
      <c r="V618" s="1038"/>
      <c r="W618" s="1038"/>
      <c r="X618" s="1038"/>
      <c r="Y618" s="1038"/>
    </row>
    <row r="619" spans="1:25" x14ac:dyDescent="0.2">
      <c r="A619" s="1037"/>
      <c r="B619" s="1037"/>
      <c r="C619" s="1037"/>
      <c r="D619" s="1037"/>
      <c r="E619" s="1037"/>
      <c r="R619" s="1038"/>
      <c r="S619" s="1038"/>
      <c r="T619" s="1038"/>
      <c r="U619" s="1038"/>
      <c r="V619" s="1038"/>
      <c r="W619" s="1038"/>
      <c r="X619" s="1038"/>
      <c r="Y619" s="1038"/>
    </row>
    <row r="620" spans="1:25" x14ac:dyDescent="0.2">
      <c r="A620" s="1037"/>
      <c r="B620" s="1037"/>
      <c r="C620" s="1037"/>
      <c r="D620" s="1037"/>
      <c r="E620" s="1037"/>
      <c r="R620" s="1038"/>
      <c r="S620" s="1038"/>
      <c r="T620" s="1038"/>
      <c r="U620" s="1038"/>
      <c r="V620" s="1038"/>
      <c r="W620" s="1038"/>
      <c r="X620" s="1038"/>
      <c r="Y620" s="1038"/>
    </row>
    <row r="621" spans="1:25" x14ac:dyDescent="0.2">
      <c r="A621" s="1037"/>
      <c r="B621" s="1037"/>
      <c r="C621" s="1037"/>
      <c r="D621" s="1037"/>
      <c r="E621" s="1037"/>
      <c r="R621" s="1038"/>
      <c r="S621" s="1038"/>
      <c r="T621" s="1038"/>
      <c r="U621" s="1038"/>
      <c r="V621" s="1038"/>
      <c r="W621" s="1038"/>
      <c r="X621" s="1038"/>
      <c r="Y621" s="1038"/>
    </row>
    <row r="622" spans="1:25" x14ac:dyDescent="0.2">
      <c r="A622" s="1037"/>
      <c r="B622" s="1037"/>
      <c r="C622" s="1037"/>
      <c r="D622" s="1037"/>
      <c r="E622" s="1037"/>
      <c r="R622" s="1038"/>
      <c r="S622" s="1038"/>
      <c r="T622" s="1038"/>
      <c r="U622" s="1038"/>
      <c r="V622" s="1038"/>
      <c r="W622" s="1038"/>
      <c r="X622" s="1038"/>
      <c r="Y622" s="1038"/>
    </row>
    <row r="623" spans="1:25" x14ac:dyDescent="0.2">
      <c r="A623" s="1037"/>
      <c r="B623" s="1037"/>
      <c r="C623" s="1037"/>
      <c r="D623" s="1037"/>
      <c r="E623" s="1037"/>
      <c r="R623" s="1038"/>
      <c r="S623" s="1038"/>
      <c r="T623" s="1038"/>
      <c r="U623" s="1038"/>
      <c r="V623" s="1038"/>
      <c r="W623" s="1038"/>
      <c r="X623" s="1038"/>
      <c r="Y623" s="1038"/>
    </row>
    <row r="624" spans="1:25" x14ac:dyDescent="0.2">
      <c r="A624" s="1037"/>
      <c r="B624" s="1037"/>
      <c r="C624" s="1037"/>
      <c r="D624" s="1037"/>
      <c r="E624" s="1037"/>
      <c r="R624" s="1038"/>
      <c r="S624" s="1038"/>
      <c r="T624" s="1038"/>
      <c r="U624" s="1038"/>
      <c r="V624" s="1038"/>
      <c r="W624" s="1038"/>
      <c r="X624" s="1038"/>
      <c r="Y624" s="1038"/>
    </row>
    <row r="625" spans="1:25" x14ac:dyDescent="0.2">
      <c r="A625" s="1037"/>
      <c r="B625" s="1037"/>
      <c r="C625" s="1037"/>
      <c r="D625" s="1037"/>
      <c r="E625" s="1037"/>
      <c r="R625" s="1038"/>
      <c r="S625" s="1038"/>
      <c r="T625" s="1038"/>
      <c r="U625" s="1038"/>
      <c r="V625" s="1038"/>
      <c r="W625" s="1038"/>
      <c r="X625" s="1038"/>
      <c r="Y625" s="1038"/>
    </row>
    <row r="626" spans="1:25" x14ac:dyDescent="0.2">
      <c r="A626" s="1037"/>
      <c r="B626" s="1037"/>
      <c r="C626" s="1037"/>
      <c r="D626" s="1037"/>
      <c r="E626" s="1037"/>
      <c r="R626" s="1038"/>
      <c r="S626" s="1038"/>
      <c r="T626" s="1038"/>
      <c r="U626" s="1038"/>
      <c r="V626" s="1038"/>
      <c r="W626" s="1038"/>
      <c r="X626" s="1038"/>
      <c r="Y626" s="1038"/>
    </row>
    <row r="627" spans="1:25" x14ac:dyDescent="0.2">
      <c r="A627" s="1037"/>
      <c r="B627" s="1037"/>
      <c r="C627" s="1037"/>
      <c r="D627" s="1037"/>
      <c r="E627" s="1037"/>
      <c r="R627" s="1038"/>
      <c r="S627" s="1038"/>
      <c r="T627" s="1038"/>
      <c r="U627" s="1038"/>
      <c r="V627" s="1038"/>
      <c r="W627" s="1038"/>
      <c r="X627" s="1038"/>
      <c r="Y627" s="1038"/>
    </row>
    <row r="628" spans="1:25" x14ac:dyDescent="0.2">
      <c r="A628" s="1037"/>
      <c r="B628" s="1037"/>
      <c r="C628" s="1037"/>
      <c r="D628" s="1037"/>
      <c r="E628" s="1037"/>
      <c r="R628" s="1038"/>
      <c r="S628" s="1038"/>
      <c r="T628" s="1038"/>
      <c r="U628" s="1038"/>
      <c r="V628" s="1038"/>
      <c r="W628" s="1038"/>
      <c r="X628" s="1038"/>
      <c r="Y628" s="1038"/>
    </row>
    <row r="629" spans="1:25" x14ac:dyDescent="0.2">
      <c r="A629" s="1037"/>
      <c r="B629" s="1037"/>
      <c r="C629" s="1037"/>
      <c r="D629" s="1037"/>
      <c r="E629" s="1037"/>
      <c r="R629" s="1038"/>
      <c r="S629" s="1038"/>
      <c r="T629" s="1038"/>
      <c r="U629" s="1038"/>
      <c r="V629" s="1038"/>
      <c r="W629" s="1038"/>
      <c r="X629" s="1038"/>
      <c r="Y629" s="1038"/>
    </row>
    <row r="630" spans="1:25" x14ac:dyDescent="0.2">
      <c r="A630" s="1037"/>
      <c r="B630" s="1037"/>
      <c r="C630" s="1037"/>
      <c r="D630" s="1037"/>
      <c r="E630" s="1037"/>
      <c r="R630" s="1038"/>
      <c r="S630" s="1038"/>
      <c r="T630" s="1038"/>
      <c r="U630" s="1038"/>
      <c r="V630" s="1038"/>
      <c r="W630" s="1038"/>
      <c r="X630" s="1038"/>
      <c r="Y630" s="1038"/>
    </row>
    <row r="631" spans="1:25" x14ac:dyDescent="0.2">
      <c r="A631" s="1037"/>
      <c r="B631" s="1037"/>
      <c r="C631" s="1037"/>
      <c r="D631" s="1037"/>
      <c r="E631" s="1037"/>
      <c r="R631" s="1038"/>
      <c r="S631" s="1038"/>
      <c r="T631" s="1038"/>
      <c r="U631" s="1038"/>
      <c r="V631" s="1038"/>
      <c r="W631" s="1038"/>
      <c r="X631" s="1038"/>
      <c r="Y631" s="1038"/>
    </row>
    <row r="632" spans="1:25" x14ac:dyDescent="0.2">
      <c r="A632" s="1037"/>
      <c r="B632" s="1037"/>
      <c r="C632" s="1037"/>
      <c r="D632" s="1037"/>
      <c r="E632" s="1037"/>
      <c r="R632" s="1038"/>
      <c r="S632" s="1038"/>
      <c r="T632" s="1038"/>
      <c r="U632" s="1038"/>
      <c r="V632" s="1038"/>
      <c r="W632" s="1038"/>
      <c r="X632" s="1038"/>
      <c r="Y632" s="1038"/>
    </row>
    <row r="633" spans="1:25" x14ac:dyDescent="0.2">
      <c r="A633" s="1037"/>
      <c r="B633" s="1037"/>
      <c r="C633" s="1037"/>
      <c r="D633" s="1037"/>
      <c r="E633" s="1037"/>
      <c r="R633" s="1038"/>
      <c r="S633" s="1038"/>
      <c r="T633" s="1038"/>
      <c r="U633" s="1038"/>
      <c r="V633" s="1038"/>
      <c r="W633" s="1038"/>
      <c r="X633" s="1038"/>
      <c r="Y633" s="1038"/>
    </row>
    <row r="634" spans="1:25" x14ac:dyDescent="0.2">
      <c r="A634" s="1037"/>
      <c r="B634" s="1037"/>
      <c r="C634" s="1037"/>
      <c r="D634" s="1037"/>
      <c r="E634" s="1037"/>
      <c r="R634" s="1038"/>
      <c r="S634" s="1038"/>
      <c r="T634" s="1038"/>
      <c r="U634" s="1038"/>
      <c r="V634" s="1038"/>
      <c r="W634" s="1038"/>
      <c r="X634" s="1038"/>
      <c r="Y634" s="1038"/>
    </row>
    <row r="635" spans="1:25" x14ac:dyDescent="0.2">
      <c r="A635" s="1037"/>
      <c r="B635" s="1037"/>
      <c r="C635" s="1037"/>
      <c r="D635" s="1037"/>
      <c r="E635" s="1037"/>
      <c r="R635" s="1038"/>
      <c r="S635" s="1038"/>
      <c r="T635" s="1038"/>
      <c r="U635" s="1038"/>
      <c r="V635" s="1038"/>
      <c r="W635" s="1038"/>
      <c r="X635" s="1038"/>
      <c r="Y635" s="1038"/>
    </row>
    <row r="636" spans="1:25" x14ac:dyDescent="0.2">
      <c r="A636" s="1037"/>
      <c r="B636" s="1037"/>
      <c r="C636" s="1037"/>
      <c r="D636" s="1037"/>
      <c r="E636" s="1037"/>
      <c r="R636" s="1038"/>
      <c r="S636" s="1038"/>
      <c r="T636" s="1038"/>
      <c r="U636" s="1038"/>
      <c r="V636" s="1038"/>
      <c r="W636" s="1038"/>
      <c r="X636" s="1038"/>
      <c r="Y636" s="1038"/>
    </row>
    <row r="637" spans="1:25" x14ac:dyDescent="0.2">
      <c r="A637" s="1037"/>
      <c r="B637" s="1037"/>
      <c r="C637" s="1037"/>
      <c r="D637" s="1037"/>
      <c r="E637" s="1037"/>
      <c r="R637" s="1038"/>
      <c r="S637" s="1038"/>
      <c r="T637" s="1038"/>
      <c r="U637" s="1038"/>
      <c r="V637" s="1038"/>
      <c r="W637" s="1038"/>
      <c r="X637" s="1038"/>
      <c r="Y637" s="1038"/>
    </row>
    <row r="638" spans="1:25" x14ac:dyDescent="0.2">
      <c r="A638" s="1037"/>
      <c r="B638" s="1037"/>
      <c r="C638" s="1037"/>
      <c r="D638" s="1037"/>
      <c r="E638" s="1037"/>
      <c r="R638" s="1038"/>
      <c r="S638" s="1038"/>
      <c r="T638" s="1038"/>
      <c r="U638" s="1038"/>
      <c r="V638" s="1038"/>
      <c r="W638" s="1038"/>
      <c r="X638" s="1038"/>
      <c r="Y638" s="1038"/>
    </row>
    <row r="639" spans="1:25" x14ac:dyDescent="0.2">
      <c r="A639" s="1037"/>
      <c r="B639" s="1037"/>
      <c r="C639" s="1037"/>
      <c r="D639" s="1037"/>
      <c r="E639" s="1037"/>
      <c r="R639" s="1038"/>
      <c r="S639" s="1038"/>
      <c r="T639" s="1038"/>
      <c r="U639" s="1038"/>
      <c r="V639" s="1038"/>
      <c r="W639" s="1038"/>
      <c r="X639" s="1038"/>
      <c r="Y639" s="1038"/>
    </row>
    <row r="640" spans="1:25" x14ac:dyDescent="0.2">
      <c r="A640" s="1037"/>
      <c r="B640" s="1037"/>
      <c r="C640" s="1037"/>
      <c r="D640" s="1037"/>
      <c r="E640" s="1037"/>
      <c r="R640" s="1038"/>
      <c r="S640" s="1038"/>
      <c r="T640" s="1038"/>
      <c r="U640" s="1038"/>
      <c r="V640" s="1038"/>
      <c r="W640" s="1038"/>
      <c r="X640" s="1038"/>
      <c r="Y640" s="1038"/>
    </row>
    <row r="641" spans="1:25" x14ac:dyDescent="0.2">
      <c r="A641" s="1037"/>
      <c r="B641" s="1037"/>
      <c r="C641" s="1037"/>
      <c r="D641" s="1037"/>
      <c r="E641" s="1037"/>
      <c r="R641" s="1038"/>
      <c r="S641" s="1038"/>
      <c r="T641" s="1038"/>
      <c r="U641" s="1038"/>
      <c r="V641" s="1038"/>
      <c r="W641" s="1038"/>
      <c r="X641" s="1038"/>
      <c r="Y641" s="1038"/>
    </row>
    <row r="642" spans="1:25" x14ac:dyDescent="0.2">
      <c r="A642" s="1037"/>
      <c r="B642" s="1037"/>
      <c r="C642" s="1037"/>
      <c r="D642" s="1037"/>
      <c r="E642" s="1037"/>
      <c r="R642" s="1038"/>
      <c r="S642" s="1038"/>
      <c r="T642" s="1038"/>
      <c r="U642" s="1038"/>
      <c r="V642" s="1038"/>
      <c r="W642" s="1038"/>
      <c r="X642" s="1038"/>
      <c r="Y642" s="1038"/>
    </row>
    <row r="643" spans="1:25" x14ac:dyDescent="0.2">
      <c r="A643" s="1037"/>
      <c r="B643" s="1037"/>
      <c r="C643" s="1037"/>
      <c r="D643" s="1037"/>
      <c r="E643" s="1037"/>
      <c r="R643" s="1038"/>
      <c r="S643" s="1038"/>
      <c r="T643" s="1038"/>
      <c r="U643" s="1038"/>
      <c r="V643" s="1038"/>
      <c r="W643" s="1038"/>
      <c r="X643" s="1038"/>
      <c r="Y643" s="1038"/>
    </row>
    <row r="644" spans="1:25" x14ac:dyDescent="0.2">
      <c r="A644" s="1037"/>
      <c r="B644" s="1037"/>
      <c r="C644" s="1037"/>
      <c r="D644" s="1037"/>
      <c r="E644" s="1037"/>
      <c r="R644" s="1038"/>
      <c r="S644" s="1038"/>
      <c r="T644" s="1038"/>
      <c r="U644" s="1038"/>
      <c r="V644" s="1038"/>
      <c r="W644" s="1038"/>
      <c r="X644" s="1038"/>
      <c r="Y644" s="1038"/>
    </row>
    <row r="645" spans="1:25" x14ac:dyDescent="0.2">
      <c r="A645" s="1037"/>
      <c r="B645" s="1037"/>
      <c r="C645" s="1037"/>
      <c r="D645" s="1037"/>
      <c r="E645" s="1037"/>
      <c r="R645" s="1038"/>
      <c r="S645" s="1038"/>
      <c r="T645" s="1038"/>
      <c r="U645" s="1038"/>
      <c r="V645" s="1038"/>
      <c r="W645" s="1038"/>
      <c r="X645" s="1038"/>
      <c r="Y645" s="1038"/>
    </row>
    <row r="646" spans="1:25" x14ac:dyDescent="0.2">
      <c r="A646" s="1037"/>
      <c r="B646" s="1037"/>
      <c r="C646" s="1037"/>
      <c r="D646" s="1037"/>
      <c r="E646" s="1037"/>
      <c r="R646" s="1038"/>
      <c r="S646" s="1038"/>
      <c r="T646" s="1038"/>
      <c r="U646" s="1038"/>
      <c r="V646" s="1038"/>
      <c r="W646" s="1038"/>
      <c r="X646" s="1038"/>
      <c r="Y646" s="1038"/>
    </row>
    <row r="647" spans="1:25" x14ac:dyDescent="0.2">
      <c r="A647" s="1037"/>
      <c r="B647" s="1037"/>
      <c r="C647" s="1037"/>
      <c r="D647" s="1037"/>
      <c r="E647" s="1037"/>
      <c r="R647" s="1038"/>
      <c r="S647" s="1038"/>
      <c r="T647" s="1038"/>
      <c r="U647" s="1038"/>
      <c r="V647" s="1038"/>
      <c r="W647" s="1038"/>
      <c r="X647" s="1038"/>
      <c r="Y647" s="1038"/>
    </row>
    <row r="648" spans="1:25" x14ac:dyDescent="0.2">
      <c r="A648" s="1037"/>
      <c r="B648" s="1037"/>
      <c r="C648" s="1037"/>
      <c r="D648" s="1037"/>
      <c r="E648" s="1037"/>
      <c r="R648" s="1038"/>
      <c r="S648" s="1038"/>
      <c r="T648" s="1038"/>
      <c r="U648" s="1038"/>
      <c r="V648" s="1038"/>
      <c r="W648" s="1038"/>
      <c r="X648" s="1038"/>
      <c r="Y648" s="1038"/>
    </row>
    <row r="649" spans="1:25" x14ac:dyDescent="0.2">
      <c r="A649" s="1037"/>
      <c r="B649" s="1037"/>
      <c r="C649" s="1037"/>
      <c r="D649" s="1037"/>
      <c r="E649" s="1037"/>
      <c r="R649" s="1038"/>
      <c r="S649" s="1038"/>
      <c r="T649" s="1038"/>
      <c r="U649" s="1038"/>
      <c r="V649" s="1038"/>
      <c r="W649" s="1038"/>
      <c r="X649" s="1038"/>
      <c r="Y649" s="1038"/>
    </row>
    <row r="650" spans="1:25" x14ac:dyDescent="0.2">
      <c r="A650" s="1037"/>
      <c r="B650" s="1037"/>
      <c r="C650" s="1037"/>
      <c r="D650" s="1037"/>
      <c r="E650" s="1037"/>
      <c r="R650" s="1038"/>
      <c r="S650" s="1038"/>
      <c r="T650" s="1038"/>
      <c r="U650" s="1038"/>
      <c r="V650" s="1038"/>
      <c r="W650" s="1038"/>
      <c r="X650" s="1038"/>
      <c r="Y650" s="1038"/>
    </row>
    <row r="651" spans="1:25" x14ac:dyDescent="0.2">
      <c r="A651" s="1037"/>
      <c r="B651" s="1037"/>
      <c r="C651" s="1037"/>
      <c r="D651" s="1037"/>
      <c r="E651" s="1037"/>
      <c r="R651" s="1038"/>
      <c r="S651" s="1038"/>
      <c r="T651" s="1038"/>
      <c r="U651" s="1038"/>
      <c r="V651" s="1038"/>
      <c r="W651" s="1038"/>
      <c r="X651" s="1038"/>
      <c r="Y651" s="1038"/>
    </row>
    <row r="652" spans="1:25" x14ac:dyDescent="0.2">
      <c r="A652" s="1037"/>
      <c r="B652" s="1037"/>
      <c r="C652" s="1037"/>
      <c r="D652" s="1037"/>
      <c r="E652" s="1037"/>
      <c r="R652" s="1038"/>
      <c r="S652" s="1038"/>
      <c r="T652" s="1038"/>
      <c r="U652" s="1038"/>
      <c r="V652" s="1038"/>
      <c r="W652" s="1038"/>
      <c r="X652" s="1038"/>
      <c r="Y652" s="1038"/>
    </row>
    <row r="653" spans="1:25" x14ac:dyDescent="0.2">
      <c r="A653" s="1037"/>
      <c r="B653" s="1037"/>
      <c r="C653" s="1037"/>
      <c r="D653" s="1037"/>
      <c r="E653" s="1037"/>
      <c r="R653" s="1038"/>
      <c r="S653" s="1038"/>
      <c r="T653" s="1038"/>
      <c r="U653" s="1038"/>
      <c r="V653" s="1038"/>
      <c r="W653" s="1038"/>
      <c r="X653" s="1038"/>
      <c r="Y653" s="1038"/>
    </row>
    <row r="654" spans="1:25" x14ac:dyDescent="0.2">
      <c r="A654" s="1037"/>
      <c r="B654" s="1037"/>
      <c r="C654" s="1037"/>
      <c r="D654" s="1037"/>
      <c r="E654" s="1037"/>
      <c r="R654" s="1038"/>
      <c r="S654" s="1038"/>
      <c r="T654" s="1038"/>
      <c r="U654" s="1038"/>
      <c r="V654" s="1038"/>
      <c r="W654" s="1038"/>
      <c r="X654" s="1038"/>
      <c r="Y654" s="1038"/>
    </row>
    <row r="655" spans="1:25" x14ac:dyDescent="0.2">
      <c r="A655" s="1037"/>
      <c r="B655" s="1037"/>
      <c r="C655" s="1037"/>
      <c r="D655" s="1037"/>
      <c r="E655" s="1037"/>
      <c r="R655" s="1038"/>
      <c r="S655" s="1038"/>
      <c r="T655" s="1038"/>
      <c r="U655" s="1038"/>
      <c r="V655" s="1038"/>
      <c r="W655" s="1038"/>
      <c r="X655" s="1038"/>
      <c r="Y655" s="1038"/>
    </row>
    <row r="656" spans="1:25" x14ac:dyDescent="0.2">
      <c r="A656" s="1037"/>
      <c r="B656" s="1037"/>
      <c r="C656" s="1037"/>
      <c r="D656" s="1037"/>
      <c r="E656" s="1037"/>
      <c r="R656" s="1038"/>
      <c r="S656" s="1038"/>
      <c r="T656" s="1038"/>
      <c r="U656" s="1038"/>
      <c r="V656" s="1038"/>
      <c r="W656" s="1038"/>
      <c r="X656" s="1038"/>
      <c r="Y656" s="1038"/>
    </row>
    <row r="657" spans="1:25" x14ac:dyDescent="0.2">
      <c r="A657" s="1037"/>
      <c r="B657" s="1037"/>
      <c r="C657" s="1037"/>
      <c r="D657" s="1037"/>
      <c r="E657" s="1037"/>
      <c r="R657" s="1038"/>
      <c r="S657" s="1038"/>
      <c r="T657" s="1038"/>
      <c r="U657" s="1038"/>
      <c r="V657" s="1038"/>
      <c r="W657" s="1038"/>
      <c r="X657" s="1038"/>
      <c r="Y657" s="1038"/>
    </row>
    <row r="658" spans="1:25" x14ac:dyDescent="0.2">
      <c r="A658" s="1037"/>
      <c r="B658" s="1037"/>
      <c r="C658" s="1037"/>
      <c r="D658" s="1037"/>
      <c r="E658" s="1037"/>
      <c r="R658" s="1038"/>
      <c r="S658" s="1038"/>
      <c r="T658" s="1038"/>
      <c r="U658" s="1038"/>
      <c r="V658" s="1038"/>
      <c r="W658" s="1038"/>
      <c r="X658" s="1038"/>
      <c r="Y658" s="1038"/>
    </row>
    <row r="659" spans="1:25" x14ac:dyDescent="0.2">
      <c r="A659" s="1037"/>
      <c r="B659" s="1037"/>
      <c r="C659" s="1037"/>
      <c r="D659" s="1037"/>
      <c r="E659" s="1037"/>
      <c r="R659" s="1038"/>
      <c r="S659" s="1038"/>
      <c r="T659" s="1038"/>
      <c r="U659" s="1038"/>
      <c r="V659" s="1038"/>
      <c r="W659" s="1038"/>
      <c r="X659" s="1038"/>
      <c r="Y659" s="1038"/>
    </row>
    <row r="660" spans="1:25" x14ac:dyDescent="0.2">
      <c r="A660" s="1037"/>
      <c r="B660" s="1037"/>
      <c r="C660" s="1037"/>
      <c r="D660" s="1037"/>
      <c r="E660" s="1037"/>
      <c r="R660" s="1038"/>
      <c r="S660" s="1038"/>
      <c r="T660" s="1038"/>
      <c r="U660" s="1038"/>
      <c r="V660" s="1038"/>
      <c r="W660" s="1038"/>
      <c r="X660" s="1038"/>
      <c r="Y660" s="1038"/>
    </row>
    <row r="661" spans="1:25" x14ac:dyDescent="0.2">
      <c r="A661" s="1037"/>
      <c r="B661" s="1037"/>
      <c r="C661" s="1037"/>
      <c r="D661" s="1037"/>
      <c r="E661" s="1037"/>
      <c r="R661" s="1038"/>
      <c r="S661" s="1038"/>
      <c r="T661" s="1038"/>
      <c r="U661" s="1038"/>
      <c r="V661" s="1038"/>
      <c r="W661" s="1038"/>
      <c r="X661" s="1038"/>
      <c r="Y661" s="1038"/>
    </row>
    <row r="662" spans="1:25" x14ac:dyDescent="0.2">
      <c r="A662" s="1037"/>
      <c r="B662" s="1037"/>
      <c r="C662" s="1037"/>
      <c r="D662" s="1037"/>
      <c r="E662" s="1037"/>
      <c r="R662" s="1038"/>
      <c r="S662" s="1038"/>
      <c r="T662" s="1038"/>
      <c r="U662" s="1038"/>
      <c r="V662" s="1038"/>
      <c r="W662" s="1038"/>
      <c r="X662" s="1038"/>
      <c r="Y662" s="1038"/>
    </row>
    <row r="663" spans="1:25" x14ac:dyDescent="0.2">
      <c r="A663" s="1037"/>
      <c r="B663" s="1037"/>
      <c r="C663" s="1037"/>
      <c r="D663" s="1037"/>
      <c r="E663" s="1037"/>
      <c r="R663" s="1038"/>
      <c r="S663" s="1038"/>
      <c r="T663" s="1038"/>
      <c r="U663" s="1038"/>
      <c r="V663" s="1038"/>
      <c r="W663" s="1038"/>
      <c r="X663" s="1038"/>
      <c r="Y663" s="1038"/>
    </row>
    <row r="664" spans="1:25" x14ac:dyDescent="0.2">
      <c r="A664" s="1037"/>
      <c r="B664" s="1037"/>
      <c r="C664" s="1037"/>
      <c r="D664" s="1037"/>
      <c r="E664" s="1037"/>
      <c r="R664" s="1038"/>
      <c r="S664" s="1038"/>
      <c r="T664" s="1038"/>
      <c r="U664" s="1038"/>
      <c r="V664" s="1038"/>
      <c r="W664" s="1038"/>
      <c r="X664" s="1038"/>
      <c r="Y664" s="1038"/>
    </row>
    <row r="665" spans="1:25" x14ac:dyDescent="0.2">
      <c r="A665" s="1037"/>
      <c r="B665" s="1037"/>
      <c r="C665" s="1037"/>
      <c r="D665" s="1037"/>
      <c r="E665" s="1037"/>
      <c r="R665" s="1038"/>
      <c r="S665" s="1038"/>
      <c r="T665" s="1038"/>
      <c r="U665" s="1038"/>
      <c r="V665" s="1038"/>
      <c r="W665" s="1038"/>
      <c r="X665" s="1038"/>
      <c r="Y665" s="1038"/>
    </row>
    <row r="666" spans="1:25" x14ac:dyDescent="0.2">
      <c r="A666" s="1037"/>
      <c r="B666" s="1037"/>
      <c r="C666" s="1037"/>
      <c r="D666" s="1037"/>
      <c r="E666" s="1037"/>
      <c r="R666" s="1038"/>
      <c r="S666" s="1038"/>
      <c r="T666" s="1038"/>
      <c r="U666" s="1038"/>
      <c r="V666" s="1038"/>
      <c r="W666" s="1038"/>
      <c r="X666" s="1038"/>
      <c r="Y666" s="1038"/>
    </row>
    <row r="667" spans="1:25" x14ac:dyDescent="0.2">
      <c r="A667" s="1037"/>
      <c r="B667" s="1037"/>
      <c r="C667" s="1037"/>
      <c r="D667" s="1037"/>
      <c r="E667" s="1037"/>
      <c r="R667" s="1038"/>
      <c r="S667" s="1038"/>
      <c r="T667" s="1038"/>
      <c r="U667" s="1038"/>
      <c r="V667" s="1038"/>
      <c r="W667" s="1038"/>
      <c r="X667" s="1038"/>
      <c r="Y667" s="1038"/>
    </row>
    <row r="668" spans="1:25" x14ac:dyDescent="0.2">
      <c r="A668" s="1037"/>
      <c r="B668" s="1037"/>
      <c r="C668" s="1037"/>
      <c r="D668" s="1037"/>
      <c r="E668" s="1037"/>
      <c r="R668" s="1038"/>
      <c r="S668" s="1038"/>
      <c r="T668" s="1038"/>
      <c r="U668" s="1038"/>
      <c r="V668" s="1038"/>
      <c r="W668" s="1038"/>
      <c r="X668" s="1038"/>
      <c r="Y668" s="1038"/>
    </row>
    <row r="669" spans="1:25" x14ac:dyDescent="0.2">
      <c r="A669" s="1037"/>
      <c r="B669" s="1037"/>
      <c r="C669" s="1037"/>
      <c r="D669" s="1037"/>
      <c r="E669" s="1037"/>
      <c r="R669" s="1038"/>
      <c r="S669" s="1038"/>
      <c r="T669" s="1038"/>
      <c r="U669" s="1038"/>
      <c r="V669" s="1038"/>
      <c r="W669" s="1038"/>
      <c r="X669" s="1038"/>
      <c r="Y669" s="1038"/>
    </row>
    <row r="670" spans="1:25" x14ac:dyDescent="0.2">
      <c r="A670" s="1037"/>
      <c r="B670" s="1037"/>
      <c r="C670" s="1037"/>
      <c r="D670" s="1037"/>
      <c r="E670" s="1037"/>
      <c r="R670" s="1038"/>
      <c r="S670" s="1038"/>
      <c r="T670" s="1038"/>
      <c r="U670" s="1038"/>
      <c r="V670" s="1038"/>
      <c r="W670" s="1038"/>
      <c r="X670" s="1038"/>
      <c r="Y670" s="1038"/>
    </row>
    <row r="671" spans="1:25" x14ac:dyDescent="0.2">
      <c r="A671" s="1037"/>
      <c r="B671" s="1037"/>
      <c r="C671" s="1037"/>
      <c r="D671" s="1037"/>
      <c r="E671" s="1037"/>
      <c r="R671" s="1038"/>
      <c r="S671" s="1038"/>
      <c r="T671" s="1038"/>
      <c r="U671" s="1038"/>
      <c r="V671" s="1038"/>
      <c r="W671" s="1038"/>
      <c r="X671" s="1038"/>
      <c r="Y671" s="1038"/>
    </row>
    <row r="672" spans="1:25" x14ac:dyDescent="0.2">
      <c r="A672" s="1037"/>
      <c r="B672" s="1037"/>
      <c r="C672" s="1037"/>
      <c r="D672" s="1037"/>
      <c r="E672" s="1037"/>
      <c r="R672" s="1038"/>
      <c r="S672" s="1038"/>
      <c r="T672" s="1038"/>
      <c r="U672" s="1038"/>
      <c r="V672" s="1038"/>
      <c r="W672" s="1038"/>
      <c r="X672" s="1038"/>
      <c r="Y672" s="1038"/>
    </row>
    <row r="673" spans="1:25" x14ac:dyDescent="0.2">
      <c r="A673" s="1037"/>
      <c r="B673" s="1037"/>
      <c r="C673" s="1037"/>
      <c r="D673" s="1037"/>
      <c r="E673" s="1037"/>
      <c r="R673" s="1038"/>
      <c r="S673" s="1038"/>
      <c r="T673" s="1038"/>
      <c r="U673" s="1038"/>
      <c r="V673" s="1038"/>
      <c r="W673" s="1038"/>
      <c r="X673" s="1038"/>
      <c r="Y673" s="1038"/>
    </row>
    <row r="674" spans="1:25" x14ac:dyDescent="0.2">
      <c r="A674" s="1037"/>
      <c r="B674" s="1037"/>
      <c r="C674" s="1037"/>
      <c r="D674" s="1037"/>
      <c r="E674" s="1037"/>
      <c r="R674" s="1038"/>
      <c r="S674" s="1038"/>
      <c r="T674" s="1038"/>
      <c r="U674" s="1038"/>
      <c r="V674" s="1038"/>
      <c r="W674" s="1038"/>
      <c r="X674" s="1038"/>
      <c r="Y674" s="1038"/>
    </row>
    <row r="675" spans="1:25" x14ac:dyDescent="0.2">
      <c r="A675" s="1037"/>
      <c r="B675" s="1037"/>
      <c r="C675" s="1037"/>
      <c r="D675" s="1037"/>
      <c r="E675" s="1037"/>
      <c r="R675" s="1038"/>
      <c r="S675" s="1038"/>
      <c r="T675" s="1038"/>
      <c r="U675" s="1038"/>
      <c r="V675" s="1038"/>
      <c r="W675" s="1038"/>
      <c r="X675" s="1038"/>
      <c r="Y675" s="1038"/>
    </row>
    <row r="676" spans="1:25" x14ac:dyDescent="0.2">
      <c r="A676" s="1037"/>
      <c r="B676" s="1037"/>
      <c r="C676" s="1037"/>
      <c r="D676" s="1037"/>
      <c r="E676" s="1037"/>
      <c r="R676" s="1038"/>
      <c r="S676" s="1038"/>
      <c r="T676" s="1038"/>
      <c r="U676" s="1038"/>
      <c r="V676" s="1038"/>
      <c r="W676" s="1038"/>
      <c r="X676" s="1038"/>
      <c r="Y676" s="1038"/>
    </row>
    <row r="677" spans="1:25" x14ac:dyDescent="0.2">
      <c r="A677" s="1037"/>
      <c r="B677" s="1037"/>
      <c r="C677" s="1037"/>
      <c r="D677" s="1037"/>
      <c r="E677" s="1037"/>
      <c r="R677" s="1038"/>
      <c r="S677" s="1038"/>
      <c r="T677" s="1038"/>
      <c r="U677" s="1038"/>
      <c r="V677" s="1038"/>
      <c r="W677" s="1038"/>
      <c r="X677" s="1038"/>
      <c r="Y677" s="1038"/>
    </row>
    <row r="678" spans="1:25" x14ac:dyDescent="0.2">
      <c r="A678" s="1037"/>
      <c r="B678" s="1037"/>
      <c r="C678" s="1037"/>
      <c r="D678" s="1037"/>
      <c r="E678" s="1037"/>
      <c r="R678" s="1038"/>
      <c r="S678" s="1038"/>
      <c r="T678" s="1038"/>
      <c r="U678" s="1038"/>
      <c r="V678" s="1038"/>
      <c r="W678" s="1038"/>
      <c r="X678" s="1038"/>
      <c r="Y678" s="1038"/>
    </row>
    <row r="679" spans="1:25" x14ac:dyDescent="0.2">
      <c r="A679" s="1037"/>
      <c r="B679" s="1037"/>
      <c r="C679" s="1037"/>
      <c r="D679" s="1037"/>
      <c r="E679" s="1037"/>
      <c r="R679" s="1038"/>
      <c r="S679" s="1038"/>
      <c r="T679" s="1038"/>
      <c r="U679" s="1038"/>
      <c r="V679" s="1038"/>
      <c r="W679" s="1038"/>
      <c r="X679" s="1038"/>
      <c r="Y679" s="1038"/>
    </row>
    <row r="680" spans="1:25" x14ac:dyDescent="0.2">
      <c r="A680" s="1037"/>
      <c r="B680" s="1037"/>
      <c r="C680" s="1037"/>
      <c r="D680" s="1037"/>
      <c r="E680" s="1037"/>
      <c r="R680" s="1038"/>
      <c r="S680" s="1038"/>
      <c r="T680" s="1038"/>
      <c r="U680" s="1038"/>
      <c r="V680" s="1038"/>
      <c r="W680" s="1038"/>
      <c r="X680" s="1038"/>
      <c r="Y680" s="1038"/>
    </row>
    <row r="681" spans="1:25" x14ac:dyDescent="0.2">
      <c r="A681" s="1037"/>
      <c r="B681" s="1037"/>
      <c r="C681" s="1037"/>
      <c r="D681" s="1037"/>
      <c r="E681" s="1037"/>
      <c r="R681" s="1038"/>
      <c r="S681" s="1038"/>
      <c r="T681" s="1038"/>
      <c r="U681" s="1038"/>
      <c r="V681" s="1038"/>
      <c r="W681" s="1038"/>
      <c r="X681" s="1038"/>
      <c r="Y681" s="1038"/>
    </row>
    <row r="682" spans="1:25" x14ac:dyDescent="0.2">
      <c r="A682" s="1037"/>
      <c r="B682" s="1037"/>
      <c r="C682" s="1037"/>
      <c r="D682" s="1037"/>
      <c r="E682" s="1037"/>
      <c r="R682" s="1038"/>
      <c r="S682" s="1038"/>
      <c r="T682" s="1038"/>
      <c r="U682" s="1038"/>
      <c r="V682" s="1038"/>
      <c r="W682" s="1038"/>
      <c r="X682" s="1038"/>
      <c r="Y682" s="1038"/>
    </row>
    <row r="683" spans="1:25" x14ac:dyDescent="0.2">
      <c r="A683" s="1037"/>
      <c r="B683" s="1037"/>
      <c r="C683" s="1037"/>
      <c r="D683" s="1037"/>
      <c r="E683" s="1037"/>
      <c r="R683" s="1038"/>
      <c r="S683" s="1038"/>
      <c r="T683" s="1038"/>
      <c r="U683" s="1038"/>
      <c r="V683" s="1038"/>
      <c r="W683" s="1038"/>
      <c r="X683" s="1038"/>
      <c r="Y683" s="1038"/>
    </row>
    <row r="684" spans="1:25" x14ac:dyDescent="0.2">
      <c r="A684" s="1037"/>
      <c r="B684" s="1037"/>
      <c r="C684" s="1037"/>
      <c r="D684" s="1037"/>
      <c r="E684" s="1037"/>
      <c r="R684" s="1038"/>
      <c r="S684" s="1038"/>
      <c r="T684" s="1038"/>
      <c r="U684" s="1038"/>
      <c r="V684" s="1038"/>
      <c r="W684" s="1038"/>
      <c r="X684" s="1038"/>
      <c r="Y684" s="1038"/>
    </row>
    <row r="685" spans="1:25" x14ac:dyDescent="0.2">
      <c r="A685" s="1037"/>
      <c r="B685" s="1037"/>
      <c r="C685" s="1037"/>
      <c r="D685" s="1037"/>
      <c r="E685" s="1037"/>
      <c r="R685" s="1038"/>
      <c r="S685" s="1038"/>
      <c r="T685" s="1038"/>
      <c r="U685" s="1038"/>
      <c r="V685" s="1038"/>
      <c r="W685" s="1038"/>
      <c r="X685" s="1038"/>
      <c r="Y685" s="1038"/>
    </row>
    <row r="686" spans="1:25" x14ac:dyDescent="0.2">
      <c r="A686" s="1037"/>
      <c r="B686" s="1037"/>
      <c r="C686" s="1037"/>
      <c r="D686" s="1037"/>
      <c r="E686" s="1037"/>
      <c r="R686" s="1038"/>
      <c r="S686" s="1038"/>
      <c r="T686" s="1038"/>
      <c r="U686" s="1038"/>
      <c r="V686" s="1038"/>
      <c r="W686" s="1038"/>
      <c r="X686" s="1038"/>
      <c r="Y686" s="1038"/>
    </row>
    <row r="687" spans="1:25" x14ac:dyDescent="0.2">
      <c r="A687" s="1037"/>
      <c r="B687" s="1037"/>
      <c r="C687" s="1037"/>
      <c r="D687" s="1037"/>
      <c r="E687" s="1037"/>
      <c r="R687" s="1038"/>
      <c r="S687" s="1038"/>
      <c r="T687" s="1038"/>
      <c r="U687" s="1038"/>
      <c r="V687" s="1038"/>
      <c r="W687" s="1038"/>
      <c r="X687" s="1038"/>
      <c r="Y687" s="1038"/>
    </row>
    <row r="688" spans="1:25" x14ac:dyDescent="0.2">
      <c r="A688" s="1037"/>
      <c r="B688" s="1037"/>
      <c r="C688" s="1037"/>
      <c r="D688" s="1037"/>
      <c r="E688" s="1037"/>
      <c r="R688" s="1038"/>
      <c r="S688" s="1038"/>
      <c r="T688" s="1038"/>
      <c r="U688" s="1038"/>
      <c r="V688" s="1038"/>
      <c r="W688" s="1038"/>
      <c r="X688" s="1038"/>
      <c r="Y688" s="1038"/>
    </row>
    <row r="689" spans="1:25" x14ac:dyDescent="0.2">
      <c r="A689" s="1037"/>
      <c r="B689" s="1037"/>
      <c r="C689" s="1037"/>
      <c r="D689" s="1037"/>
      <c r="E689" s="1037"/>
      <c r="R689" s="1038"/>
      <c r="S689" s="1038"/>
      <c r="T689" s="1038"/>
      <c r="U689" s="1038"/>
      <c r="V689" s="1038"/>
      <c r="W689" s="1038"/>
      <c r="X689" s="1038"/>
      <c r="Y689" s="1038"/>
    </row>
    <row r="690" spans="1:25" x14ac:dyDescent="0.2">
      <c r="A690" s="1037"/>
      <c r="B690" s="1037"/>
      <c r="C690" s="1037"/>
      <c r="D690" s="1037"/>
      <c r="E690" s="1037"/>
      <c r="R690" s="1038"/>
      <c r="S690" s="1038"/>
      <c r="T690" s="1038"/>
      <c r="U690" s="1038"/>
      <c r="V690" s="1038"/>
      <c r="W690" s="1038"/>
      <c r="X690" s="1038"/>
      <c r="Y690" s="1038"/>
    </row>
    <row r="691" spans="1:25" x14ac:dyDescent="0.2">
      <c r="A691" s="1037"/>
      <c r="B691" s="1037"/>
      <c r="C691" s="1037"/>
      <c r="D691" s="1037"/>
      <c r="E691" s="1037"/>
      <c r="R691" s="1038"/>
      <c r="S691" s="1038"/>
      <c r="T691" s="1038"/>
      <c r="U691" s="1038"/>
      <c r="V691" s="1038"/>
      <c r="W691" s="1038"/>
      <c r="X691" s="1038"/>
      <c r="Y691" s="1038"/>
    </row>
    <row r="692" spans="1:25" x14ac:dyDescent="0.2">
      <c r="A692" s="1037"/>
      <c r="B692" s="1037"/>
      <c r="C692" s="1037"/>
      <c r="D692" s="1037"/>
      <c r="E692" s="1037"/>
      <c r="R692" s="1038"/>
      <c r="S692" s="1038"/>
      <c r="T692" s="1038"/>
      <c r="U692" s="1038"/>
      <c r="V692" s="1038"/>
      <c r="W692" s="1038"/>
      <c r="X692" s="1038"/>
      <c r="Y692" s="1038"/>
    </row>
    <row r="693" spans="1:25" x14ac:dyDescent="0.2">
      <c r="A693" s="1037"/>
      <c r="B693" s="1037"/>
      <c r="C693" s="1037"/>
      <c r="D693" s="1037"/>
      <c r="E693" s="1037"/>
      <c r="R693" s="1038"/>
      <c r="S693" s="1038"/>
      <c r="T693" s="1038"/>
      <c r="U693" s="1038"/>
      <c r="V693" s="1038"/>
      <c r="W693" s="1038"/>
      <c r="X693" s="1038"/>
      <c r="Y693" s="1038"/>
    </row>
    <row r="694" spans="1:25" x14ac:dyDescent="0.2">
      <c r="A694" s="1037"/>
      <c r="B694" s="1037"/>
      <c r="C694" s="1037"/>
      <c r="D694" s="1037"/>
      <c r="E694" s="1037"/>
      <c r="R694" s="1038"/>
      <c r="S694" s="1038"/>
      <c r="T694" s="1038"/>
      <c r="U694" s="1038"/>
      <c r="V694" s="1038"/>
      <c r="W694" s="1038"/>
      <c r="X694" s="1038"/>
      <c r="Y694" s="1038"/>
    </row>
    <row r="695" spans="1:25" x14ac:dyDescent="0.2">
      <c r="A695" s="1037"/>
      <c r="B695" s="1037"/>
      <c r="C695" s="1037"/>
      <c r="D695" s="1037"/>
      <c r="E695" s="1037"/>
      <c r="R695" s="1038"/>
      <c r="S695" s="1038"/>
      <c r="T695" s="1038"/>
      <c r="U695" s="1038"/>
      <c r="V695" s="1038"/>
      <c r="W695" s="1038"/>
      <c r="X695" s="1038"/>
      <c r="Y695" s="1038"/>
    </row>
    <row r="696" spans="1:25" x14ac:dyDescent="0.2">
      <c r="A696" s="1037"/>
      <c r="B696" s="1037"/>
      <c r="C696" s="1037"/>
      <c r="D696" s="1037"/>
      <c r="E696" s="1037"/>
      <c r="R696" s="1038"/>
      <c r="S696" s="1038"/>
      <c r="T696" s="1038"/>
      <c r="U696" s="1038"/>
      <c r="V696" s="1038"/>
      <c r="W696" s="1038"/>
      <c r="X696" s="1038"/>
      <c r="Y696" s="1038"/>
    </row>
    <row r="697" spans="1:25" x14ac:dyDescent="0.2">
      <c r="A697" s="1037"/>
      <c r="B697" s="1037"/>
      <c r="C697" s="1037"/>
      <c r="D697" s="1037"/>
      <c r="E697" s="1037"/>
      <c r="R697" s="1038"/>
      <c r="S697" s="1038"/>
      <c r="T697" s="1038"/>
      <c r="U697" s="1038"/>
      <c r="V697" s="1038"/>
      <c r="W697" s="1038"/>
      <c r="X697" s="1038"/>
      <c r="Y697" s="1038"/>
    </row>
    <row r="698" spans="1:25" x14ac:dyDescent="0.2">
      <c r="A698" s="1037"/>
      <c r="B698" s="1037"/>
      <c r="C698" s="1037"/>
      <c r="D698" s="1037"/>
      <c r="E698" s="1037"/>
      <c r="R698" s="1038"/>
      <c r="S698" s="1038"/>
      <c r="T698" s="1038"/>
      <c r="U698" s="1038"/>
      <c r="V698" s="1038"/>
      <c r="W698" s="1038"/>
      <c r="X698" s="1038"/>
      <c r="Y698" s="1038"/>
    </row>
    <row r="699" spans="1:25" x14ac:dyDescent="0.2">
      <c r="A699" s="1037"/>
      <c r="B699" s="1037"/>
      <c r="C699" s="1037"/>
      <c r="D699" s="1037"/>
      <c r="E699" s="1037"/>
      <c r="R699" s="1038"/>
      <c r="S699" s="1038"/>
      <c r="T699" s="1038"/>
      <c r="U699" s="1038"/>
      <c r="V699" s="1038"/>
      <c r="W699" s="1038"/>
      <c r="X699" s="1038"/>
      <c r="Y699" s="1038"/>
    </row>
    <row r="700" spans="1:25" x14ac:dyDescent="0.2">
      <c r="A700" s="1037"/>
      <c r="B700" s="1037"/>
      <c r="C700" s="1037"/>
      <c r="D700" s="1037"/>
      <c r="E700" s="1037"/>
      <c r="R700" s="1038"/>
      <c r="S700" s="1038"/>
      <c r="T700" s="1038"/>
      <c r="U700" s="1038"/>
      <c r="V700" s="1038"/>
      <c r="W700" s="1038"/>
      <c r="X700" s="1038"/>
      <c r="Y700" s="1038"/>
    </row>
    <row r="701" spans="1:25" x14ac:dyDescent="0.2">
      <c r="A701" s="1037"/>
      <c r="B701" s="1037"/>
      <c r="C701" s="1037"/>
      <c r="D701" s="1037"/>
      <c r="E701" s="1037"/>
      <c r="R701" s="1038"/>
      <c r="S701" s="1038"/>
      <c r="T701" s="1038"/>
      <c r="U701" s="1038"/>
      <c r="V701" s="1038"/>
      <c r="W701" s="1038"/>
      <c r="X701" s="1038"/>
      <c r="Y701" s="1038"/>
    </row>
    <row r="702" spans="1:25" x14ac:dyDescent="0.2">
      <c r="A702" s="1037"/>
      <c r="B702" s="1037"/>
      <c r="C702" s="1037"/>
      <c r="D702" s="1037"/>
      <c r="E702" s="1037"/>
      <c r="R702" s="1038"/>
      <c r="S702" s="1038"/>
      <c r="T702" s="1038"/>
      <c r="U702" s="1038"/>
      <c r="V702" s="1038"/>
      <c r="W702" s="1038"/>
      <c r="X702" s="1038"/>
      <c r="Y702" s="1038"/>
    </row>
    <row r="703" spans="1:25" x14ac:dyDescent="0.2">
      <c r="A703" s="1037"/>
      <c r="B703" s="1037"/>
      <c r="C703" s="1037"/>
      <c r="D703" s="1037"/>
      <c r="E703" s="1037"/>
      <c r="R703" s="1038"/>
      <c r="S703" s="1038"/>
      <c r="T703" s="1038"/>
      <c r="U703" s="1038"/>
      <c r="V703" s="1038"/>
      <c r="W703" s="1038"/>
      <c r="X703" s="1038"/>
      <c r="Y703" s="1038"/>
    </row>
    <row r="704" spans="1:25" x14ac:dyDescent="0.2">
      <c r="A704" s="1037"/>
      <c r="B704" s="1037"/>
      <c r="C704" s="1037"/>
      <c r="D704" s="1037"/>
      <c r="E704" s="1037"/>
      <c r="R704" s="1038"/>
      <c r="S704" s="1038"/>
      <c r="T704" s="1038"/>
      <c r="U704" s="1038"/>
      <c r="V704" s="1038"/>
      <c r="W704" s="1038"/>
      <c r="X704" s="1038"/>
      <c r="Y704" s="1038"/>
    </row>
    <row r="705" spans="1:25" x14ac:dyDescent="0.2">
      <c r="A705" s="1037"/>
      <c r="B705" s="1037"/>
      <c r="C705" s="1037"/>
      <c r="D705" s="1037"/>
      <c r="E705" s="1037"/>
      <c r="R705" s="1038"/>
      <c r="S705" s="1038"/>
      <c r="T705" s="1038"/>
      <c r="U705" s="1038"/>
      <c r="V705" s="1038"/>
      <c r="W705" s="1038"/>
      <c r="X705" s="1038"/>
      <c r="Y705" s="1038"/>
    </row>
    <row r="706" spans="1:25" x14ac:dyDescent="0.2">
      <c r="A706" s="1037"/>
      <c r="B706" s="1037"/>
      <c r="C706" s="1037"/>
      <c r="D706" s="1037"/>
      <c r="E706" s="1037"/>
      <c r="R706" s="1038"/>
      <c r="S706" s="1038"/>
      <c r="T706" s="1038"/>
      <c r="U706" s="1038"/>
      <c r="V706" s="1038"/>
      <c r="W706" s="1038"/>
      <c r="X706" s="1038"/>
      <c r="Y706" s="1038"/>
    </row>
    <row r="707" spans="1:25" x14ac:dyDescent="0.2">
      <c r="A707" s="1037"/>
      <c r="B707" s="1037"/>
      <c r="C707" s="1037"/>
      <c r="D707" s="1037"/>
      <c r="E707" s="1037"/>
      <c r="R707" s="1038"/>
      <c r="S707" s="1038"/>
      <c r="T707" s="1038"/>
      <c r="U707" s="1038"/>
      <c r="V707" s="1038"/>
      <c r="W707" s="1038"/>
      <c r="X707" s="1038"/>
      <c r="Y707" s="1038"/>
    </row>
    <row r="708" spans="1:25" x14ac:dyDescent="0.2">
      <c r="A708" s="1037"/>
      <c r="B708" s="1037"/>
      <c r="C708" s="1037"/>
      <c r="D708" s="1037"/>
      <c r="E708" s="1037"/>
      <c r="R708" s="1038"/>
      <c r="S708" s="1038"/>
      <c r="T708" s="1038"/>
      <c r="U708" s="1038"/>
      <c r="V708" s="1038"/>
      <c r="W708" s="1038"/>
      <c r="X708" s="1038"/>
      <c r="Y708" s="1038"/>
    </row>
    <row r="709" spans="1:25" x14ac:dyDescent="0.2">
      <c r="A709" s="1037"/>
      <c r="B709" s="1037"/>
      <c r="C709" s="1037"/>
      <c r="D709" s="1037"/>
      <c r="E709" s="1037"/>
      <c r="R709" s="1038"/>
      <c r="S709" s="1038"/>
      <c r="T709" s="1038"/>
      <c r="U709" s="1038"/>
      <c r="V709" s="1038"/>
      <c r="W709" s="1038"/>
      <c r="X709" s="1038"/>
      <c r="Y709" s="1038"/>
    </row>
    <row r="710" spans="1:25" x14ac:dyDescent="0.2">
      <c r="A710" s="1037"/>
      <c r="B710" s="1037"/>
      <c r="C710" s="1037"/>
      <c r="D710" s="1037"/>
      <c r="E710" s="1037"/>
      <c r="R710" s="1038"/>
      <c r="S710" s="1038"/>
      <c r="T710" s="1038"/>
      <c r="U710" s="1038"/>
      <c r="V710" s="1038"/>
      <c r="W710" s="1038"/>
      <c r="X710" s="1038"/>
      <c r="Y710" s="1038"/>
    </row>
    <row r="711" spans="1:25" x14ac:dyDescent="0.2">
      <c r="A711" s="1037"/>
      <c r="B711" s="1037"/>
      <c r="C711" s="1037"/>
      <c r="D711" s="1037"/>
      <c r="E711" s="1037"/>
      <c r="R711" s="1038"/>
      <c r="S711" s="1038"/>
      <c r="T711" s="1038"/>
      <c r="U711" s="1038"/>
      <c r="V711" s="1038"/>
      <c r="W711" s="1038"/>
      <c r="X711" s="1038"/>
      <c r="Y711" s="1038"/>
    </row>
    <row r="712" spans="1:25" x14ac:dyDescent="0.2">
      <c r="A712" s="1037"/>
      <c r="B712" s="1037"/>
      <c r="C712" s="1037"/>
      <c r="D712" s="1037"/>
      <c r="E712" s="1037"/>
      <c r="R712" s="1038"/>
      <c r="S712" s="1038"/>
      <c r="T712" s="1038"/>
      <c r="U712" s="1038"/>
      <c r="V712" s="1038"/>
      <c r="W712" s="1038"/>
      <c r="X712" s="1038"/>
      <c r="Y712" s="1038"/>
    </row>
    <row r="713" spans="1:25" x14ac:dyDescent="0.2">
      <c r="A713" s="1037"/>
      <c r="B713" s="1037"/>
      <c r="C713" s="1037"/>
      <c r="D713" s="1037"/>
      <c r="E713" s="1037"/>
      <c r="R713" s="1038"/>
      <c r="S713" s="1038"/>
      <c r="T713" s="1038"/>
      <c r="U713" s="1038"/>
      <c r="V713" s="1038"/>
      <c r="W713" s="1038"/>
      <c r="X713" s="1038"/>
      <c r="Y713" s="1038"/>
    </row>
    <row r="714" spans="1:25" x14ac:dyDescent="0.2">
      <c r="A714" s="1037"/>
      <c r="B714" s="1037"/>
      <c r="C714" s="1037"/>
      <c r="D714" s="1037"/>
      <c r="E714" s="1037"/>
      <c r="R714" s="1038"/>
      <c r="S714" s="1038"/>
      <c r="T714" s="1038"/>
      <c r="U714" s="1038"/>
      <c r="V714" s="1038"/>
      <c r="W714" s="1038"/>
      <c r="X714" s="1038"/>
      <c r="Y714" s="1038"/>
    </row>
    <row r="715" spans="1:25" x14ac:dyDescent="0.2">
      <c r="A715" s="1037"/>
      <c r="B715" s="1037"/>
      <c r="C715" s="1037"/>
      <c r="D715" s="1037"/>
      <c r="E715" s="1037"/>
      <c r="R715" s="1038"/>
      <c r="S715" s="1038"/>
      <c r="T715" s="1038"/>
      <c r="U715" s="1038"/>
      <c r="V715" s="1038"/>
      <c r="W715" s="1038"/>
      <c r="X715" s="1038"/>
      <c r="Y715" s="1038"/>
    </row>
    <row r="716" spans="1:25" x14ac:dyDescent="0.2">
      <c r="A716" s="1037"/>
      <c r="B716" s="1037"/>
      <c r="C716" s="1037"/>
      <c r="D716" s="1037"/>
      <c r="E716" s="1037"/>
      <c r="R716" s="1038"/>
      <c r="S716" s="1038"/>
      <c r="T716" s="1038"/>
      <c r="U716" s="1038"/>
      <c r="V716" s="1038"/>
      <c r="W716" s="1038"/>
      <c r="X716" s="1038"/>
      <c r="Y716" s="1038"/>
    </row>
    <row r="717" spans="1:25" x14ac:dyDescent="0.2">
      <c r="A717" s="1037"/>
      <c r="B717" s="1037"/>
      <c r="C717" s="1037"/>
      <c r="D717" s="1037"/>
      <c r="E717" s="1037"/>
      <c r="R717" s="1038"/>
      <c r="S717" s="1038"/>
      <c r="T717" s="1038"/>
      <c r="U717" s="1038"/>
      <c r="V717" s="1038"/>
      <c r="W717" s="1038"/>
      <c r="X717" s="1038"/>
      <c r="Y717" s="1038"/>
    </row>
    <row r="718" spans="1:25" x14ac:dyDescent="0.2">
      <c r="A718" s="1037"/>
      <c r="B718" s="1037"/>
      <c r="C718" s="1037"/>
      <c r="D718" s="1037"/>
      <c r="E718" s="1037"/>
      <c r="R718" s="1038"/>
      <c r="S718" s="1038"/>
      <c r="T718" s="1038"/>
      <c r="U718" s="1038"/>
      <c r="V718" s="1038"/>
      <c r="W718" s="1038"/>
      <c r="X718" s="1038"/>
      <c r="Y718" s="1038"/>
    </row>
    <row r="719" spans="1:25" x14ac:dyDescent="0.2">
      <c r="A719" s="1037"/>
      <c r="B719" s="1037"/>
      <c r="C719" s="1037"/>
      <c r="D719" s="1037"/>
      <c r="E719" s="1037"/>
      <c r="R719" s="1038"/>
      <c r="S719" s="1038"/>
      <c r="T719" s="1038"/>
      <c r="U719" s="1038"/>
      <c r="V719" s="1038"/>
      <c r="W719" s="1038"/>
      <c r="X719" s="1038"/>
      <c r="Y719" s="1038"/>
    </row>
    <row r="720" spans="1:25" x14ac:dyDescent="0.2">
      <c r="A720" s="1037"/>
      <c r="B720" s="1037"/>
      <c r="C720" s="1037"/>
      <c r="D720" s="1037"/>
      <c r="E720" s="1037"/>
      <c r="R720" s="1038"/>
      <c r="S720" s="1038"/>
      <c r="T720" s="1038"/>
      <c r="U720" s="1038"/>
      <c r="V720" s="1038"/>
      <c r="W720" s="1038"/>
      <c r="X720" s="1038"/>
      <c r="Y720" s="1038"/>
    </row>
    <row r="721" spans="1:25" x14ac:dyDescent="0.2">
      <c r="A721" s="1037"/>
      <c r="B721" s="1037"/>
      <c r="C721" s="1037"/>
      <c r="D721" s="1037"/>
      <c r="E721" s="1037"/>
      <c r="R721" s="1038"/>
      <c r="S721" s="1038"/>
      <c r="T721" s="1038"/>
      <c r="U721" s="1038"/>
      <c r="V721" s="1038"/>
      <c r="W721" s="1038"/>
      <c r="X721" s="1038"/>
      <c r="Y721" s="1038"/>
    </row>
    <row r="722" spans="1:25" x14ac:dyDescent="0.2">
      <c r="A722" s="1037"/>
      <c r="B722" s="1037"/>
      <c r="C722" s="1037"/>
      <c r="D722" s="1037"/>
      <c r="E722" s="1037"/>
      <c r="R722" s="1038"/>
      <c r="S722" s="1038"/>
      <c r="T722" s="1038"/>
      <c r="U722" s="1038"/>
      <c r="V722" s="1038"/>
      <c r="W722" s="1038"/>
      <c r="X722" s="1038"/>
      <c r="Y722" s="1038"/>
    </row>
    <row r="723" spans="1:25" x14ac:dyDescent="0.2">
      <c r="A723" s="1037"/>
      <c r="B723" s="1037"/>
      <c r="C723" s="1037"/>
      <c r="D723" s="1037"/>
      <c r="E723" s="1037"/>
      <c r="R723" s="1038"/>
      <c r="S723" s="1038"/>
      <c r="T723" s="1038"/>
      <c r="U723" s="1038"/>
      <c r="V723" s="1038"/>
      <c r="W723" s="1038"/>
      <c r="X723" s="1038"/>
      <c r="Y723" s="1038"/>
    </row>
    <row r="724" spans="1:25" x14ac:dyDescent="0.2">
      <c r="A724" s="1037"/>
      <c r="B724" s="1037"/>
      <c r="C724" s="1037"/>
      <c r="D724" s="1037"/>
      <c r="E724" s="1037"/>
      <c r="R724" s="1038"/>
      <c r="S724" s="1038"/>
      <c r="T724" s="1038"/>
      <c r="U724" s="1038"/>
      <c r="V724" s="1038"/>
      <c r="W724" s="1038"/>
      <c r="X724" s="1038"/>
      <c r="Y724" s="1038"/>
    </row>
    <row r="725" spans="1:25" x14ac:dyDescent="0.2">
      <c r="A725" s="1037"/>
      <c r="B725" s="1037"/>
      <c r="C725" s="1037"/>
      <c r="D725" s="1037"/>
      <c r="E725" s="1037"/>
      <c r="R725" s="1038"/>
      <c r="S725" s="1038"/>
      <c r="T725" s="1038"/>
      <c r="U725" s="1038"/>
      <c r="V725" s="1038"/>
      <c r="W725" s="1038"/>
      <c r="X725" s="1038"/>
      <c r="Y725" s="1038"/>
    </row>
    <row r="726" spans="1:25" x14ac:dyDescent="0.2">
      <c r="A726" s="1037"/>
      <c r="B726" s="1037"/>
      <c r="C726" s="1037"/>
      <c r="D726" s="1037"/>
      <c r="E726" s="1037"/>
      <c r="R726" s="1038"/>
      <c r="S726" s="1038"/>
      <c r="T726" s="1038"/>
      <c r="U726" s="1038"/>
      <c r="V726" s="1038"/>
      <c r="W726" s="1038"/>
      <c r="X726" s="1038"/>
      <c r="Y726" s="1038"/>
    </row>
    <row r="727" spans="1:25" x14ac:dyDescent="0.2">
      <c r="A727" s="1037"/>
      <c r="B727" s="1037"/>
      <c r="C727" s="1037"/>
      <c r="D727" s="1037"/>
      <c r="E727" s="1037"/>
      <c r="R727" s="1038"/>
      <c r="S727" s="1038"/>
      <c r="T727" s="1038"/>
      <c r="U727" s="1038"/>
      <c r="V727" s="1038"/>
      <c r="W727" s="1038"/>
      <c r="X727" s="1038"/>
      <c r="Y727" s="1038"/>
    </row>
    <row r="728" spans="1:25" x14ac:dyDescent="0.2">
      <c r="A728" s="1037"/>
      <c r="B728" s="1037"/>
      <c r="C728" s="1037"/>
      <c r="D728" s="1037"/>
      <c r="E728" s="1037"/>
      <c r="R728" s="1038"/>
      <c r="S728" s="1038"/>
      <c r="T728" s="1038"/>
      <c r="U728" s="1038"/>
      <c r="V728" s="1038"/>
      <c r="W728" s="1038"/>
      <c r="X728" s="1038"/>
      <c r="Y728" s="1038"/>
    </row>
    <row r="729" spans="1:25" x14ac:dyDescent="0.2">
      <c r="A729" s="1037"/>
      <c r="B729" s="1037"/>
      <c r="C729" s="1037"/>
      <c r="D729" s="1037"/>
      <c r="E729" s="1037"/>
      <c r="R729" s="1038"/>
      <c r="S729" s="1038"/>
      <c r="T729" s="1038"/>
      <c r="U729" s="1038"/>
      <c r="V729" s="1038"/>
      <c r="W729" s="1038"/>
      <c r="X729" s="1038"/>
      <c r="Y729" s="1038"/>
    </row>
    <row r="730" spans="1:25" x14ac:dyDescent="0.2">
      <c r="A730" s="1037"/>
      <c r="B730" s="1037"/>
      <c r="C730" s="1037"/>
      <c r="D730" s="1037"/>
      <c r="E730" s="1037"/>
      <c r="R730" s="1038"/>
      <c r="S730" s="1038"/>
      <c r="T730" s="1038"/>
      <c r="U730" s="1038"/>
      <c r="V730" s="1038"/>
      <c r="W730" s="1038"/>
      <c r="X730" s="1038"/>
      <c r="Y730" s="1038"/>
    </row>
    <row r="731" spans="1:25" x14ac:dyDescent="0.2">
      <c r="A731" s="1037"/>
      <c r="B731" s="1037"/>
      <c r="C731" s="1037"/>
      <c r="D731" s="1037"/>
      <c r="E731" s="1037"/>
      <c r="R731" s="1038"/>
      <c r="S731" s="1038"/>
      <c r="T731" s="1038"/>
      <c r="U731" s="1038"/>
      <c r="V731" s="1038"/>
      <c r="W731" s="1038"/>
      <c r="X731" s="1038"/>
      <c r="Y731" s="1038"/>
    </row>
    <row r="732" spans="1:25" x14ac:dyDescent="0.2">
      <c r="A732" s="1037"/>
      <c r="B732" s="1037"/>
      <c r="C732" s="1037"/>
      <c r="D732" s="1037"/>
      <c r="E732" s="1037"/>
      <c r="R732" s="1038"/>
      <c r="S732" s="1038"/>
      <c r="T732" s="1038"/>
      <c r="U732" s="1038"/>
      <c r="V732" s="1038"/>
      <c r="W732" s="1038"/>
      <c r="X732" s="1038"/>
      <c r="Y732" s="1038"/>
    </row>
    <row r="733" spans="1:25" x14ac:dyDescent="0.2">
      <c r="A733" s="1037"/>
      <c r="B733" s="1037"/>
      <c r="C733" s="1037"/>
      <c r="D733" s="1037"/>
      <c r="E733" s="1037"/>
      <c r="R733" s="1038"/>
      <c r="S733" s="1038"/>
      <c r="T733" s="1038"/>
      <c r="U733" s="1038"/>
      <c r="V733" s="1038"/>
      <c r="W733" s="1038"/>
      <c r="X733" s="1038"/>
      <c r="Y733" s="1038"/>
    </row>
    <row r="734" spans="1:25" x14ac:dyDescent="0.2">
      <c r="A734" s="1037"/>
      <c r="B734" s="1037"/>
      <c r="C734" s="1037"/>
      <c r="D734" s="1037"/>
      <c r="E734" s="1037"/>
      <c r="R734" s="1038"/>
      <c r="S734" s="1038"/>
      <c r="T734" s="1038"/>
      <c r="U734" s="1038"/>
      <c r="V734" s="1038"/>
      <c r="W734" s="1038"/>
      <c r="X734" s="1038"/>
      <c r="Y734" s="1038"/>
    </row>
    <row r="735" spans="1:25" x14ac:dyDescent="0.2">
      <c r="A735" s="1037"/>
      <c r="B735" s="1037"/>
      <c r="C735" s="1037"/>
      <c r="D735" s="1037"/>
      <c r="E735" s="1037"/>
      <c r="R735" s="1038"/>
      <c r="S735" s="1038"/>
      <c r="T735" s="1038"/>
      <c r="U735" s="1038"/>
      <c r="V735" s="1038"/>
      <c r="W735" s="1038"/>
      <c r="X735" s="1038"/>
      <c r="Y735" s="1038"/>
    </row>
    <row r="736" spans="1:25" x14ac:dyDescent="0.2">
      <c r="A736" s="1037"/>
      <c r="B736" s="1037"/>
      <c r="C736" s="1037"/>
      <c r="D736" s="1037"/>
      <c r="E736" s="1037"/>
      <c r="R736" s="1038"/>
      <c r="S736" s="1038"/>
      <c r="T736" s="1038"/>
      <c r="U736" s="1038"/>
      <c r="V736" s="1038"/>
      <c r="W736" s="1038"/>
      <c r="X736" s="1038"/>
      <c r="Y736" s="1038"/>
    </row>
    <row r="737" spans="1:25" x14ac:dyDescent="0.2">
      <c r="A737" s="1037"/>
      <c r="B737" s="1037"/>
      <c r="C737" s="1037"/>
      <c r="D737" s="1037"/>
      <c r="E737" s="1037"/>
      <c r="R737" s="1038"/>
      <c r="S737" s="1038"/>
      <c r="T737" s="1038"/>
      <c r="U737" s="1038"/>
      <c r="V737" s="1038"/>
      <c r="W737" s="1038"/>
      <c r="X737" s="1038"/>
      <c r="Y737" s="1038"/>
    </row>
    <row r="738" spans="1:25" x14ac:dyDescent="0.2">
      <c r="A738" s="1037"/>
      <c r="B738" s="1037"/>
      <c r="C738" s="1037"/>
      <c r="D738" s="1037"/>
      <c r="E738" s="1037"/>
      <c r="R738" s="1038"/>
      <c r="S738" s="1038"/>
      <c r="T738" s="1038"/>
      <c r="U738" s="1038"/>
      <c r="V738" s="1038"/>
      <c r="W738" s="1038"/>
      <c r="X738" s="1038"/>
      <c r="Y738" s="1038"/>
    </row>
    <row r="739" spans="1:25" x14ac:dyDescent="0.2">
      <c r="A739" s="1037"/>
      <c r="B739" s="1037"/>
      <c r="C739" s="1037"/>
      <c r="D739" s="1037"/>
      <c r="E739" s="1037"/>
      <c r="R739" s="1038"/>
      <c r="S739" s="1038"/>
      <c r="T739" s="1038"/>
      <c r="U739" s="1038"/>
      <c r="V739" s="1038"/>
      <c r="W739" s="1038"/>
      <c r="X739" s="1038"/>
      <c r="Y739" s="1038"/>
    </row>
    <row r="740" spans="1:25" x14ac:dyDescent="0.2">
      <c r="A740" s="1037"/>
      <c r="B740" s="1037"/>
      <c r="C740" s="1037"/>
      <c r="D740" s="1037"/>
      <c r="E740" s="1037"/>
      <c r="R740" s="1038"/>
      <c r="S740" s="1038"/>
      <c r="T740" s="1038"/>
      <c r="U740" s="1038"/>
      <c r="V740" s="1038"/>
      <c r="W740" s="1038"/>
      <c r="X740" s="1038"/>
      <c r="Y740" s="1038"/>
    </row>
    <row r="741" spans="1:25" x14ac:dyDescent="0.2">
      <c r="A741" s="1037"/>
      <c r="B741" s="1037"/>
      <c r="C741" s="1037"/>
      <c r="D741" s="1037"/>
      <c r="E741" s="1037"/>
      <c r="R741" s="1038"/>
      <c r="S741" s="1038"/>
      <c r="T741" s="1038"/>
      <c r="U741" s="1038"/>
      <c r="V741" s="1038"/>
      <c r="W741" s="1038"/>
      <c r="X741" s="1038"/>
      <c r="Y741" s="1038"/>
    </row>
    <row r="742" spans="1:25" x14ac:dyDescent="0.2">
      <c r="A742" s="1037"/>
      <c r="B742" s="1037"/>
      <c r="C742" s="1037"/>
      <c r="D742" s="1037"/>
      <c r="E742" s="1037"/>
      <c r="R742" s="1038"/>
      <c r="S742" s="1038"/>
      <c r="T742" s="1038"/>
      <c r="U742" s="1038"/>
      <c r="V742" s="1038"/>
      <c r="W742" s="1038"/>
      <c r="X742" s="1038"/>
      <c r="Y742" s="1038"/>
    </row>
    <row r="743" spans="1:25" x14ac:dyDescent="0.2">
      <c r="A743" s="1037"/>
      <c r="B743" s="1037"/>
      <c r="C743" s="1037"/>
      <c r="D743" s="1037"/>
      <c r="E743" s="1037"/>
      <c r="R743" s="1038"/>
      <c r="S743" s="1038"/>
      <c r="T743" s="1038"/>
      <c r="U743" s="1038"/>
      <c r="V743" s="1038"/>
      <c r="W743" s="1038"/>
      <c r="X743" s="1038"/>
      <c r="Y743" s="1038"/>
    </row>
    <row r="744" spans="1:25" x14ac:dyDescent="0.2">
      <c r="A744" s="1037"/>
      <c r="B744" s="1037"/>
      <c r="C744" s="1037"/>
      <c r="D744" s="1037"/>
      <c r="E744" s="1037"/>
      <c r="R744" s="1038"/>
      <c r="S744" s="1038"/>
      <c r="T744" s="1038"/>
      <c r="U744" s="1038"/>
      <c r="V744" s="1038"/>
      <c r="W744" s="1038"/>
      <c r="X744" s="1038"/>
      <c r="Y744" s="1038"/>
    </row>
    <row r="745" spans="1:25" x14ac:dyDescent="0.2">
      <c r="A745" s="1037"/>
      <c r="B745" s="1037"/>
      <c r="C745" s="1037"/>
      <c r="D745" s="1037"/>
      <c r="E745" s="1037"/>
      <c r="R745" s="1038"/>
      <c r="S745" s="1038"/>
      <c r="T745" s="1038"/>
      <c r="U745" s="1038"/>
      <c r="V745" s="1038"/>
      <c r="W745" s="1038"/>
      <c r="X745" s="1038"/>
      <c r="Y745" s="1038"/>
    </row>
    <row r="746" spans="1:25" x14ac:dyDescent="0.2">
      <c r="A746" s="1037"/>
      <c r="B746" s="1037"/>
      <c r="C746" s="1037"/>
      <c r="D746" s="1037"/>
      <c r="E746" s="1037"/>
      <c r="R746" s="1038"/>
      <c r="S746" s="1038"/>
      <c r="T746" s="1038"/>
      <c r="U746" s="1038"/>
      <c r="V746" s="1038"/>
      <c r="W746" s="1038"/>
      <c r="X746" s="1038"/>
      <c r="Y746" s="1038"/>
    </row>
    <row r="747" spans="1:25" x14ac:dyDescent="0.2">
      <c r="A747" s="1037"/>
      <c r="B747" s="1037"/>
      <c r="C747" s="1037"/>
      <c r="D747" s="1037"/>
      <c r="E747" s="1037"/>
      <c r="R747" s="1038"/>
      <c r="S747" s="1038"/>
      <c r="T747" s="1038"/>
      <c r="U747" s="1038"/>
      <c r="V747" s="1038"/>
      <c r="W747" s="1038"/>
      <c r="X747" s="1038"/>
      <c r="Y747" s="1038"/>
    </row>
    <row r="748" spans="1:25" x14ac:dyDescent="0.2">
      <c r="A748" s="1037"/>
      <c r="B748" s="1037"/>
      <c r="C748" s="1037"/>
      <c r="D748" s="1037"/>
      <c r="E748" s="1037"/>
      <c r="R748" s="1038"/>
      <c r="S748" s="1038"/>
      <c r="T748" s="1038"/>
      <c r="U748" s="1038"/>
      <c r="V748" s="1038"/>
      <c r="W748" s="1038"/>
      <c r="X748" s="1038"/>
      <c r="Y748" s="1038"/>
    </row>
    <row r="749" spans="1:25" x14ac:dyDescent="0.2">
      <c r="A749" s="1037"/>
      <c r="B749" s="1037"/>
      <c r="C749" s="1037"/>
      <c r="D749" s="1037"/>
      <c r="E749" s="1037"/>
      <c r="R749" s="1038"/>
      <c r="S749" s="1038"/>
      <c r="T749" s="1038"/>
      <c r="U749" s="1038"/>
      <c r="V749" s="1038"/>
      <c r="W749" s="1038"/>
      <c r="X749" s="1038"/>
      <c r="Y749" s="1038"/>
    </row>
    <row r="750" spans="1:25" x14ac:dyDescent="0.2">
      <c r="A750" s="1037"/>
      <c r="B750" s="1037"/>
      <c r="C750" s="1037"/>
      <c r="D750" s="1037"/>
      <c r="E750" s="1037"/>
      <c r="R750" s="1038"/>
      <c r="S750" s="1038"/>
      <c r="T750" s="1038"/>
      <c r="U750" s="1038"/>
      <c r="V750" s="1038"/>
      <c r="W750" s="1038"/>
      <c r="X750" s="1038"/>
      <c r="Y750" s="1038"/>
    </row>
    <row r="751" spans="1:25" x14ac:dyDescent="0.2">
      <c r="A751" s="1037"/>
      <c r="B751" s="1037"/>
      <c r="C751" s="1037"/>
      <c r="D751" s="1037"/>
      <c r="E751" s="1037"/>
      <c r="R751" s="1038"/>
      <c r="S751" s="1038"/>
      <c r="T751" s="1038"/>
      <c r="U751" s="1038"/>
      <c r="V751" s="1038"/>
      <c r="W751" s="1038"/>
      <c r="X751" s="1038"/>
      <c r="Y751" s="1038"/>
    </row>
    <row r="752" spans="1:25" x14ac:dyDescent="0.2">
      <c r="A752" s="1037"/>
      <c r="B752" s="1037"/>
      <c r="C752" s="1037"/>
      <c r="D752" s="1037"/>
      <c r="E752" s="1037"/>
      <c r="R752" s="1038"/>
      <c r="S752" s="1038"/>
      <c r="T752" s="1038"/>
      <c r="U752" s="1038"/>
      <c r="V752" s="1038"/>
      <c r="W752" s="1038"/>
      <c r="X752" s="1038"/>
      <c r="Y752" s="1038"/>
    </row>
    <row r="753" spans="1:25" x14ac:dyDescent="0.2">
      <c r="A753" s="1037"/>
      <c r="B753" s="1037"/>
      <c r="C753" s="1037"/>
      <c r="D753" s="1037"/>
      <c r="E753" s="1037"/>
      <c r="R753" s="1038"/>
      <c r="S753" s="1038"/>
      <c r="T753" s="1038"/>
      <c r="U753" s="1038"/>
      <c r="V753" s="1038"/>
      <c r="W753" s="1038"/>
      <c r="X753" s="1038"/>
      <c r="Y753" s="1038"/>
    </row>
    <row r="754" spans="1:25" x14ac:dyDescent="0.2">
      <c r="A754" s="1037"/>
      <c r="B754" s="1037"/>
      <c r="C754" s="1037"/>
      <c r="D754" s="1037"/>
      <c r="E754" s="1037"/>
      <c r="R754" s="1038"/>
      <c r="S754" s="1038"/>
      <c r="T754" s="1038"/>
      <c r="U754" s="1038"/>
      <c r="V754" s="1038"/>
      <c r="W754" s="1038"/>
      <c r="X754" s="1038"/>
      <c r="Y754" s="1038"/>
    </row>
    <row r="755" spans="1:25" x14ac:dyDescent="0.2">
      <c r="A755" s="1037"/>
      <c r="B755" s="1037"/>
      <c r="C755" s="1037"/>
      <c r="D755" s="1037"/>
      <c r="E755" s="1037"/>
      <c r="R755" s="1038"/>
      <c r="S755" s="1038"/>
      <c r="T755" s="1038"/>
      <c r="U755" s="1038"/>
      <c r="V755" s="1038"/>
      <c r="W755" s="1038"/>
      <c r="X755" s="1038"/>
      <c r="Y755" s="1038"/>
    </row>
    <row r="756" spans="1:25" x14ac:dyDescent="0.2">
      <c r="A756" s="1037"/>
      <c r="B756" s="1037"/>
      <c r="C756" s="1037"/>
      <c r="D756" s="1037"/>
      <c r="E756" s="1037"/>
      <c r="R756" s="1038"/>
      <c r="S756" s="1038"/>
      <c r="T756" s="1038"/>
      <c r="U756" s="1038"/>
      <c r="V756" s="1038"/>
      <c r="W756" s="1038"/>
      <c r="X756" s="1038"/>
      <c r="Y756" s="1038"/>
    </row>
    <row r="757" spans="1:25" x14ac:dyDescent="0.2">
      <c r="A757" s="1037"/>
      <c r="B757" s="1037"/>
      <c r="C757" s="1037"/>
      <c r="D757" s="1037"/>
      <c r="E757" s="1037"/>
      <c r="R757" s="1038"/>
      <c r="S757" s="1038"/>
      <c r="T757" s="1038"/>
      <c r="U757" s="1038"/>
      <c r="V757" s="1038"/>
      <c r="W757" s="1038"/>
      <c r="X757" s="1038"/>
      <c r="Y757" s="1038"/>
    </row>
    <row r="758" spans="1:25" x14ac:dyDescent="0.2">
      <c r="A758" s="1037"/>
      <c r="B758" s="1037"/>
      <c r="C758" s="1037"/>
      <c r="D758" s="1037"/>
      <c r="E758" s="1037"/>
      <c r="R758" s="1038"/>
      <c r="S758" s="1038"/>
      <c r="T758" s="1038"/>
      <c r="U758" s="1038"/>
      <c r="V758" s="1038"/>
      <c r="W758" s="1038"/>
      <c r="X758" s="1038"/>
      <c r="Y758" s="1038"/>
    </row>
    <row r="759" spans="1:25" x14ac:dyDescent="0.2">
      <c r="A759" s="1037"/>
      <c r="B759" s="1037"/>
      <c r="C759" s="1037"/>
      <c r="D759" s="1037"/>
      <c r="E759" s="1037"/>
      <c r="R759" s="1038"/>
      <c r="S759" s="1038"/>
      <c r="T759" s="1038"/>
      <c r="U759" s="1038"/>
      <c r="V759" s="1038"/>
      <c r="W759" s="1038"/>
      <c r="X759" s="1038"/>
      <c r="Y759" s="1038"/>
    </row>
    <row r="760" spans="1:25" x14ac:dyDescent="0.2">
      <c r="A760" s="1037"/>
      <c r="B760" s="1037"/>
      <c r="C760" s="1037"/>
      <c r="D760" s="1037"/>
      <c r="E760" s="1037"/>
      <c r="R760" s="1038"/>
      <c r="S760" s="1038"/>
      <c r="T760" s="1038"/>
      <c r="U760" s="1038"/>
      <c r="V760" s="1038"/>
      <c r="W760" s="1038"/>
      <c r="X760" s="1038"/>
      <c r="Y760" s="1038"/>
    </row>
    <row r="761" spans="1:25" x14ac:dyDescent="0.2">
      <c r="A761" s="1037"/>
      <c r="B761" s="1037"/>
      <c r="C761" s="1037"/>
      <c r="D761" s="1037"/>
      <c r="E761" s="1037"/>
      <c r="R761" s="1038"/>
      <c r="S761" s="1038"/>
      <c r="T761" s="1038"/>
      <c r="U761" s="1038"/>
      <c r="V761" s="1038"/>
      <c r="W761" s="1038"/>
      <c r="X761" s="1038"/>
      <c r="Y761" s="1038"/>
    </row>
    <row r="762" spans="1:25" x14ac:dyDescent="0.2">
      <c r="A762" s="1037"/>
      <c r="B762" s="1037"/>
      <c r="C762" s="1037"/>
      <c r="D762" s="1037"/>
      <c r="E762" s="1037"/>
      <c r="R762" s="1038"/>
      <c r="S762" s="1038"/>
      <c r="T762" s="1038"/>
      <c r="U762" s="1038"/>
      <c r="V762" s="1038"/>
      <c r="W762" s="1038"/>
      <c r="X762" s="1038"/>
      <c r="Y762" s="1038"/>
    </row>
    <row r="763" spans="1:25" x14ac:dyDescent="0.2">
      <c r="A763" s="1037"/>
      <c r="B763" s="1037"/>
      <c r="C763" s="1037"/>
      <c r="D763" s="1037"/>
      <c r="E763" s="1037"/>
      <c r="R763" s="1038"/>
      <c r="S763" s="1038"/>
      <c r="T763" s="1038"/>
      <c r="U763" s="1038"/>
      <c r="V763" s="1038"/>
      <c r="W763" s="1038"/>
      <c r="X763" s="1038"/>
      <c r="Y763" s="1038"/>
    </row>
    <row r="764" spans="1:25" x14ac:dyDescent="0.2">
      <c r="A764" s="1037"/>
      <c r="B764" s="1037"/>
      <c r="C764" s="1037"/>
      <c r="D764" s="1037"/>
      <c r="E764" s="1037"/>
      <c r="R764" s="1038"/>
      <c r="S764" s="1038"/>
      <c r="T764" s="1038"/>
      <c r="U764" s="1038"/>
      <c r="V764" s="1038"/>
      <c r="W764" s="1038"/>
      <c r="X764" s="1038"/>
      <c r="Y764" s="1038"/>
    </row>
    <row r="765" spans="1:25" x14ac:dyDescent="0.2">
      <c r="A765" s="1037"/>
      <c r="B765" s="1037"/>
      <c r="C765" s="1037"/>
      <c r="D765" s="1037"/>
      <c r="E765" s="1037"/>
      <c r="R765" s="1038"/>
      <c r="S765" s="1038"/>
      <c r="T765" s="1038"/>
      <c r="U765" s="1038"/>
      <c r="V765" s="1038"/>
      <c r="W765" s="1038"/>
      <c r="X765" s="1038"/>
      <c r="Y765" s="1038"/>
    </row>
    <row r="766" spans="1:25" x14ac:dyDescent="0.2">
      <c r="A766" s="1037"/>
      <c r="B766" s="1037"/>
      <c r="C766" s="1037"/>
      <c r="D766" s="1037"/>
      <c r="E766" s="1037"/>
      <c r="R766" s="1038"/>
      <c r="S766" s="1038"/>
      <c r="T766" s="1038"/>
      <c r="U766" s="1038"/>
      <c r="V766" s="1038"/>
      <c r="W766" s="1038"/>
      <c r="X766" s="1038"/>
      <c r="Y766" s="1038"/>
    </row>
    <row r="767" spans="1:25" x14ac:dyDescent="0.2">
      <c r="A767" s="1037"/>
      <c r="B767" s="1037"/>
      <c r="C767" s="1037"/>
      <c r="D767" s="1037"/>
      <c r="E767" s="1037"/>
      <c r="R767" s="1038"/>
      <c r="S767" s="1038"/>
      <c r="T767" s="1038"/>
      <c r="U767" s="1038"/>
      <c r="V767" s="1038"/>
      <c r="W767" s="1038"/>
      <c r="X767" s="1038"/>
      <c r="Y767" s="1038"/>
    </row>
    <row r="768" spans="1:25" x14ac:dyDescent="0.2">
      <c r="A768" s="1037"/>
      <c r="B768" s="1037"/>
      <c r="C768" s="1037"/>
      <c r="D768" s="1037"/>
      <c r="E768" s="1037"/>
      <c r="R768" s="1038"/>
      <c r="S768" s="1038"/>
      <c r="T768" s="1038"/>
      <c r="U768" s="1038"/>
      <c r="V768" s="1038"/>
      <c r="W768" s="1038"/>
      <c r="X768" s="1038"/>
      <c r="Y768" s="1038"/>
    </row>
    <row r="769" spans="1:25" x14ac:dyDescent="0.2">
      <c r="A769" s="1037"/>
      <c r="B769" s="1037"/>
      <c r="C769" s="1037"/>
      <c r="D769" s="1037"/>
      <c r="E769" s="1037"/>
      <c r="R769" s="1038"/>
      <c r="S769" s="1038"/>
      <c r="T769" s="1038"/>
      <c r="U769" s="1038"/>
      <c r="V769" s="1038"/>
      <c r="W769" s="1038"/>
      <c r="X769" s="1038"/>
      <c r="Y769" s="1038"/>
    </row>
    <row r="770" spans="1:25" x14ac:dyDescent="0.2">
      <c r="A770" s="1037"/>
      <c r="B770" s="1037"/>
      <c r="C770" s="1037"/>
      <c r="D770" s="1037"/>
      <c r="E770" s="1037"/>
      <c r="R770" s="1038"/>
      <c r="S770" s="1038"/>
      <c r="T770" s="1038"/>
      <c r="U770" s="1038"/>
      <c r="V770" s="1038"/>
      <c r="W770" s="1038"/>
      <c r="X770" s="1038"/>
      <c r="Y770" s="1038"/>
    </row>
    <row r="771" spans="1:25" x14ac:dyDescent="0.2">
      <c r="A771" s="1037"/>
      <c r="B771" s="1037"/>
      <c r="C771" s="1037"/>
      <c r="D771" s="1037"/>
      <c r="E771" s="1037"/>
      <c r="R771" s="1038"/>
      <c r="S771" s="1038"/>
      <c r="T771" s="1038"/>
      <c r="U771" s="1038"/>
      <c r="V771" s="1038"/>
      <c r="W771" s="1038"/>
      <c r="X771" s="1038"/>
      <c r="Y771" s="1038"/>
    </row>
    <row r="772" spans="1:25" x14ac:dyDescent="0.2">
      <c r="A772" s="1037"/>
      <c r="B772" s="1037"/>
      <c r="C772" s="1037"/>
      <c r="D772" s="1037"/>
      <c r="E772" s="1037"/>
      <c r="R772" s="1038"/>
      <c r="S772" s="1038"/>
      <c r="T772" s="1038"/>
      <c r="U772" s="1038"/>
      <c r="V772" s="1038"/>
      <c r="W772" s="1038"/>
      <c r="X772" s="1038"/>
      <c r="Y772" s="1038"/>
    </row>
    <row r="773" spans="1:25" x14ac:dyDescent="0.2">
      <c r="A773" s="1037"/>
      <c r="B773" s="1037"/>
      <c r="C773" s="1037"/>
      <c r="D773" s="1037"/>
      <c r="E773" s="1037"/>
      <c r="R773" s="1038"/>
      <c r="S773" s="1038"/>
      <c r="T773" s="1038"/>
      <c r="U773" s="1038"/>
      <c r="V773" s="1038"/>
      <c r="W773" s="1038"/>
      <c r="X773" s="1038"/>
      <c r="Y773" s="1038"/>
    </row>
    <row r="774" spans="1:25" x14ac:dyDescent="0.2">
      <c r="A774" s="1037"/>
      <c r="B774" s="1037"/>
      <c r="C774" s="1037"/>
      <c r="D774" s="1037"/>
      <c r="E774" s="1037"/>
      <c r="R774" s="1038"/>
      <c r="S774" s="1038"/>
      <c r="T774" s="1038"/>
      <c r="U774" s="1038"/>
      <c r="V774" s="1038"/>
      <c r="W774" s="1038"/>
      <c r="X774" s="1038"/>
      <c r="Y774" s="1038"/>
    </row>
    <row r="775" spans="1:25" x14ac:dyDescent="0.2">
      <c r="A775" s="1037"/>
      <c r="B775" s="1037"/>
      <c r="C775" s="1037"/>
      <c r="D775" s="1037"/>
      <c r="E775" s="1037"/>
      <c r="R775" s="1038"/>
      <c r="S775" s="1038"/>
      <c r="T775" s="1038"/>
      <c r="U775" s="1038"/>
      <c r="V775" s="1038"/>
      <c r="W775" s="1038"/>
      <c r="X775" s="1038"/>
      <c r="Y775" s="1038"/>
    </row>
    <row r="776" spans="1:25" x14ac:dyDescent="0.2">
      <c r="A776" s="1037"/>
      <c r="B776" s="1037"/>
      <c r="C776" s="1037"/>
      <c r="D776" s="1037"/>
      <c r="E776" s="1037"/>
      <c r="R776" s="1038"/>
      <c r="S776" s="1038"/>
      <c r="T776" s="1038"/>
      <c r="U776" s="1038"/>
      <c r="V776" s="1038"/>
      <c r="W776" s="1038"/>
      <c r="X776" s="1038"/>
      <c r="Y776" s="1038"/>
    </row>
    <row r="777" spans="1:25" x14ac:dyDescent="0.2">
      <c r="A777" s="1037"/>
      <c r="B777" s="1037"/>
      <c r="C777" s="1037"/>
      <c r="D777" s="1037"/>
      <c r="E777" s="1037"/>
      <c r="R777" s="1038"/>
      <c r="S777" s="1038"/>
      <c r="T777" s="1038"/>
      <c r="U777" s="1038"/>
      <c r="V777" s="1038"/>
      <c r="W777" s="1038"/>
      <c r="X777" s="1038"/>
      <c r="Y777" s="1038"/>
    </row>
    <row r="778" spans="1:25" x14ac:dyDescent="0.2">
      <c r="A778" s="1037"/>
      <c r="B778" s="1037"/>
      <c r="C778" s="1037"/>
      <c r="D778" s="1037"/>
      <c r="E778" s="1037"/>
      <c r="R778" s="1038"/>
      <c r="S778" s="1038"/>
      <c r="T778" s="1038"/>
      <c r="U778" s="1038"/>
      <c r="V778" s="1038"/>
      <c r="W778" s="1038"/>
      <c r="X778" s="1038"/>
      <c r="Y778" s="1038"/>
    </row>
    <row r="779" spans="1:25" x14ac:dyDescent="0.2">
      <c r="A779" s="1037"/>
      <c r="B779" s="1037"/>
      <c r="C779" s="1037"/>
      <c r="D779" s="1037"/>
      <c r="E779" s="1037"/>
      <c r="R779" s="1038"/>
      <c r="S779" s="1038"/>
      <c r="T779" s="1038"/>
      <c r="U779" s="1038"/>
      <c r="V779" s="1038"/>
      <c r="W779" s="1038"/>
      <c r="X779" s="1038"/>
      <c r="Y779" s="1038"/>
    </row>
    <row r="780" spans="1:25" x14ac:dyDescent="0.2">
      <c r="A780" s="1037"/>
      <c r="B780" s="1037"/>
      <c r="C780" s="1037"/>
      <c r="D780" s="1037"/>
      <c r="E780" s="1037"/>
      <c r="R780" s="1038"/>
      <c r="S780" s="1038"/>
      <c r="T780" s="1038"/>
      <c r="U780" s="1038"/>
      <c r="V780" s="1038"/>
      <c r="W780" s="1038"/>
      <c r="X780" s="1038"/>
      <c r="Y780" s="1038"/>
    </row>
    <row r="781" spans="1:25" x14ac:dyDescent="0.2">
      <c r="A781" s="1037"/>
      <c r="B781" s="1037"/>
      <c r="C781" s="1037"/>
      <c r="D781" s="1037"/>
      <c r="E781" s="1037"/>
      <c r="R781" s="1038"/>
      <c r="S781" s="1038"/>
      <c r="T781" s="1038"/>
      <c r="U781" s="1038"/>
      <c r="V781" s="1038"/>
      <c r="W781" s="1038"/>
      <c r="X781" s="1038"/>
      <c r="Y781" s="1038"/>
    </row>
    <row r="782" spans="1:25" x14ac:dyDescent="0.2">
      <c r="A782" s="1037"/>
      <c r="B782" s="1037"/>
      <c r="C782" s="1037"/>
      <c r="D782" s="1037"/>
      <c r="E782" s="1037"/>
      <c r="R782" s="1038"/>
      <c r="S782" s="1038"/>
      <c r="T782" s="1038"/>
      <c r="U782" s="1038"/>
      <c r="V782" s="1038"/>
      <c r="W782" s="1038"/>
      <c r="X782" s="1038"/>
      <c r="Y782" s="1038"/>
    </row>
    <row r="783" spans="1:25" x14ac:dyDescent="0.2">
      <c r="A783" s="1037"/>
      <c r="B783" s="1037"/>
      <c r="C783" s="1037"/>
      <c r="D783" s="1037"/>
      <c r="E783" s="1037"/>
      <c r="R783" s="1038"/>
      <c r="S783" s="1038"/>
      <c r="T783" s="1038"/>
      <c r="U783" s="1038"/>
      <c r="V783" s="1038"/>
      <c r="W783" s="1038"/>
      <c r="X783" s="1038"/>
      <c r="Y783" s="1038"/>
    </row>
    <row r="784" spans="1:25" x14ac:dyDescent="0.2">
      <c r="A784" s="1037"/>
      <c r="B784" s="1037"/>
      <c r="C784" s="1037"/>
      <c r="D784" s="1037"/>
      <c r="E784" s="1037"/>
      <c r="R784" s="1038"/>
      <c r="S784" s="1038"/>
      <c r="T784" s="1038"/>
      <c r="U784" s="1038"/>
      <c r="V784" s="1038"/>
      <c r="W784" s="1038"/>
      <c r="X784" s="1038"/>
      <c r="Y784" s="1038"/>
    </row>
    <row r="785" spans="1:25" x14ac:dyDescent="0.2">
      <c r="A785" s="1037"/>
      <c r="B785" s="1037"/>
      <c r="C785" s="1037"/>
      <c r="D785" s="1037"/>
      <c r="E785" s="1037"/>
      <c r="R785" s="1038"/>
      <c r="S785" s="1038"/>
      <c r="T785" s="1038"/>
      <c r="U785" s="1038"/>
      <c r="V785" s="1038"/>
      <c r="W785" s="1038"/>
      <c r="X785" s="1038"/>
      <c r="Y785" s="1038"/>
    </row>
    <row r="786" spans="1:25" x14ac:dyDescent="0.2">
      <c r="A786" s="1037"/>
      <c r="B786" s="1037"/>
      <c r="C786" s="1037"/>
      <c r="D786" s="1037"/>
      <c r="E786" s="1037"/>
      <c r="R786" s="1038"/>
      <c r="S786" s="1038"/>
      <c r="T786" s="1038"/>
      <c r="U786" s="1038"/>
      <c r="V786" s="1038"/>
      <c r="W786" s="1038"/>
      <c r="X786" s="1038"/>
      <c r="Y786" s="1038"/>
    </row>
    <row r="787" spans="1:25" x14ac:dyDescent="0.2">
      <c r="A787" s="1037"/>
      <c r="B787" s="1037"/>
      <c r="C787" s="1037"/>
      <c r="D787" s="1037"/>
      <c r="E787" s="1037"/>
      <c r="R787" s="1038"/>
      <c r="S787" s="1038"/>
      <c r="T787" s="1038"/>
      <c r="U787" s="1038"/>
      <c r="V787" s="1038"/>
      <c r="W787" s="1038"/>
      <c r="X787" s="1038"/>
      <c r="Y787" s="1038"/>
    </row>
    <row r="788" spans="1:25" x14ac:dyDescent="0.2">
      <c r="A788" s="1037"/>
      <c r="B788" s="1037"/>
      <c r="C788" s="1037"/>
      <c r="D788" s="1037"/>
      <c r="E788" s="1037"/>
      <c r="R788" s="1038"/>
      <c r="S788" s="1038"/>
      <c r="T788" s="1038"/>
      <c r="U788" s="1038"/>
      <c r="V788" s="1038"/>
      <c r="W788" s="1038"/>
      <c r="X788" s="1038"/>
      <c r="Y788" s="1038"/>
    </row>
    <row r="789" spans="1:25" x14ac:dyDescent="0.2">
      <c r="A789" s="1037"/>
      <c r="B789" s="1037"/>
      <c r="C789" s="1037"/>
      <c r="D789" s="1037"/>
      <c r="E789" s="1037"/>
      <c r="R789" s="1038"/>
      <c r="S789" s="1038"/>
      <c r="T789" s="1038"/>
      <c r="U789" s="1038"/>
      <c r="V789" s="1038"/>
      <c r="W789" s="1038"/>
      <c r="X789" s="1038"/>
      <c r="Y789" s="1038"/>
    </row>
    <row r="790" spans="1:25" x14ac:dyDescent="0.2">
      <c r="A790" s="1037"/>
      <c r="B790" s="1037"/>
      <c r="C790" s="1037"/>
      <c r="D790" s="1037"/>
      <c r="E790" s="1037"/>
      <c r="R790" s="1038"/>
      <c r="S790" s="1038"/>
      <c r="T790" s="1038"/>
      <c r="U790" s="1038"/>
      <c r="V790" s="1038"/>
      <c r="W790" s="1038"/>
      <c r="X790" s="1038"/>
      <c r="Y790" s="1038"/>
    </row>
    <row r="791" spans="1:25" x14ac:dyDescent="0.2">
      <c r="A791" s="1037"/>
      <c r="B791" s="1037"/>
      <c r="C791" s="1037"/>
      <c r="D791" s="1037"/>
      <c r="E791" s="1037"/>
      <c r="R791" s="1038"/>
      <c r="S791" s="1038"/>
      <c r="T791" s="1038"/>
      <c r="U791" s="1038"/>
      <c r="V791" s="1038"/>
      <c r="W791" s="1038"/>
      <c r="X791" s="1038"/>
      <c r="Y791" s="1038"/>
    </row>
    <row r="792" spans="1:25" x14ac:dyDescent="0.2">
      <c r="A792" s="1037"/>
      <c r="B792" s="1037"/>
      <c r="C792" s="1037"/>
      <c r="D792" s="1037"/>
      <c r="E792" s="1037"/>
      <c r="R792" s="1038"/>
      <c r="S792" s="1038"/>
      <c r="T792" s="1038"/>
      <c r="U792" s="1038"/>
      <c r="V792" s="1038"/>
      <c r="W792" s="1038"/>
      <c r="X792" s="1038"/>
      <c r="Y792" s="1038"/>
    </row>
    <row r="793" spans="1:25" x14ac:dyDescent="0.2">
      <c r="A793" s="1037"/>
      <c r="B793" s="1037"/>
      <c r="C793" s="1037"/>
      <c r="D793" s="1037"/>
      <c r="E793" s="1037"/>
      <c r="R793" s="1038"/>
      <c r="S793" s="1038"/>
      <c r="T793" s="1038"/>
      <c r="U793" s="1038"/>
      <c r="V793" s="1038"/>
      <c r="W793" s="1038"/>
      <c r="X793" s="1038"/>
      <c r="Y793" s="1038"/>
    </row>
    <row r="794" spans="1:25" x14ac:dyDescent="0.2">
      <c r="A794" s="1037"/>
      <c r="B794" s="1037"/>
      <c r="C794" s="1037"/>
      <c r="D794" s="1037"/>
      <c r="E794" s="1037"/>
      <c r="R794" s="1038"/>
      <c r="S794" s="1038"/>
      <c r="T794" s="1038"/>
      <c r="U794" s="1038"/>
      <c r="V794" s="1038"/>
      <c r="W794" s="1038"/>
      <c r="X794" s="1038"/>
      <c r="Y794" s="1038"/>
    </row>
    <row r="795" spans="1:25" x14ac:dyDescent="0.2">
      <c r="A795" s="1037"/>
      <c r="B795" s="1037"/>
      <c r="C795" s="1037"/>
      <c r="D795" s="1037"/>
      <c r="E795" s="1037"/>
      <c r="R795" s="1038"/>
      <c r="S795" s="1038"/>
      <c r="T795" s="1038"/>
      <c r="U795" s="1038"/>
      <c r="V795" s="1038"/>
      <c r="W795" s="1038"/>
      <c r="X795" s="1038"/>
      <c r="Y795" s="1038"/>
    </row>
    <row r="796" spans="1:25" x14ac:dyDescent="0.2">
      <c r="A796" s="1037"/>
      <c r="B796" s="1037"/>
      <c r="C796" s="1037"/>
      <c r="D796" s="1037"/>
      <c r="E796" s="1037"/>
      <c r="R796" s="1038"/>
      <c r="S796" s="1038"/>
      <c r="T796" s="1038"/>
      <c r="U796" s="1038"/>
      <c r="V796" s="1038"/>
      <c r="W796" s="1038"/>
      <c r="X796" s="1038"/>
      <c r="Y796" s="1038"/>
    </row>
    <row r="797" spans="1:25" x14ac:dyDescent="0.2">
      <c r="A797" s="1037"/>
      <c r="B797" s="1037"/>
      <c r="C797" s="1037"/>
      <c r="D797" s="1037"/>
      <c r="E797" s="1037"/>
      <c r="R797" s="1038"/>
      <c r="S797" s="1038"/>
      <c r="T797" s="1038"/>
      <c r="U797" s="1038"/>
      <c r="V797" s="1038"/>
      <c r="W797" s="1038"/>
      <c r="X797" s="1038"/>
      <c r="Y797" s="1038"/>
    </row>
    <row r="798" spans="1:25" x14ac:dyDescent="0.2">
      <c r="A798" s="1037"/>
      <c r="B798" s="1037"/>
      <c r="C798" s="1037"/>
      <c r="D798" s="1037"/>
      <c r="E798" s="1037"/>
      <c r="R798" s="1038"/>
      <c r="S798" s="1038"/>
      <c r="T798" s="1038"/>
      <c r="U798" s="1038"/>
      <c r="V798" s="1038"/>
      <c r="W798" s="1038"/>
      <c r="X798" s="1038"/>
      <c r="Y798" s="1038"/>
    </row>
    <row r="799" spans="1:25" x14ac:dyDescent="0.2">
      <c r="A799" s="1037"/>
      <c r="B799" s="1037"/>
      <c r="C799" s="1037"/>
      <c r="D799" s="1037"/>
      <c r="E799" s="1037"/>
      <c r="R799" s="1038"/>
      <c r="S799" s="1038"/>
      <c r="T799" s="1038"/>
      <c r="U799" s="1038"/>
      <c r="V799" s="1038"/>
      <c r="W799" s="1038"/>
      <c r="X799" s="1038"/>
      <c r="Y799" s="1038"/>
    </row>
    <row r="800" spans="1:25" x14ac:dyDescent="0.2">
      <c r="A800" s="1037"/>
      <c r="B800" s="1037"/>
      <c r="C800" s="1037"/>
      <c r="D800" s="1037"/>
      <c r="E800" s="1037"/>
      <c r="R800" s="1038"/>
      <c r="S800" s="1038"/>
      <c r="T800" s="1038"/>
      <c r="U800" s="1038"/>
      <c r="V800" s="1038"/>
      <c r="W800" s="1038"/>
      <c r="X800" s="1038"/>
      <c r="Y800" s="1038"/>
    </row>
    <row r="801" spans="1:25" x14ac:dyDescent="0.2">
      <c r="A801" s="1037"/>
      <c r="B801" s="1037"/>
      <c r="C801" s="1037"/>
      <c r="D801" s="1037"/>
      <c r="E801" s="1037"/>
      <c r="R801" s="1038"/>
      <c r="S801" s="1038"/>
      <c r="T801" s="1038"/>
      <c r="U801" s="1038"/>
      <c r="V801" s="1038"/>
      <c r="W801" s="1038"/>
      <c r="X801" s="1038"/>
      <c r="Y801" s="1038"/>
    </row>
    <row r="802" spans="1:25" x14ac:dyDescent="0.2">
      <c r="A802" s="1037"/>
      <c r="B802" s="1037"/>
      <c r="C802" s="1037"/>
      <c r="D802" s="1037"/>
      <c r="E802" s="1037"/>
      <c r="R802" s="1038"/>
      <c r="S802" s="1038"/>
      <c r="T802" s="1038"/>
      <c r="U802" s="1038"/>
      <c r="V802" s="1038"/>
      <c r="W802" s="1038"/>
      <c r="X802" s="1038"/>
      <c r="Y802" s="1038"/>
    </row>
    <row r="803" spans="1:25" x14ac:dyDescent="0.2">
      <c r="A803" s="1037"/>
      <c r="B803" s="1037"/>
      <c r="C803" s="1037"/>
      <c r="D803" s="1037"/>
      <c r="E803" s="1037"/>
      <c r="R803" s="1038"/>
      <c r="S803" s="1038"/>
      <c r="T803" s="1038"/>
      <c r="U803" s="1038"/>
      <c r="V803" s="1038"/>
      <c r="W803" s="1038"/>
      <c r="X803" s="1038"/>
      <c r="Y803" s="1038"/>
    </row>
    <row r="804" spans="1:25" x14ac:dyDescent="0.2">
      <c r="A804" s="1037"/>
      <c r="B804" s="1037"/>
      <c r="C804" s="1037"/>
      <c r="D804" s="1037"/>
      <c r="E804" s="1037"/>
      <c r="R804" s="1038"/>
      <c r="S804" s="1038"/>
      <c r="T804" s="1038"/>
      <c r="U804" s="1038"/>
      <c r="V804" s="1038"/>
      <c r="W804" s="1038"/>
      <c r="X804" s="1038"/>
      <c r="Y804" s="1038"/>
    </row>
    <row r="805" spans="1:25" x14ac:dyDescent="0.2">
      <c r="A805" s="1037"/>
      <c r="B805" s="1037"/>
      <c r="C805" s="1037"/>
      <c r="D805" s="1037"/>
      <c r="E805" s="1037"/>
      <c r="R805" s="1038"/>
      <c r="S805" s="1038"/>
      <c r="T805" s="1038"/>
      <c r="U805" s="1038"/>
      <c r="V805" s="1038"/>
      <c r="W805" s="1038"/>
      <c r="X805" s="1038"/>
      <c r="Y805" s="1038"/>
    </row>
    <row r="806" spans="1:25" x14ac:dyDescent="0.2">
      <c r="A806" s="1037"/>
      <c r="B806" s="1037"/>
      <c r="C806" s="1037"/>
      <c r="D806" s="1037"/>
      <c r="E806" s="1037"/>
      <c r="R806" s="1038"/>
      <c r="S806" s="1038"/>
      <c r="T806" s="1038"/>
      <c r="U806" s="1038"/>
      <c r="V806" s="1038"/>
      <c r="W806" s="1038"/>
      <c r="X806" s="1038"/>
      <c r="Y806" s="1038"/>
    </row>
    <row r="807" spans="1:25" x14ac:dyDescent="0.2">
      <c r="A807" s="1037"/>
      <c r="B807" s="1037"/>
      <c r="C807" s="1037"/>
      <c r="D807" s="1037"/>
      <c r="E807" s="1037"/>
      <c r="R807" s="1038"/>
      <c r="S807" s="1038"/>
      <c r="T807" s="1038"/>
      <c r="U807" s="1038"/>
      <c r="V807" s="1038"/>
      <c r="W807" s="1038"/>
      <c r="X807" s="1038"/>
      <c r="Y807" s="1038"/>
    </row>
    <row r="808" spans="1:25" x14ac:dyDescent="0.2">
      <c r="A808" s="1037"/>
      <c r="B808" s="1037"/>
      <c r="C808" s="1037"/>
      <c r="D808" s="1037"/>
      <c r="E808" s="1037"/>
      <c r="R808" s="1038"/>
      <c r="S808" s="1038"/>
      <c r="T808" s="1038"/>
      <c r="U808" s="1038"/>
      <c r="V808" s="1038"/>
      <c r="W808" s="1038"/>
      <c r="X808" s="1038"/>
      <c r="Y808" s="1038"/>
    </row>
    <row r="809" spans="1:25" x14ac:dyDescent="0.2">
      <c r="A809" s="1037"/>
      <c r="B809" s="1037"/>
      <c r="C809" s="1037"/>
      <c r="D809" s="1037"/>
      <c r="E809" s="1037"/>
      <c r="R809" s="1038"/>
      <c r="S809" s="1038"/>
      <c r="T809" s="1038"/>
      <c r="U809" s="1038"/>
      <c r="V809" s="1038"/>
      <c r="W809" s="1038"/>
      <c r="X809" s="1038"/>
      <c r="Y809" s="1038"/>
    </row>
    <row r="810" spans="1:25" x14ac:dyDescent="0.2">
      <c r="A810" s="1037"/>
      <c r="B810" s="1037"/>
      <c r="C810" s="1037"/>
      <c r="D810" s="1037"/>
      <c r="E810" s="1037"/>
      <c r="R810" s="1038"/>
      <c r="S810" s="1038"/>
      <c r="T810" s="1038"/>
      <c r="U810" s="1038"/>
      <c r="V810" s="1038"/>
      <c r="W810" s="1038"/>
      <c r="X810" s="1038"/>
      <c r="Y810" s="1038"/>
    </row>
    <row r="811" spans="1:25" x14ac:dyDescent="0.2">
      <c r="A811" s="1037"/>
      <c r="B811" s="1037"/>
      <c r="C811" s="1037"/>
      <c r="D811" s="1037"/>
      <c r="E811" s="1037"/>
      <c r="R811" s="1038"/>
      <c r="S811" s="1038"/>
      <c r="T811" s="1038"/>
      <c r="U811" s="1038"/>
      <c r="V811" s="1038"/>
      <c r="W811" s="1038"/>
      <c r="X811" s="1038"/>
      <c r="Y811" s="1038"/>
    </row>
    <row r="812" spans="1:25" x14ac:dyDescent="0.2">
      <c r="A812" s="1037"/>
      <c r="B812" s="1037"/>
      <c r="C812" s="1037"/>
      <c r="D812" s="1037"/>
      <c r="E812" s="1037"/>
      <c r="R812" s="1038"/>
      <c r="S812" s="1038"/>
      <c r="T812" s="1038"/>
      <c r="U812" s="1038"/>
      <c r="V812" s="1038"/>
      <c r="W812" s="1038"/>
      <c r="X812" s="1038"/>
      <c r="Y812" s="1038"/>
    </row>
    <row r="813" spans="1:25" x14ac:dyDescent="0.2">
      <c r="A813" s="1037"/>
      <c r="B813" s="1037"/>
      <c r="C813" s="1037"/>
      <c r="D813" s="1037"/>
      <c r="E813" s="1037"/>
      <c r="R813" s="1038"/>
      <c r="S813" s="1038"/>
      <c r="T813" s="1038"/>
      <c r="U813" s="1038"/>
      <c r="V813" s="1038"/>
      <c r="W813" s="1038"/>
      <c r="X813" s="1038"/>
      <c r="Y813" s="1038"/>
    </row>
    <row r="814" spans="1:25" x14ac:dyDescent="0.2">
      <c r="A814" s="1037"/>
      <c r="B814" s="1037"/>
      <c r="C814" s="1037"/>
      <c r="D814" s="1037"/>
      <c r="E814" s="1037"/>
      <c r="R814" s="1038"/>
      <c r="S814" s="1038"/>
      <c r="T814" s="1038"/>
      <c r="U814" s="1038"/>
      <c r="V814" s="1038"/>
      <c r="W814" s="1038"/>
      <c r="X814" s="1038"/>
      <c r="Y814" s="1038"/>
    </row>
    <row r="815" spans="1:25" x14ac:dyDescent="0.2">
      <c r="A815" s="1037"/>
      <c r="B815" s="1037"/>
      <c r="C815" s="1037"/>
      <c r="D815" s="1037"/>
      <c r="E815" s="1037"/>
      <c r="R815" s="1038"/>
      <c r="S815" s="1038"/>
      <c r="T815" s="1038"/>
      <c r="U815" s="1038"/>
      <c r="V815" s="1038"/>
      <c r="W815" s="1038"/>
      <c r="X815" s="1038"/>
      <c r="Y815" s="1038"/>
    </row>
    <row r="816" spans="1:25" x14ac:dyDescent="0.2">
      <c r="A816" s="1037"/>
      <c r="B816" s="1037"/>
      <c r="C816" s="1037"/>
      <c r="D816" s="1037"/>
      <c r="E816" s="1037"/>
      <c r="R816" s="1038"/>
      <c r="S816" s="1038"/>
      <c r="T816" s="1038"/>
      <c r="U816" s="1038"/>
      <c r="V816" s="1038"/>
      <c r="W816" s="1038"/>
      <c r="X816" s="1038"/>
      <c r="Y816" s="1038"/>
    </row>
    <row r="817" spans="1:25" x14ac:dyDescent="0.2">
      <c r="A817" s="1037"/>
      <c r="B817" s="1037"/>
      <c r="C817" s="1037"/>
      <c r="D817" s="1037"/>
      <c r="E817" s="1037"/>
      <c r="R817" s="1038"/>
      <c r="S817" s="1038"/>
      <c r="T817" s="1038"/>
      <c r="U817" s="1038"/>
      <c r="V817" s="1038"/>
      <c r="W817" s="1038"/>
      <c r="X817" s="1038"/>
      <c r="Y817" s="1038"/>
    </row>
    <row r="818" spans="1:25" x14ac:dyDescent="0.2">
      <c r="A818" s="1037"/>
      <c r="B818" s="1037"/>
      <c r="C818" s="1037"/>
      <c r="D818" s="1037"/>
      <c r="E818" s="1037"/>
      <c r="R818" s="1038"/>
      <c r="S818" s="1038"/>
      <c r="T818" s="1038"/>
      <c r="U818" s="1038"/>
      <c r="V818" s="1038"/>
      <c r="W818" s="1038"/>
      <c r="X818" s="1038"/>
      <c r="Y818" s="1038"/>
    </row>
    <row r="819" spans="1:25" x14ac:dyDescent="0.2">
      <c r="A819" s="1037"/>
      <c r="B819" s="1037"/>
      <c r="C819" s="1037"/>
      <c r="D819" s="1037"/>
      <c r="E819" s="1037"/>
      <c r="R819" s="1038"/>
      <c r="S819" s="1038"/>
      <c r="T819" s="1038"/>
      <c r="U819" s="1038"/>
      <c r="V819" s="1038"/>
      <c r="W819" s="1038"/>
      <c r="X819" s="1038"/>
      <c r="Y819" s="1038"/>
    </row>
    <row r="820" spans="1:25" x14ac:dyDescent="0.2">
      <c r="A820" s="1037"/>
      <c r="B820" s="1037"/>
      <c r="C820" s="1037"/>
      <c r="D820" s="1037"/>
      <c r="E820" s="1037"/>
      <c r="R820" s="1038"/>
      <c r="S820" s="1038"/>
      <c r="T820" s="1038"/>
      <c r="U820" s="1038"/>
      <c r="V820" s="1038"/>
      <c r="W820" s="1038"/>
      <c r="X820" s="1038"/>
      <c r="Y820" s="1038"/>
    </row>
    <row r="821" spans="1:25" x14ac:dyDescent="0.2">
      <c r="A821" s="1037"/>
      <c r="B821" s="1037"/>
      <c r="C821" s="1037"/>
      <c r="D821" s="1037"/>
      <c r="E821" s="1037"/>
      <c r="R821" s="1038"/>
      <c r="S821" s="1038"/>
      <c r="T821" s="1038"/>
      <c r="U821" s="1038"/>
      <c r="V821" s="1038"/>
      <c r="W821" s="1038"/>
      <c r="X821" s="1038"/>
      <c r="Y821" s="1038"/>
    </row>
    <row r="822" spans="1:25" x14ac:dyDescent="0.2">
      <c r="A822" s="1037"/>
      <c r="B822" s="1037"/>
      <c r="C822" s="1037"/>
      <c r="D822" s="1037"/>
      <c r="E822" s="1037"/>
      <c r="R822" s="1038"/>
      <c r="S822" s="1038"/>
      <c r="T822" s="1038"/>
      <c r="U822" s="1038"/>
      <c r="V822" s="1038"/>
      <c r="W822" s="1038"/>
      <c r="X822" s="1038"/>
      <c r="Y822" s="1038"/>
    </row>
    <row r="823" spans="1:25" x14ac:dyDescent="0.2">
      <c r="A823" s="1037"/>
      <c r="B823" s="1037"/>
      <c r="C823" s="1037"/>
      <c r="D823" s="1037"/>
      <c r="E823" s="1037"/>
      <c r="R823" s="1038"/>
      <c r="S823" s="1038"/>
      <c r="T823" s="1038"/>
      <c r="U823" s="1038"/>
      <c r="V823" s="1038"/>
      <c r="W823" s="1038"/>
      <c r="X823" s="1038"/>
      <c r="Y823" s="1038"/>
    </row>
    <row r="824" spans="1:25" x14ac:dyDescent="0.2">
      <c r="A824" s="1037"/>
      <c r="B824" s="1037"/>
      <c r="C824" s="1037"/>
      <c r="D824" s="1037"/>
      <c r="E824" s="1037"/>
      <c r="R824" s="1038"/>
      <c r="S824" s="1038"/>
      <c r="T824" s="1038"/>
      <c r="U824" s="1038"/>
      <c r="V824" s="1038"/>
      <c r="W824" s="1038"/>
      <c r="X824" s="1038"/>
      <c r="Y824" s="1038"/>
    </row>
    <row r="825" spans="1:25" x14ac:dyDescent="0.2">
      <c r="A825" s="1037"/>
      <c r="B825" s="1037"/>
      <c r="C825" s="1037"/>
      <c r="D825" s="1037"/>
      <c r="E825" s="1037"/>
      <c r="R825" s="1038"/>
      <c r="S825" s="1038"/>
      <c r="T825" s="1038"/>
      <c r="U825" s="1038"/>
      <c r="V825" s="1038"/>
      <c r="W825" s="1038"/>
      <c r="X825" s="1038"/>
      <c r="Y825" s="1038"/>
    </row>
    <row r="826" spans="1:25" x14ac:dyDescent="0.2">
      <c r="A826" s="1037"/>
      <c r="B826" s="1037"/>
      <c r="C826" s="1037"/>
      <c r="D826" s="1037"/>
      <c r="E826" s="1037"/>
      <c r="R826" s="1038"/>
      <c r="S826" s="1038"/>
      <c r="T826" s="1038"/>
      <c r="U826" s="1038"/>
      <c r="V826" s="1038"/>
      <c r="W826" s="1038"/>
      <c r="X826" s="1038"/>
      <c r="Y826" s="1038"/>
    </row>
    <row r="827" spans="1:25" x14ac:dyDescent="0.2">
      <c r="A827" s="1037"/>
      <c r="B827" s="1037"/>
      <c r="C827" s="1037"/>
      <c r="D827" s="1037"/>
      <c r="E827" s="1037"/>
      <c r="R827" s="1038"/>
      <c r="S827" s="1038"/>
      <c r="T827" s="1038"/>
      <c r="U827" s="1038"/>
      <c r="V827" s="1038"/>
      <c r="W827" s="1038"/>
      <c r="X827" s="1038"/>
      <c r="Y827" s="1038"/>
    </row>
    <row r="828" spans="1:25" x14ac:dyDescent="0.2">
      <c r="A828" s="1037"/>
      <c r="B828" s="1037"/>
      <c r="C828" s="1037"/>
      <c r="D828" s="1037"/>
      <c r="E828" s="1037"/>
      <c r="R828" s="1038"/>
      <c r="S828" s="1038"/>
      <c r="T828" s="1038"/>
      <c r="U828" s="1038"/>
      <c r="V828" s="1038"/>
      <c r="W828" s="1038"/>
      <c r="X828" s="1038"/>
      <c r="Y828" s="1038"/>
    </row>
    <row r="829" spans="1:25" x14ac:dyDescent="0.2">
      <c r="A829" s="1037"/>
      <c r="B829" s="1037"/>
      <c r="C829" s="1037"/>
      <c r="D829" s="1037"/>
      <c r="E829" s="1037"/>
      <c r="R829" s="1038"/>
      <c r="S829" s="1038"/>
      <c r="T829" s="1038"/>
      <c r="U829" s="1038"/>
      <c r="V829" s="1038"/>
      <c r="W829" s="1038"/>
      <c r="X829" s="1038"/>
      <c r="Y829" s="1038"/>
    </row>
    <row r="830" spans="1:25" x14ac:dyDescent="0.2">
      <c r="A830" s="1037"/>
      <c r="B830" s="1037"/>
      <c r="C830" s="1037"/>
      <c r="D830" s="1037"/>
      <c r="E830" s="1037"/>
      <c r="R830" s="1038"/>
      <c r="S830" s="1038"/>
      <c r="T830" s="1038"/>
      <c r="U830" s="1038"/>
      <c r="V830" s="1038"/>
      <c r="W830" s="1038"/>
      <c r="X830" s="1038"/>
      <c r="Y830" s="1038"/>
    </row>
    <row r="831" spans="1:25" x14ac:dyDescent="0.2">
      <c r="A831" s="1037"/>
      <c r="B831" s="1037"/>
      <c r="C831" s="1037"/>
      <c r="D831" s="1037"/>
      <c r="E831" s="1037"/>
      <c r="R831" s="1038"/>
      <c r="S831" s="1038"/>
      <c r="T831" s="1038"/>
      <c r="U831" s="1038"/>
      <c r="V831" s="1038"/>
      <c r="W831" s="1038"/>
      <c r="X831" s="1038"/>
      <c r="Y831" s="1038"/>
    </row>
    <row r="832" spans="1:25" x14ac:dyDescent="0.2">
      <c r="A832" s="1037"/>
      <c r="B832" s="1037"/>
      <c r="C832" s="1037"/>
      <c r="D832" s="1037"/>
      <c r="E832" s="1037"/>
      <c r="R832" s="1038"/>
      <c r="S832" s="1038"/>
      <c r="T832" s="1038"/>
      <c r="U832" s="1038"/>
      <c r="V832" s="1038"/>
      <c r="W832" s="1038"/>
      <c r="X832" s="1038"/>
      <c r="Y832" s="1038"/>
    </row>
    <row r="833" spans="1:25" x14ac:dyDescent="0.2">
      <c r="A833" s="1037"/>
      <c r="B833" s="1037"/>
      <c r="C833" s="1037"/>
      <c r="D833" s="1037"/>
      <c r="E833" s="1037"/>
      <c r="R833" s="1038"/>
      <c r="S833" s="1038"/>
      <c r="T833" s="1038"/>
      <c r="U833" s="1038"/>
      <c r="V833" s="1038"/>
      <c r="W833" s="1038"/>
      <c r="X833" s="1038"/>
      <c r="Y833" s="1038"/>
    </row>
    <row r="834" spans="1:25" x14ac:dyDescent="0.2">
      <c r="A834" s="1037"/>
      <c r="B834" s="1037"/>
      <c r="C834" s="1037"/>
      <c r="D834" s="1037"/>
      <c r="E834" s="1037"/>
      <c r="R834" s="1038"/>
      <c r="S834" s="1038"/>
      <c r="T834" s="1038"/>
      <c r="U834" s="1038"/>
      <c r="V834" s="1038"/>
      <c r="W834" s="1038"/>
      <c r="X834" s="1038"/>
      <c r="Y834" s="1038"/>
    </row>
    <row r="835" spans="1:25" x14ac:dyDescent="0.2">
      <c r="A835" s="1037"/>
      <c r="B835" s="1037"/>
      <c r="C835" s="1037"/>
      <c r="D835" s="1037"/>
      <c r="E835" s="1037"/>
      <c r="R835" s="1038"/>
      <c r="S835" s="1038"/>
      <c r="T835" s="1038"/>
      <c r="U835" s="1038"/>
      <c r="V835" s="1038"/>
      <c r="W835" s="1038"/>
      <c r="X835" s="1038"/>
      <c r="Y835" s="1038"/>
    </row>
    <row r="836" spans="1:25" x14ac:dyDescent="0.2">
      <c r="A836" s="1037"/>
      <c r="B836" s="1037"/>
      <c r="C836" s="1037"/>
      <c r="D836" s="1037"/>
      <c r="E836" s="1037"/>
      <c r="R836" s="1038"/>
      <c r="S836" s="1038"/>
      <c r="T836" s="1038"/>
      <c r="U836" s="1038"/>
      <c r="V836" s="1038"/>
      <c r="W836" s="1038"/>
      <c r="X836" s="1038"/>
      <c r="Y836" s="1038"/>
    </row>
    <row r="837" spans="1:25" x14ac:dyDescent="0.2">
      <c r="A837" s="1037"/>
      <c r="B837" s="1037"/>
      <c r="C837" s="1037"/>
      <c r="D837" s="1037"/>
      <c r="E837" s="1037"/>
      <c r="R837" s="1038"/>
      <c r="S837" s="1038"/>
      <c r="T837" s="1038"/>
      <c r="U837" s="1038"/>
      <c r="V837" s="1038"/>
      <c r="W837" s="1038"/>
      <c r="X837" s="1038"/>
      <c r="Y837" s="1038"/>
    </row>
    <row r="838" spans="1:25" x14ac:dyDescent="0.2">
      <c r="A838" s="1037"/>
      <c r="B838" s="1037"/>
      <c r="C838" s="1037"/>
      <c r="D838" s="1037"/>
      <c r="E838" s="1037"/>
      <c r="R838" s="1038"/>
      <c r="S838" s="1038"/>
      <c r="T838" s="1038"/>
      <c r="U838" s="1038"/>
      <c r="V838" s="1038"/>
      <c r="W838" s="1038"/>
      <c r="X838" s="1038"/>
      <c r="Y838" s="1038"/>
    </row>
    <row r="839" spans="1:25" x14ac:dyDescent="0.2">
      <c r="A839" s="1037"/>
      <c r="B839" s="1037"/>
      <c r="C839" s="1037"/>
      <c r="D839" s="1037"/>
      <c r="E839" s="1037"/>
      <c r="R839" s="1038"/>
      <c r="S839" s="1038"/>
      <c r="T839" s="1038"/>
      <c r="U839" s="1038"/>
      <c r="V839" s="1038"/>
      <c r="W839" s="1038"/>
      <c r="X839" s="1038"/>
      <c r="Y839" s="1038"/>
    </row>
    <row r="840" spans="1:25" x14ac:dyDescent="0.2">
      <c r="A840" s="1037"/>
      <c r="B840" s="1037"/>
      <c r="C840" s="1037"/>
      <c r="D840" s="1037"/>
      <c r="E840" s="1037"/>
      <c r="R840" s="1038"/>
      <c r="S840" s="1038"/>
      <c r="T840" s="1038"/>
      <c r="U840" s="1038"/>
      <c r="V840" s="1038"/>
      <c r="W840" s="1038"/>
      <c r="X840" s="1038"/>
      <c r="Y840" s="1038"/>
    </row>
    <row r="841" spans="1:25" x14ac:dyDescent="0.2">
      <c r="A841" s="1037"/>
      <c r="B841" s="1037"/>
      <c r="C841" s="1037"/>
      <c r="D841" s="1037"/>
      <c r="E841" s="1037"/>
      <c r="R841" s="1038"/>
      <c r="S841" s="1038"/>
      <c r="T841" s="1038"/>
      <c r="U841" s="1038"/>
      <c r="V841" s="1038"/>
      <c r="W841" s="1038"/>
      <c r="X841" s="1038"/>
      <c r="Y841" s="1038"/>
    </row>
    <row r="842" spans="1:25" x14ac:dyDescent="0.2">
      <c r="A842" s="1037"/>
      <c r="B842" s="1037"/>
      <c r="C842" s="1037"/>
      <c r="D842" s="1037"/>
      <c r="E842" s="1037"/>
      <c r="R842" s="1038"/>
      <c r="S842" s="1038"/>
      <c r="T842" s="1038"/>
      <c r="U842" s="1038"/>
      <c r="V842" s="1038"/>
      <c r="W842" s="1038"/>
      <c r="X842" s="1038"/>
      <c r="Y842" s="1038"/>
    </row>
    <row r="843" spans="1:25" x14ac:dyDescent="0.2">
      <c r="A843" s="1037"/>
      <c r="B843" s="1037"/>
      <c r="C843" s="1037"/>
      <c r="D843" s="1037"/>
      <c r="E843" s="1037"/>
      <c r="R843" s="1038"/>
      <c r="S843" s="1038"/>
      <c r="T843" s="1038"/>
      <c r="U843" s="1038"/>
      <c r="V843" s="1038"/>
      <c r="W843" s="1038"/>
      <c r="X843" s="1038"/>
      <c r="Y843" s="1038"/>
    </row>
    <row r="844" spans="1:25" x14ac:dyDescent="0.2">
      <c r="A844" s="1037"/>
      <c r="B844" s="1037"/>
      <c r="C844" s="1037"/>
      <c r="D844" s="1037"/>
      <c r="E844" s="1037"/>
      <c r="R844" s="1038"/>
      <c r="S844" s="1038"/>
      <c r="T844" s="1038"/>
      <c r="U844" s="1038"/>
      <c r="V844" s="1038"/>
      <c r="W844" s="1038"/>
      <c r="X844" s="1038"/>
      <c r="Y844" s="1038"/>
    </row>
    <row r="845" spans="1:25" x14ac:dyDescent="0.2">
      <c r="A845" s="1037"/>
      <c r="B845" s="1037"/>
      <c r="C845" s="1037"/>
      <c r="D845" s="1037"/>
      <c r="E845" s="1037"/>
      <c r="R845" s="1038"/>
      <c r="S845" s="1038"/>
      <c r="T845" s="1038"/>
      <c r="U845" s="1038"/>
      <c r="V845" s="1038"/>
      <c r="W845" s="1038"/>
      <c r="X845" s="1038"/>
      <c r="Y845" s="1038"/>
    </row>
    <row r="846" spans="1:25" x14ac:dyDescent="0.2">
      <c r="A846" s="1037"/>
      <c r="B846" s="1037"/>
      <c r="C846" s="1037"/>
      <c r="D846" s="1037"/>
      <c r="E846" s="1037"/>
      <c r="R846" s="1038"/>
      <c r="S846" s="1038"/>
      <c r="T846" s="1038"/>
      <c r="U846" s="1038"/>
      <c r="V846" s="1038"/>
      <c r="W846" s="1038"/>
      <c r="X846" s="1038"/>
      <c r="Y846" s="1038"/>
    </row>
    <row r="847" spans="1:25" x14ac:dyDescent="0.2">
      <c r="A847" s="1037"/>
      <c r="B847" s="1037"/>
      <c r="C847" s="1037"/>
      <c r="D847" s="1037"/>
      <c r="E847" s="1037"/>
      <c r="R847" s="1038"/>
      <c r="S847" s="1038"/>
      <c r="T847" s="1038"/>
      <c r="U847" s="1038"/>
      <c r="V847" s="1038"/>
      <c r="W847" s="1038"/>
      <c r="X847" s="1038"/>
      <c r="Y847" s="1038"/>
    </row>
    <row r="848" spans="1:25" x14ac:dyDescent="0.2">
      <c r="A848" s="1037"/>
      <c r="B848" s="1037"/>
      <c r="C848" s="1037"/>
      <c r="D848" s="1037"/>
      <c r="E848" s="1037"/>
      <c r="R848" s="1038"/>
      <c r="S848" s="1038"/>
      <c r="T848" s="1038"/>
      <c r="U848" s="1038"/>
      <c r="V848" s="1038"/>
      <c r="W848" s="1038"/>
      <c r="X848" s="1038"/>
      <c r="Y848" s="1038"/>
    </row>
    <row r="849" spans="1:25" x14ac:dyDescent="0.2">
      <c r="A849" s="1037"/>
      <c r="B849" s="1037"/>
      <c r="C849" s="1037"/>
      <c r="D849" s="1037"/>
      <c r="E849" s="1037"/>
      <c r="R849" s="1038"/>
      <c r="S849" s="1038"/>
      <c r="T849" s="1038"/>
      <c r="U849" s="1038"/>
      <c r="V849" s="1038"/>
      <c r="W849" s="1038"/>
      <c r="X849" s="1038"/>
      <c r="Y849" s="1038"/>
    </row>
    <row r="850" spans="1:25" x14ac:dyDescent="0.2">
      <c r="A850" s="1037"/>
      <c r="B850" s="1037"/>
      <c r="C850" s="1037"/>
      <c r="D850" s="1037"/>
      <c r="E850" s="1037"/>
      <c r="R850" s="1038"/>
      <c r="S850" s="1038"/>
      <c r="T850" s="1038"/>
      <c r="U850" s="1038"/>
      <c r="V850" s="1038"/>
      <c r="W850" s="1038"/>
      <c r="X850" s="1038"/>
      <c r="Y850" s="1038"/>
    </row>
    <row r="851" spans="1:25" x14ac:dyDescent="0.2">
      <c r="A851" s="1037"/>
      <c r="B851" s="1037"/>
      <c r="C851" s="1037"/>
      <c r="D851" s="1037"/>
      <c r="E851" s="1037"/>
      <c r="R851" s="1038"/>
      <c r="S851" s="1038"/>
      <c r="T851" s="1038"/>
      <c r="U851" s="1038"/>
      <c r="V851" s="1038"/>
      <c r="W851" s="1038"/>
      <c r="X851" s="1038"/>
      <c r="Y851" s="1038"/>
    </row>
    <row r="852" spans="1:25" x14ac:dyDescent="0.2">
      <c r="A852" s="1037"/>
      <c r="B852" s="1037"/>
      <c r="C852" s="1037"/>
      <c r="D852" s="1037"/>
      <c r="E852" s="1037"/>
      <c r="R852" s="1038"/>
      <c r="S852" s="1038"/>
      <c r="T852" s="1038"/>
      <c r="U852" s="1038"/>
      <c r="V852" s="1038"/>
      <c r="W852" s="1038"/>
      <c r="X852" s="1038"/>
      <c r="Y852" s="1038"/>
    </row>
    <row r="853" spans="1:25" x14ac:dyDescent="0.2">
      <c r="A853" s="1037"/>
      <c r="B853" s="1037"/>
      <c r="C853" s="1037"/>
      <c r="D853" s="1037"/>
      <c r="E853" s="1037"/>
      <c r="R853" s="1038"/>
      <c r="S853" s="1038"/>
      <c r="T853" s="1038"/>
      <c r="U853" s="1038"/>
      <c r="V853" s="1038"/>
      <c r="W853" s="1038"/>
      <c r="X853" s="1038"/>
      <c r="Y853" s="1038"/>
    </row>
    <row r="854" spans="1:25" x14ac:dyDescent="0.2">
      <c r="A854" s="1037"/>
      <c r="B854" s="1037"/>
      <c r="C854" s="1037"/>
      <c r="D854" s="1037"/>
      <c r="E854" s="1037"/>
      <c r="R854" s="1038"/>
      <c r="S854" s="1038"/>
      <c r="T854" s="1038"/>
      <c r="U854" s="1038"/>
      <c r="V854" s="1038"/>
      <c r="W854" s="1038"/>
      <c r="X854" s="1038"/>
      <c r="Y854" s="1038"/>
    </row>
    <row r="855" spans="1:25" x14ac:dyDescent="0.2">
      <c r="A855" s="1037"/>
      <c r="B855" s="1037"/>
      <c r="C855" s="1037"/>
      <c r="D855" s="1037"/>
      <c r="E855" s="1037"/>
      <c r="R855" s="1038"/>
      <c r="S855" s="1038"/>
      <c r="T855" s="1038"/>
      <c r="U855" s="1038"/>
      <c r="V855" s="1038"/>
      <c r="W855" s="1038"/>
      <c r="X855" s="1038"/>
      <c r="Y855" s="1038"/>
    </row>
    <row r="856" spans="1:25" x14ac:dyDescent="0.2">
      <c r="A856" s="1037"/>
      <c r="B856" s="1037"/>
      <c r="C856" s="1037"/>
      <c r="D856" s="1037"/>
      <c r="E856" s="1037"/>
      <c r="R856" s="1038"/>
      <c r="S856" s="1038"/>
      <c r="T856" s="1038"/>
      <c r="U856" s="1038"/>
      <c r="V856" s="1038"/>
      <c r="W856" s="1038"/>
      <c r="X856" s="1038"/>
      <c r="Y856" s="1038"/>
    </row>
    <row r="857" spans="1:25" x14ac:dyDescent="0.2">
      <c r="A857" s="1037"/>
      <c r="B857" s="1037"/>
      <c r="C857" s="1037"/>
      <c r="D857" s="1037"/>
      <c r="E857" s="1037"/>
      <c r="R857" s="1038"/>
      <c r="S857" s="1038"/>
      <c r="T857" s="1038"/>
      <c r="U857" s="1038"/>
      <c r="V857" s="1038"/>
      <c r="W857" s="1038"/>
      <c r="X857" s="1038"/>
      <c r="Y857" s="1038"/>
    </row>
    <row r="858" spans="1:25" x14ac:dyDescent="0.2">
      <c r="A858" s="1037"/>
      <c r="B858" s="1037"/>
      <c r="C858" s="1037"/>
      <c r="D858" s="1037"/>
      <c r="E858" s="1037"/>
      <c r="R858" s="1038"/>
      <c r="S858" s="1038"/>
      <c r="T858" s="1038"/>
      <c r="U858" s="1038"/>
      <c r="V858" s="1038"/>
      <c r="W858" s="1038"/>
      <c r="X858" s="1038"/>
      <c r="Y858" s="1038"/>
    </row>
    <row r="859" spans="1:25" x14ac:dyDescent="0.2">
      <c r="A859" s="1037"/>
      <c r="B859" s="1037"/>
      <c r="C859" s="1037"/>
      <c r="D859" s="1037"/>
      <c r="E859" s="1037"/>
      <c r="R859" s="1038"/>
      <c r="S859" s="1038"/>
      <c r="T859" s="1038"/>
      <c r="U859" s="1038"/>
      <c r="V859" s="1038"/>
      <c r="W859" s="1038"/>
      <c r="X859" s="1038"/>
      <c r="Y859" s="1038"/>
    </row>
    <row r="860" spans="1:25" x14ac:dyDescent="0.2">
      <c r="A860" s="1037"/>
      <c r="B860" s="1037"/>
      <c r="C860" s="1037"/>
      <c r="D860" s="1037"/>
      <c r="E860" s="1037"/>
      <c r="R860" s="1038"/>
      <c r="S860" s="1038"/>
      <c r="T860" s="1038"/>
      <c r="U860" s="1038"/>
      <c r="V860" s="1038"/>
      <c r="W860" s="1038"/>
      <c r="X860" s="1038"/>
      <c r="Y860" s="1038"/>
    </row>
    <row r="861" spans="1:25" x14ac:dyDescent="0.2">
      <c r="A861" s="1037"/>
      <c r="B861" s="1037"/>
      <c r="C861" s="1037"/>
      <c r="D861" s="1037"/>
      <c r="E861" s="1037"/>
      <c r="R861" s="1038"/>
      <c r="S861" s="1038"/>
      <c r="T861" s="1038"/>
      <c r="U861" s="1038"/>
      <c r="V861" s="1038"/>
      <c r="W861" s="1038"/>
      <c r="X861" s="1038"/>
      <c r="Y861" s="1038"/>
    </row>
    <row r="862" spans="1:25" x14ac:dyDescent="0.2">
      <c r="A862" s="1037"/>
      <c r="B862" s="1037"/>
      <c r="C862" s="1037"/>
      <c r="D862" s="1037"/>
      <c r="E862" s="1037"/>
      <c r="R862" s="1038"/>
      <c r="S862" s="1038"/>
      <c r="T862" s="1038"/>
      <c r="U862" s="1038"/>
      <c r="V862" s="1038"/>
      <c r="W862" s="1038"/>
      <c r="X862" s="1038"/>
      <c r="Y862" s="1038"/>
    </row>
    <row r="863" spans="1:25" x14ac:dyDescent="0.2">
      <c r="A863" s="1037"/>
      <c r="B863" s="1037"/>
      <c r="C863" s="1037"/>
      <c r="D863" s="1037"/>
      <c r="E863" s="1037"/>
      <c r="R863" s="1038"/>
      <c r="S863" s="1038"/>
      <c r="T863" s="1038"/>
      <c r="U863" s="1038"/>
      <c r="V863" s="1038"/>
      <c r="W863" s="1038"/>
      <c r="X863" s="1038"/>
      <c r="Y863" s="1038"/>
    </row>
    <row r="864" spans="1:25" x14ac:dyDescent="0.2">
      <c r="A864" s="1037"/>
      <c r="B864" s="1037"/>
      <c r="C864" s="1037"/>
      <c r="D864" s="1037"/>
      <c r="E864" s="1037"/>
      <c r="R864" s="1038"/>
      <c r="S864" s="1038"/>
      <c r="T864" s="1038"/>
      <c r="U864" s="1038"/>
      <c r="V864" s="1038"/>
      <c r="W864" s="1038"/>
      <c r="X864" s="1038"/>
      <c r="Y864" s="1038"/>
    </row>
    <row r="865" spans="1:25" x14ac:dyDescent="0.2">
      <c r="A865" s="1037"/>
      <c r="B865" s="1037"/>
      <c r="C865" s="1037"/>
      <c r="D865" s="1037"/>
      <c r="E865" s="1037"/>
      <c r="R865" s="1038"/>
      <c r="S865" s="1038"/>
      <c r="T865" s="1038"/>
      <c r="U865" s="1038"/>
      <c r="V865" s="1038"/>
      <c r="W865" s="1038"/>
      <c r="X865" s="1038"/>
      <c r="Y865" s="1038"/>
    </row>
    <row r="866" spans="1:25" x14ac:dyDescent="0.2">
      <c r="A866" s="1037"/>
      <c r="B866" s="1037"/>
      <c r="C866" s="1037"/>
      <c r="D866" s="1037"/>
      <c r="E866" s="1037"/>
      <c r="R866" s="1038"/>
      <c r="S866" s="1038"/>
      <c r="T866" s="1038"/>
      <c r="U866" s="1038"/>
      <c r="V866" s="1038"/>
      <c r="W866" s="1038"/>
      <c r="X866" s="1038"/>
      <c r="Y866" s="1038"/>
    </row>
    <row r="867" spans="1:25" x14ac:dyDescent="0.2">
      <c r="A867" s="1037"/>
      <c r="B867" s="1037"/>
      <c r="C867" s="1037"/>
      <c r="D867" s="1037"/>
      <c r="E867" s="1037"/>
      <c r="R867" s="1038"/>
      <c r="S867" s="1038"/>
      <c r="T867" s="1038"/>
      <c r="U867" s="1038"/>
      <c r="V867" s="1038"/>
      <c r="W867" s="1038"/>
      <c r="X867" s="1038"/>
      <c r="Y867" s="1038"/>
    </row>
    <row r="868" spans="1:25" x14ac:dyDescent="0.2">
      <c r="A868" s="1037"/>
      <c r="B868" s="1037"/>
      <c r="C868" s="1037"/>
      <c r="D868" s="1037"/>
      <c r="E868" s="1037"/>
      <c r="R868" s="1038"/>
      <c r="S868" s="1038"/>
      <c r="T868" s="1038"/>
      <c r="U868" s="1038"/>
      <c r="V868" s="1038"/>
      <c r="W868" s="1038"/>
      <c r="X868" s="1038"/>
      <c r="Y868" s="1038"/>
    </row>
    <row r="869" spans="1:25" x14ac:dyDescent="0.2">
      <c r="A869" s="1037"/>
      <c r="B869" s="1037"/>
      <c r="C869" s="1037"/>
      <c r="D869" s="1037"/>
      <c r="E869" s="1037"/>
      <c r="R869" s="1038"/>
      <c r="S869" s="1038"/>
      <c r="T869" s="1038"/>
      <c r="U869" s="1038"/>
      <c r="V869" s="1038"/>
      <c r="W869" s="1038"/>
      <c r="X869" s="1038"/>
      <c r="Y869" s="1038"/>
    </row>
    <row r="870" spans="1:25" x14ac:dyDescent="0.2">
      <c r="A870" s="1037"/>
      <c r="B870" s="1037"/>
      <c r="C870" s="1037"/>
      <c r="D870" s="1037"/>
      <c r="E870" s="1037"/>
      <c r="R870" s="1038"/>
      <c r="S870" s="1038"/>
      <c r="T870" s="1038"/>
      <c r="U870" s="1038"/>
      <c r="V870" s="1038"/>
      <c r="W870" s="1038"/>
      <c r="X870" s="1038"/>
      <c r="Y870" s="1038"/>
    </row>
    <row r="871" spans="1:25" x14ac:dyDescent="0.2">
      <c r="A871" s="1037"/>
      <c r="B871" s="1037"/>
      <c r="C871" s="1037"/>
      <c r="D871" s="1037"/>
      <c r="E871" s="1037"/>
      <c r="R871" s="1038"/>
      <c r="S871" s="1038"/>
      <c r="T871" s="1038"/>
      <c r="U871" s="1038"/>
      <c r="V871" s="1038"/>
      <c r="W871" s="1038"/>
      <c r="X871" s="1038"/>
      <c r="Y871" s="1038"/>
    </row>
    <row r="872" spans="1:25" x14ac:dyDescent="0.2">
      <c r="A872" s="1037"/>
      <c r="B872" s="1037"/>
      <c r="C872" s="1037"/>
      <c r="D872" s="1037"/>
      <c r="E872" s="1037"/>
      <c r="R872" s="1038"/>
      <c r="S872" s="1038"/>
      <c r="T872" s="1038"/>
      <c r="U872" s="1038"/>
      <c r="V872" s="1038"/>
      <c r="W872" s="1038"/>
      <c r="X872" s="1038"/>
      <c r="Y872" s="1038"/>
    </row>
    <row r="873" spans="1:25" x14ac:dyDescent="0.2">
      <c r="A873" s="1037"/>
      <c r="B873" s="1037"/>
      <c r="C873" s="1037"/>
      <c r="D873" s="1037"/>
      <c r="E873" s="1037"/>
      <c r="R873" s="1038"/>
      <c r="S873" s="1038"/>
      <c r="T873" s="1038"/>
      <c r="U873" s="1038"/>
      <c r="V873" s="1038"/>
      <c r="W873" s="1038"/>
      <c r="X873" s="1038"/>
      <c r="Y873" s="1038"/>
    </row>
    <row r="874" spans="1:25" x14ac:dyDescent="0.2">
      <c r="A874" s="1037"/>
      <c r="B874" s="1037"/>
      <c r="C874" s="1037"/>
      <c r="D874" s="1037"/>
      <c r="E874" s="1037"/>
      <c r="R874" s="1038"/>
      <c r="S874" s="1038"/>
      <c r="T874" s="1038"/>
      <c r="U874" s="1038"/>
      <c r="V874" s="1038"/>
      <c r="W874" s="1038"/>
      <c r="X874" s="1038"/>
      <c r="Y874" s="1038"/>
    </row>
    <row r="875" spans="1:25" x14ac:dyDescent="0.2">
      <c r="A875" s="1037"/>
      <c r="B875" s="1037"/>
      <c r="C875" s="1037"/>
      <c r="D875" s="1037"/>
      <c r="E875" s="1037"/>
      <c r="R875" s="1038"/>
      <c r="S875" s="1038"/>
      <c r="T875" s="1038"/>
      <c r="U875" s="1038"/>
      <c r="V875" s="1038"/>
      <c r="W875" s="1038"/>
      <c r="X875" s="1038"/>
      <c r="Y875" s="1038"/>
    </row>
    <row r="876" spans="1:25" x14ac:dyDescent="0.2">
      <c r="A876" s="1037"/>
      <c r="B876" s="1037"/>
      <c r="C876" s="1037"/>
      <c r="D876" s="1037"/>
      <c r="E876" s="1037"/>
      <c r="R876" s="1038"/>
      <c r="S876" s="1038"/>
      <c r="T876" s="1038"/>
      <c r="U876" s="1038"/>
      <c r="V876" s="1038"/>
      <c r="W876" s="1038"/>
      <c r="X876" s="1038"/>
      <c r="Y876" s="1038"/>
    </row>
    <row r="877" spans="1:25" x14ac:dyDescent="0.2">
      <c r="A877" s="1037"/>
      <c r="B877" s="1037"/>
      <c r="C877" s="1037"/>
      <c r="D877" s="1037"/>
      <c r="E877" s="1037"/>
      <c r="R877" s="1038"/>
      <c r="S877" s="1038"/>
      <c r="T877" s="1038"/>
      <c r="U877" s="1038"/>
      <c r="V877" s="1038"/>
      <c r="W877" s="1038"/>
      <c r="X877" s="1038"/>
      <c r="Y877" s="1038"/>
    </row>
    <row r="878" spans="1:25" x14ac:dyDescent="0.2">
      <c r="A878" s="1037"/>
      <c r="B878" s="1037"/>
      <c r="C878" s="1037"/>
      <c r="D878" s="1037"/>
      <c r="E878" s="1037"/>
      <c r="R878" s="1038"/>
      <c r="S878" s="1038"/>
      <c r="T878" s="1038"/>
      <c r="U878" s="1038"/>
      <c r="V878" s="1038"/>
      <c r="W878" s="1038"/>
      <c r="X878" s="1038"/>
      <c r="Y878" s="1038"/>
    </row>
    <row r="879" spans="1:25" x14ac:dyDescent="0.2">
      <c r="A879" s="1037"/>
      <c r="B879" s="1037"/>
      <c r="C879" s="1037"/>
      <c r="D879" s="1037"/>
      <c r="E879" s="1037"/>
      <c r="R879" s="1038"/>
      <c r="S879" s="1038"/>
      <c r="T879" s="1038"/>
      <c r="U879" s="1038"/>
      <c r="V879" s="1038"/>
      <c r="W879" s="1038"/>
      <c r="X879" s="1038"/>
      <c r="Y879" s="1038"/>
    </row>
    <row r="880" spans="1:25" x14ac:dyDescent="0.2">
      <c r="A880" s="1037"/>
      <c r="B880" s="1037"/>
      <c r="C880" s="1037"/>
      <c r="D880" s="1037"/>
      <c r="E880" s="1037"/>
      <c r="R880" s="1038"/>
      <c r="S880" s="1038"/>
      <c r="T880" s="1038"/>
      <c r="U880" s="1038"/>
      <c r="V880" s="1038"/>
      <c r="W880" s="1038"/>
      <c r="X880" s="1038"/>
      <c r="Y880" s="1038"/>
    </row>
    <row r="881" spans="1:25" x14ac:dyDescent="0.2">
      <c r="A881" s="1037"/>
      <c r="B881" s="1037"/>
      <c r="C881" s="1037"/>
      <c r="D881" s="1037"/>
      <c r="E881" s="1037"/>
      <c r="R881" s="1038"/>
      <c r="S881" s="1038"/>
      <c r="T881" s="1038"/>
      <c r="U881" s="1038"/>
      <c r="V881" s="1038"/>
      <c r="W881" s="1038"/>
      <c r="X881" s="1038"/>
      <c r="Y881" s="1038"/>
    </row>
    <row r="882" spans="1:25" x14ac:dyDescent="0.2">
      <c r="A882" s="1037"/>
      <c r="B882" s="1037"/>
      <c r="C882" s="1037"/>
      <c r="D882" s="1037"/>
      <c r="E882" s="1037"/>
      <c r="R882" s="1038"/>
      <c r="S882" s="1038"/>
      <c r="T882" s="1038"/>
      <c r="U882" s="1038"/>
      <c r="V882" s="1038"/>
      <c r="W882" s="1038"/>
      <c r="X882" s="1038"/>
      <c r="Y882" s="1038"/>
    </row>
    <row r="883" spans="1:25" x14ac:dyDescent="0.2">
      <c r="A883" s="1037"/>
      <c r="B883" s="1037"/>
      <c r="C883" s="1037"/>
      <c r="D883" s="1037"/>
      <c r="E883" s="1037"/>
      <c r="R883" s="1038"/>
      <c r="S883" s="1038"/>
      <c r="T883" s="1038"/>
      <c r="U883" s="1038"/>
      <c r="V883" s="1038"/>
      <c r="W883" s="1038"/>
      <c r="X883" s="1038"/>
      <c r="Y883" s="1038"/>
    </row>
    <row r="884" spans="1:25" x14ac:dyDescent="0.2">
      <c r="A884" s="1037"/>
      <c r="B884" s="1037"/>
      <c r="C884" s="1037"/>
      <c r="D884" s="1037"/>
      <c r="E884" s="1037"/>
      <c r="R884" s="1038"/>
      <c r="S884" s="1038"/>
      <c r="T884" s="1038"/>
      <c r="U884" s="1038"/>
      <c r="V884" s="1038"/>
      <c r="W884" s="1038"/>
      <c r="X884" s="1038"/>
      <c r="Y884" s="1038"/>
    </row>
    <row r="885" spans="1:25" x14ac:dyDescent="0.2">
      <c r="A885" s="1037"/>
      <c r="B885" s="1037"/>
      <c r="C885" s="1037"/>
      <c r="D885" s="1037"/>
      <c r="E885" s="1037"/>
      <c r="R885" s="1038"/>
      <c r="S885" s="1038"/>
      <c r="T885" s="1038"/>
      <c r="U885" s="1038"/>
      <c r="V885" s="1038"/>
      <c r="W885" s="1038"/>
      <c r="X885" s="1038"/>
      <c r="Y885" s="1038"/>
    </row>
    <row r="886" spans="1:25" x14ac:dyDescent="0.2">
      <c r="A886" s="1037"/>
      <c r="B886" s="1037"/>
      <c r="C886" s="1037"/>
      <c r="D886" s="1037"/>
      <c r="E886" s="1037"/>
      <c r="R886" s="1038"/>
      <c r="S886" s="1038"/>
      <c r="T886" s="1038"/>
      <c r="U886" s="1038"/>
      <c r="V886" s="1038"/>
      <c r="W886" s="1038"/>
      <c r="X886" s="1038"/>
      <c r="Y886" s="1038"/>
    </row>
    <row r="887" spans="1:25" x14ac:dyDescent="0.2">
      <c r="A887" s="1037"/>
      <c r="B887" s="1037"/>
      <c r="C887" s="1037"/>
      <c r="D887" s="1037"/>
      <c r="E887" s="1037"/>
      <c r="R887" s="1038"/>
      <c r="S887" s="1038"/>
      <c r="T887" s="1038"/>
      <c r="U887" s="1038"/>
      <c r="V887" s="1038"/>
      <c r="W887" s="1038"/>
      <c r="X887" s="1038"/>
      <c r="Y887" s="1038"/>
    </row>
    <row r="888" spans="1:25" x14ac:dyDescent="0.2">
      <c r="A888" s="1037"/>
      <c r="B888" s="1037"/>
      <c r="C888" s="1037"/>
      <c r="D888" s="1037"/>
      <c r="E888" s="1037"/>
      <c r="R888" s="1038"/>
      <c r="S888" s="1038"/>
      <c r="T888" s="1038"/>
      <c r="U888" s="1038"/>
      <c r="V888" s="1038"/>
      <c r="W888" s="1038"/>
      <c r="X888" s="1038"/>
      <c r="Y888" s="1038"/>
    </row>
    <row r="889" spans="1:25" x14ac:dyDescent="0.2">
      <c r="A889" s="1037"/>
      <c r="B889" s="1037"/>
      <c r="C889" s="1037"/>
      <c r="D889" s="1037"/>
      <c r="E889" s="1037"/>
      <c r="R889" s="1038"/>
      <c r="S889" s="1038"/>
      <c r="T889" s="1038"/>
      <c r="U889" s="1038"/>
      <c r="V889" s="1038"/>
      <c r="W889" s="1038"/>
      <c r="X889" s="1038"/>
      <c r="Y889" s="1038"/>
    </row>
    <row r="890" spans="1:25" x14ac:dyDescent="0.2">
      <c r="A890" s="1037"/>
      <c r="B890" s="1037"/>
      <c r="C890" s="1037"/>
      <c r="D890" s="1037"/>
      <c r="E890" s="1037"/>
      <c r="R890" s="1038"/>
      <c r="S890" s="1038"/>
      <c r="T890" s="1038"/>
      <c r="U890" s="1038"/>
      <c r="V890" s="1038"/>
      <c r="W890" s="1038"/>
      <c r="X890" s="1038"/>
      <c r="Y890" s="1038"/>
    </row>
    <row r="891" spans="1:25" x14ac:dyDescent="0.2">
      <c r="A891" s="1037"/>
      <c r="B891" s="1037"/>
      <c r="C891" s="1037"/>
      <c r="D891" s="1037"/>
      <c r="E891" s="1037"/>
      <c r="R891" s="1038"/>
      <c r="S891" s="1038"/>
      <c r="T891" s="1038"/>
      <c r="U891" s="1038"/>
      <c r="V891" s="1038"/>
      <c r="W891" s="1038"/>
      <c r="X891" s="1038"/>
      <c r="Y891" s="1038"/>
    </row>
    <row r="892" spans="1:25" x14ac:dyDescent="0.2">
      <c r="A892" s="1037"/>
      <c r="B892" s="1037"/>
      <c r="C892" s="1037"/>
      <c r="D892" s="1037"/>
      <c r="E892" s="1037"/>
      <c r="R892" s="1038"/>
      <c r="S892" s="1038"/>
      <c r="T892" s="1038"/>
      <c r="U892" s="1038"/>
      <c r="V892" s="1038"/>
      <c r="W892" s="1038"/>
      <c r="X892" s="1038"/>
      <c r="Y892" s="1038"/>
    </row>
    <row r="893" spans="1:25" x14ac:dyDescent="0.2">
      <c r="A893" s="1037"/>
      <c r="B893" s="1037"/>
      <c r="C893" s="1037"/>
      <c r="D893" s="1037"/>
      <c r="E893" s="1037"/>
      <c r="R893" s="1038"/>
      <c r="S893" s="1038"/>
      <c r="T893" s="1038"/>
      <c r="U893" s="1038"/>
      <c r="V893" s="1038"/>
      <c r="W893" s="1038"/>
      <c r="X893" s="1038"/>
      <c r="Y893" s="1038"/>
    </row>
    <row r="894" spans="1:25" x14ac:dyDescent="0.2">
      <c r="A894" s="1037"/>
      <c r="B894" s="1037"/>
      <c r="C894" s="1037"/>
      <c r="D894" s="1037"/>
      <c r="E894" s="1037"/>
      <c r="R894" s="1038"/>
      <c r="S894" s="1038"/>
      <c r="T894" s="1038"/>
      <c r="U894" s="1038"/>
      <c r="V894" s="1038"/>
      <c r="W894" s="1038"/>
      <c r="X894" s="1038"/>
      <c r="Y894" s="1038"/>
    </row>
    <row r="895" spans="1:25" x14ac:dyDescent="0.2">
      <c r="A895" s="1037"/>
      <c r="B895" s="1037"/>
      <c r="C895" s="1037"/>
      <c r="D895" s="1037"/>
      <c r="E895" s="1037"/>
      <c r="R895" s="1038"/>
      <c r="S895" s="1038"/>
      <c r="T895" s="1038"/>
      <c r="U895" s="1038"/>
      <c r="V895" s="1038"/>
      <c r="W895" s="1038"/>
      <c r="X895" s="1038"/>
      <c r="Y895" s="1038"/>
    </row>
    <row r="896" spans="1:25" x14ac:dyDescent="0.2">
      <c r="A896" s="1037"/>
      <c r="B896" s="1037"/>
      <c r="C896" s="1037"/>
      <c r="D896" s="1037"/>
      <c r="E896" s="1037"/>
      <c r="R896" s="1038"/>
      <c r="S896" s="1038"/>
      <c r="T896" s="1038"/>
      <c r="U896" s="1038"/>
      <c r="V896" s="1038"/>
      <c r="W896" s="1038"/>
      <c r="X896" s="1038"/>
      <c r="Y896" s="1038"/>
    </row>
    <row r="897" spans="1:25" x14ac:dyDescent="0.2">
      <c r="A897" s="1037"/>
      <c r="B897" s="1037"/>
      <c r="C897" s="1037"/>
      <c r="D897" s="1037"/>
      <c r="E897" s="1037"/>
      <c r="R897" s="1038"/>
      <c r="S897" s="1038"/>
      <c r="T897" s="1038"/>
      <c r="U897" s="1038"/>
      <c r="V897" s="1038"/>
      <c r="W897" s="1038"/>
      <c r="X897" s="1038"/>
      <c r="Y897" s="1038"/>
    </row>
    <row r="898" spans="1:25" x14ac:dyDescent="0.2">
      <c r="A898" s="1037"/>
      <c r="B898" s="1037"/>
      <c r="C898" s="1037"/>
      <c r="D898" s="1037"/>
      <c r="E898" s="1037"/>
      <c r="R898" s="1038"/>
      <c r="S898" s="1038"/>
      <c r="T898" s="1038"/>
      <c r="U898" s="1038"/>
      <c r="V898" s="1038"/>
      <c r="W898" s="1038"/>
      <c r="X898" s="1038"/>
      <c r="Y898" s="1038"/>
    </row>
    <row r="899" spans="1:25" x14ac:dyDescent="0.2">
      <c r="A899" s="1037"/>
      <c r="B899" s="1037"/>
      <c r="C899" s="1037"/>
      <c r="D899" s="1037"/>
      <c r="E899" s="1037"/>
      <c r="R899" s="1038"/>
      <c r="S899" s="1038"/>
      <c r="T899" s="1038"/>
      <c r="U899" s="1038"/>
      <c r="V899" s="1038"/>
      <c r="W899" s="1038"/>
      <c r="X899" s="1038"/>
      <c r="Y899" s="1038"/>
    </row>
    <row r="900" spans="1:25" x14ac:dyDescent="0.2">
      <c r="A900" s="1037"/>
      <c r="B900" s="1037"/>
      <c r="C900" s="1037"/>
      <c r="D900" s="1037"/>
      <c r="E900" s="1037"/>
      <c r="R900" s="1038"/>
      <c r="S900" s="1038"/>
      <c r="T900" s="1038"/>
      <c r="U900" s="1038"/>
      <c r="V900" s="1038"/>
      <c r="W900" s="1038"/>
      <c r="X900" s="1038"/>
      <c r="Y900" s="1038"/>
    </row>
    <row r="901" spans="1:25" x14ac:dyDescent="0.2">
      <c r="A901" s="1037"/>
      <c r="B901" s="1037"/>
      <c r="C901" s="1037"/>
      <c r="D901" s="1037"/>
      <c r="E901" s="1037"/>
      <c r="R901" s="1038"/>
      <c r="S901" s="1038"/>
      <c r="T901" s="1038"/>
      <c r="U901" s="1038"/>
      <c r="V901" s="1038"/>
      <c r="W901" s="1038"/>
      <c r="X901" s="1038"/>
      <c r="Y901" s="1038"/>
    </row>
    <row r="902" spans="1:25" x14ac:dyDescent="0.2">
      <c r="A902" s="1037"/>
      <c r="B902" s="1037"/>
      <c r="C902" s="1037"/>
      <c r="D902" s="1037"/>
      <c r="E902" s="1037"/>
      <c r="R902" s="1038"/>
      <c r="S902" s="1038"/>
      <c r="T902" s="1038"/>
      <c r="U902" s="1038"/>
      <c r="V902" s="1038"/>
      <c r="W902" s="1038"/>
      <c r="X902" s="1038"/>
      <c r="Y902" s="1038"/>
    </row>
    <row r="903" spans="1:25" x14ac:dyDescent="0.2">
      <c r="A903" s="1037"/>
      <c r="B903" s="1037"/>
      <c r="C903" s="1037"/>
      <c r="D903" s="1037"/>
      <c r="E903" s="1037"/>
      <c r="R903" s="1038"/>
      <c r="S903" s="1038"/>
      <c r="T903" s="1038"/>
      <c r="U903" s="1038"/>
      <c r="V903" s="1038"/>
      <c r="W903" s="1038"/>
      <c r="X903" s="1038"/>
      <c r="Y903" s="1038"/>
    </row>
    <row r="904" spans="1:25" x14ac:dyDescent="0.2">
      <c r="A904" s="1037"/>
      <c r="B904" s="1037"/>
      <c r="C904" s="1037"/>
      <c r="D904" s="1037"/>
      <c r="E904" s="1037"/>
      <c r="R904" s="1038"/>
      <c r="S904" s="1038"/>
      <c r="T904" s="1038"/>
      <c r="U904" s="1038"/>
      <c r="V904" s="1038"/>
      <c r="W904" s="1038"/>
      <c r="X904" s="1038"/>
      <c r="Y904" s="1038"/>
    </row>
    <row r="905" spans="1:25" x14ac:dyDescent="0.2">
      <c r="A905" s="1037"/>
      <c r="B905" s="1037"/>
      <c r="C905" s="1037"/>
      <c r="D905" s="1037"/>
      <c r="E905" s="1037"/>
      <c r="R905" s="1038"/>
      <c r="S905" s="1038"/>
      <c r="T905" s="1038"/>
      <c r="U905" s="1038"/>
      <c r="V905" s="1038"/>
      <c r="W905" s="1038"/>
      <c r="X905" s="1038"/>
      <c r="Y905" s="1038"/>
    </row>
    <row r="906" spans="1:25" x14ac:dyDescent="0.2">
      <c r="A906" s="1037"/>
      <c r="B906" s="1037"/>
      <c r="C906" s="1037"/>
      <c r="D906" s="1037"/>
      <c r="E906" s="1037"/>
      <c r="R906" s="1038"/>
      <c r="S906" s="1038"/>
      <c r="T906" s="1038"/>
      <c r="U906" s="1038"/>
      <c r="V906" s="1038"/>
      <c r="W906" s="1038"/>
      <c r="X906" s="1038"/>
      <c r="Y906" s="1038"/>
    </row>
    <row r="907" spans="1:25" x14ac:dyDescent="0.2">
      <c r="A907" s="1037"/>
      <c r="B907" s="1037"/>
      <c r="C907" s="1037"/>
      <c r="D907" s="1037"/>
      <c r="E907" s="1037"/>
      <c r="R907" s="1038"/>
      <c r="S907" s="1038"/>
      <c r="T907" s="1038"/>
      <c r="U907" s="1038"/>
      <c r="V907" s="1038"/>
      <c r="W907" s="1038"/>
      <c r="X907" s="1038"/>
      <c r="Y907" s="1038"/>
    </row>
    <row r="908" spans="1:25" x14ac:dyDescent="0.2">
      <c r="A908" s="1037"/>
      <c r="B908" s="1037"/>
      <c r="C908" s="1037"/>
      <c r="D908" s="1037"/>
      <c r="E908" s="1037"/>
      <c r="R908" s="1038"/>
      <c r="S908" s="1038"/>
      <c r="T908" s="1038"/>
      <c r="U908" s="1038"/>
      <c r="V908" s="1038"/>
      <c r="W908" s="1038"/>
      <c r="X908" s="1038"/>
      <c r="Y908" s="1038"/>
    </row>
    <row r="909" spans="1:25" x14ac:dyDescent="0.2">
      <c r="A909" s="1037"/>
      <c r="B909" s="1037"/>
      <c r="C909" s="1037"/>
      <c r="D909" s="1037"/>
      <c r="E909" s="1037"/>
      <c r="R909" s="1038"/>
      <c r="S909" s="1038"/>
      <c r="T909" s="1038"/>
      <c r="U909" s="1038"/>
      <c r="V909" s="1038"/>
      <c r="W909" s="1038"/>
      <c r="X909" s="1038"/>
      <c r="Y909" s="1038"/>
    </row>
    <row r="910" spans="1:25" x14ac:dyDescent="0.2">
      <c r="A910" s="1037"/>
      <c r="B910" s="1037"/>
      <c r="C910" s="1037"/>
      <c r="D910" s="1037"/>
      <c r="E910" s="1037"/>
      <c r="R910" s="1038"/>
      <c r="S910" s="1038"/>
      <c r="T910" s="1038"/>
      <c r="U910" s="1038"/>
      <c r="V910" s="1038"/>
      <c r="W910" s="1038"/>
      <c r="X910" s="1038"/>
      <c r="Y910" s="1038"/>
    </row>
    <row r="911" spans="1:25" x14ac:dyDescent="0.2">
      <c r="A911" s="1037"/>
      <c r="B911" s="1037"/>
      <c r="C911" s="1037"/>
      <c r="D911" s="1037"/>
      <c r="E911" s="1037"/>
      <c r="R911" s="1038"/>
      <c r="S911" s="1038"/>
      <c r="T911" s="1038"/>
      <c r="U911" s="1038"/>
      <c r="V911" s="1038"/>
      <c r="W911" s="1038"/>
      <c r="X911" s="1038"/>
      <c r="Y911" s="1038"/>
    </row>
    <row r="912" spans="1:25" x14ac:dyDescent="0.2">
      <c r="A912" s="1037"/>
      <c r="B912" s="1037"/>
      <c r="C912" s="1037"/>
      <c r="D912" s="1037"/>
      <c r="E912" s="1037"/>
      <c r="R912" s="1038"/>
      <c r="S912" s="1038"/>
      <c r="T912" s="1038"/>
      <c r="U912" s="1038"/>
      <c r="V912" s="1038"/>
      <c r="W912" s="1038"/>
      <c r="X912" s="1038"/>
      <c r="Y912" s="1038"/>
    </row>
    <row r="913" spans="1:25" x14ac:dyDescent="0.2">
      <c r="A913" s="1037"/>
      <c r="B913" s="1037"/>
      <c r="C913" s="1037"/>
      <c r="D913" s="1037"/>
      <c r="E913" s="1037"/>
      <c r="R913" s="1038"/>
      <c r="S913" s="1038"/>
      <c r="T913" s="1038"/>
      <c r="U913" s="1038"/>
      <c r="V913" s="1038"/>
      <c r="W913" s="1038"/>
      <c r="X913" s="1038"/>
      <c r="Y913" s="1038"/>
    </row>
    <row r="914" spans="1:25" x14ac:dyDescent="0.2">
      <c r="A914" s="1037"/>
      <c r="B914" s="1037"/>
      <c r="C914" s="1037"/>
      <c r="D914" s="1037"/>
      <c r="E914" s="1037"/>
      <c r="R914" s="1038"/>
      <c r="S914" s="1038"/>
      <c r="T914" s="1038"/>
      <c r="U914" s="1038"/>
      <c r="V914" s="1038"/>
      <c r="W914" s="1038"/>
      <c r="X914" s="1038"/>
      <c r="Y914" s="1038"/>
    </row>
    <row r="915" spans="1:25" x14ac:dyDescent="0.2">
      <c r="A915" s="1037"/>
      <c r="B915" s="1037"/>
      <c r="C915" s="1037"/>
      <c r="D915" s="1037"/>
      <c r="E915" s="1037"/>
      <c r="R915" s="1038"/>
      <c r="S915" s="1038"/>
      <c r="T915" s="1038"/>
      <c r="U915" s="1038"/>
      <c r="V915" s="1038"/>
      <c r="W915" s="1038"/>
      <c r="X915" s="1038"/>
      <c r="Y915" s="1038"/>
    </row>
    <row r="916" spans="1:25" x14ac:dyDescent="0.2">
      <c r="A916" s="1037"/>
      <c r="B916" s="1037"/>
      <c r="C916" s="1037"/>
      <c r="D916" s="1037"/>
      <c r="E916" s="1037"/>
      <c r="R916" s="1038"/>
      <c r="S916" s="1038"/>
      <c r="T916" s="1038"/>
      <c r="U916" s="1038"/>
      <c r="V916" s="1038"/>
      <c r="W916" s="1038"/>
      <c r="X916" s="1038"/>
      <c r="Y916" s="1038"/>
    </row>
    <row r="917" spans="1:25" x14ac:dyDescent="0.2">
      <c r="A917" s="1037"/>
      <c r="B917" s="1037"/>
      <c r="C917" s="1037"/>
      <c r="D917" s="1037"/>
      <c r="E917" s="1037"/>
      <c r="R917" s="1038"/>
      <c r="S917" s="1038"/>
      <c r="T917" s="1038"/>
      <c r="U917" s="1038"/>
      <c r="V917" s="1038"/>
      <c r="W917" s="1038"/>
      <c r="X917" s="1038"/>
      <c r="Y917" s="1038"/>
    </row>
    <row r="918" spans="1:25" x14ac:dyDescent="0.2">
      <c r="A918" s="1037"/>
      <c r="B918" s="1037"/>
      <c r="C918" s="1037"/>
      <c r="D918" s="1037"/>
      <c r="E918" s="1037"/>
      <c r="R918" s="1038"/>
      <c r="S918" s="1038"/>
      <c r="T918" s="1038"/>
      <c r="U918" s="1038"/>
      <c r="V918" s="1038"/>
      <c r="W918" s="1038"/>
      <c r="X918" s="1038"/>
      <c r="Y918" s="1038"/>
    </row>
    <row r="919" spans="1:25" x14ac:dyDescent="0.2">
      <c r="A919" s="1037"/>
      <c r="B919" s="1037"/>
      <c r="C919" s="1037"/>
      <c r="D919" s="1037"/>
      <c r="E919" s="1037"/>
      <c r="R919" s="1038"/>
      <c r="S919" s="1038"/>
      <c r="T919" s="1038"/>
      <c r="U919" s="1038"/>
      <c r="V919" s="1038"/>
      <c r="W919" s="1038"/>
      <c r="X919" s="1038"/>
      <c r="Y919" s="1038"/>
    </row>
    <row r="920" spans="1:25" x14ac:dyDescent="0.2">
      <c r="A920" s="1037"/>
      <c r="B920" s="1037"/>
      <c r="C920" s="1037"/>
      <c r="D920" s="1037"/>
      <c r="E920" s="1037"/>
      <c r="R920" s="1038"/>
      <c r="S920" s="1038"/>
      <c r="T920" s="1038"/>
      <c r="U920" s="1038"/>
      <c r="V920" s="1038"/>
      <c r="W920" s="1038"/>
      <c r="X920" s="1038"/>
      <c r="Y920" s="1038"/>
    </row>
    <row r="921" spans="1:25" x14ac:dyDescent="0.2">
      <c r="A921" s="1037"/>
      <c r="B921" s="1037"/>
      <c r="C921" s="1037"/>
      <c r="D921" s="1037"/>
      <c r="E921" s="1037"/>
      <c r="R921" s="1038"/>
      <c r="S921" s="1038"/>
      <c r="T921" s="1038"/>
      <c r="U921" s="1038"/>
      <c r="V921" s="1038"/>
      <c r="W921" s="1038"/>
      <c r="X921" s="1038"/>
      <c r="Y921" s="1038"/>
    </row>
    <row r="922" spans="1:25" x14ac:dyDescent="0.2">
      <c r="A922" s="1037"/>
      <c r="B922" s="1037"/>
      <c r="C922" s="1037"/>
      <c r="D922" s="1037"/>
      <c r="E922" s="1037"/>
      <c r="R922" s="1038"/>
      <c r="S922" s="1038"/>
      <c r="T922" s="1038"/>
      <c r="U922" s="1038"/>
      <c r="V922" s="1038"/>
      <c r="W922" s="1038"/>
      <c r="X922" s="1038"/>
      <c r="Y922" s="1038"/>
    </row>
    <row r="923" spans="1:25" x14ac:dyDescent="0.2">
      <c r="A923" s="1037"/>
      <c r="B923" s="1037"/>
      <c r="C923" s="1037"/>
      <c r="D923" s="1037"/>
      <c r="E923" s="1037"/>
      <c r="R923" s="1038"/>
      <c r="S923" s="1038"/>
      <c r="T923" s="1038"/>
      <c r="U923" s="1038"/>
      <c r="V923" s="1038"/>
      <c r="W923" s="1038"/>
      <c r="X923" s="1038"/>
      <c r="Y923" s="1038"/>
    </row>
    <row r="924" spans="1:25" x14ac:dyDescent="0.2">
      <c r="A924" s="1037"/>
      <c r="B924" s="1037"/>
      <c r="C924" s="1037"/>
      <c r="D924" s="1037"/>
      <c r="E924" s="1037"/>
      <c r="R924" s="1038"/>
      <c r="S924" s="1038"/>
      <c r="T924" s="1038"/>
      <c r="U924" s="1038"/>
      <c r="V924" s="1038"/>
      <c r="W924" s="1038"/>
      <c r="X924" s="1038"/>
      <c r="Y924" s="1038"/>
    </row>
    <row r="925" spans="1:25" x14ac:dyDescent="0.2">
      <c r="A925" s="1037"/>
      <c r="B925" s="1037"/>
      <c r="C925" s="1037"/>
      <c r="D925" s="1037"/>
      <c r="E925" s="1037"/>
      <c r="R925" s="1038"/>
      <c r="S925" s="1038"/>
      <c r="T925" s="1038"/>
      <c r="U925" s="1038"/>
      <c r="V925" s="1038"/>
      <c r="W925" s="1038"/>
      <c r="X925" s="1038"/>
      <c r="Y925" s="1038"/>
    </row>
    <row r="926" spans="1:25" x14ac:dyDescent="0.2">
      <c r="A926" s="1037"/>
      <c r="B926" s="1037"/>
      <c r="C926" s="1037"/>
      <c r="D926" s="1037"/>
      <c r="E926" s="1037"/>
      <c r="R926" s="1038"/>
      <c r="S926" s="1038"/>
      <c r="T926" s="1038"/>
      <c r="U926" s="1038"/>
      <c r="V926" s="1038"/>
      <c r="W926" s="1038"/>
      <c r="X926" s="1038"/>
      <c r="Y926" s="1038"/>
    </row>
    <row r="927" spans="1:25" x14ac:dyDescent="0.2">
      <c r="A927" s="1037"/>
      <c r="B927" s="1037"/>
      <c r="C927" s="1037"/>
      <c r="D927" s="1037"/>
      <c r="E927" s="1037"/>
      <c r="R927" s="1038"/>
      <c r="S927" s="1038"/>
      <c r="T927" s="1038"/>
      <c r="U927" s="1038"/>
      <c r="V927" s="1038"/>
      <c r="W927" s="1038"/>
      <c r="X927" s="1038"/>
      <c r="Y927" s="1038"/>
    </row>
    <row r="928" spans="1:25" x14ac:dyDescent="0.2">
      <c r="A928" s="1037"/>
      <c r="B928" s="1037"/>
      <c r="C928" s="1037"/>
      <c r="D928" s="1037"/>
      <c r="E928" s="1037"/>
      <c r="R928" s="1038"/>
      <c r="S928" s="1038"/>
      <c r="T928" s="1038"/>
      <c r="U928" s="1038"/>
      <c r="V928" s="1038"/>
      <c r="W928" s="1038"/>
      <c r="X928" s="1038"/>
      <c r="Y928" s="1038"/>
    </row>
    <row r="929" spans="1:25" x14ac:dyDescent="0.2">
      <c r="A929" s="1037"/>
      <c r="B929" s="1037"/>
      <c r="C929" s="1037"/>
      <c r="D929" s="1037"/>
      <c r="E929" s="1037"/>
      <c r="R929" s="1038"/>
      <c r="S929" s="1038"/>
      <c r="T929" s="1038"/>
      <c r="U929" s="1038"/>
      <c r="V929" s="1038"/>
      <c r="W929" s="1038"/>
      <c r="X929" s="1038"/>
      <c r="Y929" s="1038"/>
    </row>
    <row r="930" spans="1:25" x14ac:dyDescent="0.2">
      <c r="A930" s="1037"/>
      <c r="B930" s="1037"/>
      <c r="C930" s="1037"/>
      <c r="D930" s="1037"/>
      <c r="E930" s="1037"/>
      <c r="R930" s="1038"/>
      <c r="S930" s="1038"/>
      <c r="T930" s="1038"/>
      <c r="U930" s="1038"/>
      <c r="V930" s="1038"/>
      <c r="W930" s="1038"/>
      <c r="X930" s="1038"/>
      <c r="Y930" s="1038"/>
    </row>
    <row r="931" spans="1:25" x14ac:dyDescent="0.2">
      <c r="A931" s="1037"/>
      <c r="B931" s="1037"/>
      <c r="C931" s="1037"/>
      <c r="D931" s="1037"/>
      <c r="E931" s="1037"/>
      <c r="R931" s="1038"/>
      <c r="S931" s="1038"/>
      <c r="T931" s="1038"/>
      <c r="U931" s="1038"/>
      <c r="V931" s="1038"/>
      <c r="W931" s="1038"/>
      <c r="X931" s="1038"/>
      <c r="Y931" s="1038"/>
    </row>
    <row r="932" spans="1:25" x14ac:dyDescent="0.2">
      <c r="A932" s="1037"/>
      <c r="B932" s="1037"/>
      <c r="C932" s="1037"/>
      <c r="D932" s="1037"/>
      <c r="E932" s="1037"/>
      <c r="R932" s="1038"/>
      <c r="S932" s="1038"/>
      <c r="T932" s="1038"/>
      <c r="U932" s="1038"/>
      <c r="V932" s="1038"/>
      <c r="W932" s="1038"/>
      <c r="X932" s="1038"/>
      <c r="Y932" s="1038"/>
    </row>
    <row r="933" spans="1:25" x14ac:dyDescent="0.2">
      <c r="A933" s="1037"/>
      <c r="B933" s="1037"/>
      <c r="C933" s="1037"/>
      <c r="D933" s="1037"/>
      <c r="E933" s="1037"/>
      <c r="R933" s="1038"/>
      <c r="S933" s="1038"/>
      <c r="T933" s="1038"/>
      <c r="U933" s="1038"/>
      <c r="V933" s="1038"/>
      <c r="W933" s="1038"/>
      <c r="X933" s="1038"/>
      <c r="Y933" s="1038"/>
    </row>
    <row r="934" spans="1:25" x14ac:dyDescent="0.2">
      <c r="A934" s="1037"/>
      <c r="B934" s="1037"/>
      <c r="C934" s="1037"/>
      <c r="D934" s="1037"/>
      <c r="E934" s="1037"/>
      <c r="R934" s="1038"/>
      <c r="S934" s="1038"/>
      <c r="T934" s="1038"/>
      <c r="U934" s="1038"/>
      <c r="V934" s="1038"/>
      <c r="W934" s="1038"/>
      <c r="X934" s="1038"/>
      <c r="Y934" s="1038"/>
    </row>
    <row r="935" spans="1:25" x14ac:dyDescent="0.2">
      <c r="A935" s="1037"/>
      <c r="B935" s="1037"/>
      <c r="C935" s="1037"/>
      <c r="D935" s="1037"/>
      <c r="E935" s="1037"/>
      <c r="R935" s="1038"/>
      <c r="S935" s="1038"/>
      <c r="T935" s="1038"/>
      <c r="U935" s="1038"/>
      <c r="V935" s="1038"/>
      <c r="W935" s="1038"/>
      <c r="X935" s="1038"/>
      <c r="Y935" s="1038"/>
    </row>
    <row r="936" spans="1:25" x14ac:dyDescent="0.2">
      <c r="A936" s="1037"/>
      <c r="B936" s="1037"/>
      <c r="C936" s="1037"/>
      <c r="D936" s="1037"/>
      <c r="E936" s="1037"/>
      <c r="R936" s="1038"/>
      <c r="S936" s="1038"/>
      <c r="T936" s="1038"/>
      <c r="U936" s="1038"/>
      <c r="V936" s="1038"/>
      <c r="W936" s="1038"/>
      <c r="X936" s="1038"/>
      <c r="Y936" s="1038"/>
    </row>
    <row r="937" spans="1:25" x14ac:dyDescent="0.2">
      <c r="A937" s="1037"/>
      <c r="B937" s="1037"/>
      <c r="C937" s="1037"/>
      <c r="D937" s="1037"/>
      <c r="E937" s="1037"/>
      <c r="R937" s="1038"/>
      <c r="S937" s="1038"/>
      <c r="T937" s="1038"/>
      <c r="U937" s="1038"/>
      <c r="V937" s="1038"/>
      <c r="W937" s="1038"/>
      <c r="X937" s="1038"/>
      <c r="Y937" s="1038"/>
    </row>
    <row r="938" spans="1:25" x14ac:dyDescent="0.2">
      <c r="A938" s="1037"/>
      <c r="B938" s="1037"/>
      <c r="C938" s="1037"/>
      <c r="D938" s="1037"/>
      <c r="E938" s="1037"/>
      <c r="R938" s="1038"/>
      <c r="S938" s="1038"/>
      <c r="T938" s="1038"/>
      <c r="U938" s="1038"/>
      <c r="V938" s="1038"/>
      <c r="W938" s="1038"/>
      <c r="X938" s="1038"/>
      <c r="Y938" s="1038"/>
    </row>
    <row r="939" spans="1:25" x14ac:dyDescent="0.2">
      <c r="A939" s="1037"/>
      <c r="B939" s="1037"/>
      <c r="C939" s="1037"/>
      <c r="D939" s="1037"/>
      <c r="E939" s="1037"/>
      <c r="R939" s="1038"/>
      <c r="S939" s="1038"/>
      <c r="T939" s="1038"/>
      <c r="U939" s="1038"/>
      <c r="V939" s="1038"/>
      <c r="W939" s="1038"/>
      <c r="X939" s="1038"/>
      <c r="Y939" s="1038"/>
    </row>
    <row r="940" spans="1:25" x14ac:dyDescent="0.2">
      <c r="A940" s="1037"/>
      <c r="B940" s="1037"/>
      <c r="C940" s="1037"/>
      <c r="D940" s="1037"/>
      <c r="E940" s="1037"/>
      <c r="R940" s="1038"/>
      <c r="S940" s="1038"/>
      <c r="T940" s="1038"/>
      <c r="U940" s="1038"/>
      <c r="V940" s="1038"/>
      <c r="W940" s="1038"/>
      <c r="X940" s="1038"/>
      <c r="Y940" s="1038"/>
    </row>
    <row r="941" spans="1:25" x14ac:dyDescent="0.2">
      <c r="A941" s="1037"/>
      <c r="B941" s="1037"/>
      <c r="C941" s="1037"/>
      <c r="D941" s="1037"/>
      <c r="E941" s="1037"/>
      <c r="R941" s="1038"/>
      <c r="S941" s="1038"/>
      <c r="T941" s="1038"/>
      <c r="U941" s="1038"/>
      <c r="V941" s="1038"/>
      <c r="W941" s="1038"/>
      <c r="X941" s="1038"/>
      <c r="Y941" s="1038"/>
    </row>
    <row r="942" spans="1:25" x14ac:dyDescent="0.2">
      <c r="A942" s="1037"/>
      <c r="B942" s="1037"/>
      <c r="C942" s="1037"/>
      <c r="D942" s="1037"/>
      <c r="E942" s="1037"/>
      <c r="R942" s="1038"/>
      <c r="S942" s="1038"/>
      <c r="T942" s="1038"/>
      <c r="U942" s="1038"/>
      <c r="V942" s="1038"/>
      <c r="W942" s="1038"/>
      <c r="X942" s="1038"/>
      <c r="Y942" s="1038"/>
    </row>
    <row r="943" spans="1:25" x14ac:dyDescent="0.2">
      <c r="A943" s="1037"/>
      <c r="B943" s="1037"/>
      <c r="C943" s="1037"/>
      <c r="D943" s="1037"/>
      <c r="E943" s="1037"/>
      <c r="R943" s="1038"/>
      <c r="S943" s="1038"/>
      <c r="T943" s="1038"/>
      <c r="U943" s="1038"/>
      <c r="V943" s="1038"/>
      <c r="W943" s="1038"/>
      <c r="X943" s="1038"/>
      <c r="Y943" s="1038"/>
    </row>
    <row r="944" spans="1:25" x14ac:dyDescent="0.2">
      <c r="A944" s="1037"/>
      <c r="B944" s="1037"/>
      <c r="C944" s="1037"/>
      <c r="D944" s="1037"/>
      <c r="E944" s="1037"/>
      <c r="R944" s="1038"/>
      <c r="S944" s="1038"/>
      <c r="T944" s="1038"/>
      <c r="U944" s="1038"/>
      <c r="V944" s="1038"/>
      <c r="W944" s="1038"/>
      <c r="X944" s="1038"/>
      <c r="Y944" s="1038"/>
    </row>
    <row r="945" spans="1:25" x14ac:dyDescent="0.2">
      <c r="A945" s="1037"/>
      <c r="B945" s="1037"/>
      <c r="C945" s="1037"/>
      <c r="D945" s="1037"/>
      <c r="E945" s="1037"/>
      <c r="R945" s="1038"/>
      <c r="S945" s="1038"/>
      <c r="T945" s="1038"/>
      <c r="U945" s="1038"/>
      <c r="V945" s="1038"/>
      <c r="W945" s="1038"/>
      <c r="X945" s="1038"/>
      <c r="Y945" s="1038"/>
    </row>
    <row r="946" spans="1:25" x14ac:dyDescent="0.2">
      <c r="A946" s="1037"/>
      <c r="B946" s="1037"/>
      <c r="C946" s="1037"/>
      <c r="D946" s="1037"/>
      <c r="E946" s="1037"/>
      <c r="R946" s="1038"/>
      <c r="S946" s="1038"/>
      <c r="T946" s="1038"/>
      <c r="U946" s="1038"/>
      <c r="V946" s="1038"/>
      <c r="W946" s="1038"/>
      <c r="X946" s="1038"/>
      <c r="Y946" s="1038"/>
    </row>
    <row r="947" spans="1:25" x14ac:dyDescent="0.2">
      <c r="A947" s="1037"/>
      <c r="B947" s="1037"/>
      <c r="C947" s="1037"/>
      <c r="D947" s="1037"/>
      <c r="E947" s="1037"/>
      <c r="R947" s="1038"/>
      <c r="S947" s="1038"/>
      <c r="T947" s="1038"/>
      <c r="U947" s="1038"/>
      <c r="V947" s="1038"/>
      <c r="W947" s="1038"/>
      <c r="X947" s="1038"/>
      <c r="Y947" s="1038"/>
    </row>
    <row r="948" spans="1:25" x14ac:dyDescent="0.2">
      <c r="A948" s="1037"/>
      <c r="B948" s="1037"/>
      <c r="C948" s="1037"/>
      <c r="D948" s="1037"/>
      <c r="E948" s="1037"/>
      <c r="R948" s="1038"/>
      <c r="S948" s="1038"/>
      <c r="T948" s="1038"/>
      <c r="U948" s="1038"/>
      <c r="V948" s="1038"/>
      <c r="W948" s="1038"/>
      <c r="X948" s="1038"/>
      <c r="Y948" s="1038"/>
    </row>
    <row r="949" spans="1:25" x14ac:dyDescent="0.2">
      <c r="A949" s="1037"/>
      <c r="B949" s="1037"/>
      <c r="C949" s="1037"/>
      <c r="D949" s="1037"/>
      <c r="E949" s="1037"/>
      <c r="R949" s="1038"/>
      <c r="S949" s="1038"/>
      <c r="T949" s="1038"/>
      <c r="U949" s="1038"/>
      <c r="V949" s="1038"/>
      <c r="W949" s="1038"/>
      <c r="X949" s="1038"/>
      <c r="Y949" s="1038"/>
    </row>
    <row r="950" spans="1:25" x14ac:dyDescent="0.2">
      <c r="A950" s="1037"/>
      <c r="B950" s="1037"/>
      <c r="C950" s="1037"/>
      <c r="D950" s="1037"/>
      <c r="E950" s="1037"/>
      <c r="R950" s="1038"/>
      <c r="S950" s="1038"/>
      <c r="T950" s="1038"/>
      <c r="U950" s="1038"/>
      <c r="V950" s="1038"/>
      <c r="W950" s="1038"/>
      <c r="X950" s="1038"/>
      <c r="Y950" s="1038"/>
    </row>
    <row r="951" spans="1:25" x14ac:dyDescent="0.2">
      <c r="A951" s="1037"/>
      <c r="B951" s="1037"/>
      <c r="C951" s="1037"/>
      <c r="D951" s="1037"/>
      <c r="E951" s="1037"/>
      <c r="R951" s="1038"/>
      <c r="S951" s="1038"/>
      <c r="T951" s="1038"/>
      <c r="U951" s="1038"/>
      <c r="V951" s="1038"/>
      <c r="W951" s="1038"/>
      <c r="X951" s="1038"/>
      <c r="Y951" s="1038"/>
    </row>
    <row r="952" spans="1:25" x14ac:dyDescent="0.2">
      <c r="A952" s="1037"/>
      <c r="B952" s="1037"/>
      <c r="C952" s="1037"/>
      <c r="D952" s="1037"/>
      <c r="E952" s="1037"/>
      <c r="R952" s="1038"/>
      <c r="S952" s="1038"/>
      <c r="T952" s="1038"/>
      <c r="U952" s="1038"/>
      <c r="V952" s="1038"/>
      <c r="W952" s="1038"/>
      <c r="X952" s="1038"/>
      <c r="Y952" s="1038"/>
    </row>
    <row r="953" spans="1:25" x14ac:dyDescent="0.2">
      <c r="A953" s="1037"/>
      <c r="B953" s="1037"/>
      <c r="C953" s="1037"/>
      <c r="D953" s="1037"/>
      <c r="E953" s="1037"/>
      <c r="R953" s="1038"/>
      <c r="S953" s="1038"/>
      <c r="T953" s="1038"/>
      <c r="U953" s="1038"/>
      <c r="V953" s="1038"/>
      <c r="W953" s="1038"/>
      <c r="X953" s="1038"/>
      <c r="Y953" s="1038"/>
    </row>
    <row r="954" spans="1:25" x14ac:dyDescent="0.2">
      <c r="A954" s="1037"/>
      <c r="B954" s="1037"/>
      <c r="C954" s="1037"/>
      <c r="D954" s="1037"/>
      <c r="E954" s="1037"/>
      <c r="R954" s="1038"/>
      <c r="S954" s="1038"/>
      <c r="T954" s="1038"/>
      <c r="U954" s="1038"/>
      <c r="V954" s="1038"/>
      <c r="W954" s="1038"/>
      <c r="X954" s="1038"/>
      <c r="Y954" s="1038"/>
    </row>
    <row r="955" spans="1:25" x14ac:dyDescent="0.2">
      <c r="A955" s="1037"/>
      <c r="B955" s="1037"/>
      <c r="C955" s="1037"/>
      <c r="D955" s="1037"/>
      <c r="E955" s="1037"/>
      <c r="R955" s="1038"/>
      <c r="S955" s="1038"/>
      <c r="T955" s="1038"/>
      <c r="U955" s="1038"/>
      <c r="V955" s="1038"/>
      <c r="W955" s="1038"/>
      <c r="X955" s="1038"/>
      <c r="Y955" s="1038"/>
    </row>
    <row r="956" spans="1:25" x14ac:dyDescent="0.2">
      <c r="A956" s="1037"/>
      <c r="B956" s="1037"/>
      <c r="C956" s="1037"/>
      <c r="D956" s="1037"/>
      <c r="E956" s="1037"/>
      <c r="R956" s="1038"/>
      <c r="S956" s="1038"/>
      <c r="T956" s="1038"/>
      <c r="U956" s="1038"/>
      <c r="V956" s="1038"/>
      <c r="W956" s="1038"/>
      <c r="X956" s="1038"/>
      <c r="Y956" s="1038"/>
    </row>
    <row r="957" spans="1:25" x14ac:dyDescent="0.2">
      <c r="A957" s="1037"/>
      <c r="B957" s="1037"/>
      <c r="C957" s="1037"/>
      <c r="D957" s="1037"/>
      <c r="E957" s="1037"/>
      <c r="R957" s="1038"/>
      <c r="S957" s="1038"/>
      <c r="T957" s="1038"/>
      <c r="U957" s="1038"/>
      <c r="V957" s="1038"/>
      <c r="W957" s="1038"/>
      <c r="X957" s="1038"/>
      <c r="Y957" s="1038"/>
    </row>
    <row r="958" spans="1:25" x14ac:dyDescent="0.2">
      <c r="A958" s="1037"/>
      <c r="B958" s="1037"/>
      <c r="C958" s="1037"/>
      <c r="D958" s="1037"/>
      <c r="E958" s="1037"/>
      <c r="R958" s="1038"/>
      <c r="S958" s="1038"/>
      <c r="T958" s="1038"/>
      <c r="U958" s="1038"/>
      <c r="V958" s="1038"/>
      <c r="W958" s="1038"/>
      <c r="X958" s="1038"/>
      <c r="Y958" s="1038"/>
    </row>
    <row r="959" spans="1:25" x14ac:dyDescent="0.2">
      <c r="A959" s="1037"/>
      <c r="B959" s="1037"/>
      <c r="C959" s="1037"/>
      <c r="D959" s="1037"/>
      <c r="E959" s="1037"/>
      <c r="R959" s="1038"/>
      <c r="S959" s="1038"/>
      <c r="T959" s="1038"/>
      <c r="U959" s="1038"/>
      <c r="V959" s="1038"/>
      <c r="W959" s="1038"/>
      <c r="X959" s="1038"/>
      <c r="Y959" s="1038"/>
    </row>
    <row r="960" spans="1:25" x14ac:dyDescent="0.2">
      <c r="A960" s="1037"/>
      <c r="B960" s="1037"/>
      <c r="C960" s="1037"/>
      <c r="D960" s="1037"/>
      <c r="E960" s="1037"/>
      <c r="R960" s="1038"/>
      <c r="S960" s="1038"/>
      <c r="T960" s="1038"/>
      <c r="U960" s="1038"/>
      <c r="V960" s="1038"/>
      <c r="W960" s="1038"/>
      <c r="X960" s="1038"/>
      <c r="Y960" s="1038"/>
    </row>
    <row r="961" spans="1:25" x14ac:dyDescent="0.2">
      <c r="A961" s="1037"/>
      <c r="B961" s="1037"/>
      <c r="C961" s="1037"/>
      <c r="D961" s="1037"/>
      <c r="E961" s="1037"/>
      <c r="R961" s="1038"/>
      <c r="S961" s="1038"/>
      <c r="T961" s="1038"/>
      <c r="U961" s="1038"/>
      <c r="V961" s="1038"/>
      <c r="W961" s="1038"/>
      <c r="X961" s="1038"/>
      <c r="Y961" s="1038"/>
    </row>
    <row r="962" spans="1:25" x14ac:dyDescent="0.2">
      <c r="A962" s="1037"/>
      <c r="B962" s="1037"/>
      <c r="C962" s="1037"/>
      <c r="D962" s="1037"/>
      <c r="E962" s="1037"/>
      <c r="R962" s="1038"/>
      <c r="S962" s="1038"/>
      <c r="T962" s="1038"/>
      <c r="U962" s="1038"/>
      <c r="V962" s="1038"/>
      <c r="W962" s="1038"/>
      <c r="X962" s="1038"/>
      <c r="Y962" s="1038"/>
    </row>
    <row r="963" spans="1:25" x14ac:dyDescent="0.2">
      <c r="A963" s="1037"/>
      <c r="B963" s="1037"/>
      <c r="C963" s="1037"/>
      <c r="D963" s="1037"/>
      <c r="E963" s="1037"/>
      <c r="R963" s="1038"/>
      <c r="S963" s="1038"/>
      <c r="T963" s="1038"/>
      <c r="U963" s="1038"/>
      <c r="V963" s="1038"/>
      <c r="W963" s="1038"/>
      <c r="X963" s="1038"/>
      <c r="Y963" s="1038"/>
    </row>
    <row r="964" spans="1:25" x14ac:dyDescent="0.2">
      <c r="A964" s="1037"/>
      <c r="B964" s="1037"/>
      <c r="C964" s="1037"/>
      <c r="D964" s="1037"/>
      <c r="E964" s="1037"/>
      <c r="R964" s="1038"/>
      <c r="S964" s="1038"/>
      <c r="T964" s="1038"/>
      <c r="U964" s="1038"/>
      <c r="V964" s="1038"/>
      <c r="W964" s="1038"/>
      <c r="X964" s="1038"/>
      <c r="Y964" s="1038"/>
    </row>
    <row r="965" spans="1:25" x14ac:dyDescent="0.2">
      <c r="A965" s="1037"/>
      <c r="B965" s="1037"/>
      <c r="C965" s="1037"/>
      <c r="D965" s="1037"/>
      <c r="E965" s="1037"/>
      <c r="R965" s="1038"/>
      <c r="S965" s="1038"/>
      <c r="T965" s="1038"/>
      <c r="U965" s="1038"/>
      <c r="V965" s="1038"/>
      <c r="W965" s="1038"/>
      <c r="X965" s="1038"/>
      <c r="Y965" s="1038"/>
    </row>
    <row r="966" spans="1:25" x14ac:dyDescent="0.2">
      <c r="A966" s="1037"/>
      <c r="B966" s="1037"/>
      <c r="C966" s="1037"/>
      <c r="D966" s="1037"/>
      <c r="E966" s="1037"/>
      <c r="R966" s="1038"/>
      <c r="S966" s="1038"/>
      <c r="T966" s="1038"/>
      <c r="U966" s="1038"/>
      <c r="V966" s="1038"/>
      <c r="W966" s="1038"/>
      <c r="X966" s="1038"/>
      <c r="Y966" s="1038"/>
    </row>
    <row r="967" spans="1:25" x14ac:dyDescent="0.2">
      <c r="A967" s="1037"/>
      <c r="B967" s="1037"/>
      <c r="C967" s="1037"/>
      <c r="D967" s="1037"/>
      <c r="E967" s="1037"/>
      <c r="R967" s="1038"/>
      <c r="S967" s="1038"/>
      <c r="T967" s="1038"/>
      <c r="U967" s="1038"/>
      <c r="V967" s="1038"/>
      <c r="W967" s="1038"/>
      <c r="X967" s="1038"/>
      <c r="Y967" s="1038"/>
    </row>
    <row r="968" spans="1:25" x14ac:dyDescent="0.2">
      <c r="A968" s="1037"/>
      <c r="B968" s="1037"/>
      <c r="C968" s="1037"/>
      <c r="D968" s="1037"/>
      <c r="E968" s="1037"/>
      <c r="R968" s="1038"/>
      <c r="S968" s="1038"/>
      <c r="T968" s="1038"/>
      <c r="U968" s="1038"/>
      <c r="V968" s="1038"/>
      <c r="W968" s="1038"/>
      <c r="X968" s="1038"/>
      <c r="Y968" s="1038"/>
    </row>
    <row r="969" spans="1:25" x14ac:dyDescent="0.2">
      <c r="A969" s="1037"/>
      <c r="B969" s="1037"/>
      <c r="C969" s="1037"/>
      <c r="D969" s="1037"/>
      <c r="E969" s="1037"/>
      <c r="R969" s="1038"/>
      <c r="S969" s="1038"/>
      <c r="T969" s="1038"/>
      <c r="U969" s="1038"/>
      <c r="V969" s="1038"/>
      <c r="W969" s="1038"/>
      <c r="X969" s="1038"/>
      <c r="Y969" s="1038"/>
    </row>
    <row r="970" spans="1:25" x14ac:dyDescent="0.2">
      <c r="A970" s="1037"/>
      <c r="B970" s="1037"/>
      <c r="C970" s="1037"/>
      <c r="D970" s="1037"/>
      <c r="E970" s="1037"/>
      <c r="R970" s="1038"/>
      <c r="S970" s="1038"/>
      <c r="T970" s="1038"/>
      <c r="U970" s="1038"/>
      <c r="V970" s="1038"/>
      <c r="W970" s="1038"/>
      <c r="X970" s="1038"/>
      <c r="Y970" s="1038"/>
    </row>
    <row r="971" spans="1:25" x14ac:dyDescent="0.2">
      <c r="A971" s="1037"/>
      <c r="B971" s="1037"/>
      <c r="C971" s="1037"/>
      <c r="D971" s="1037"/>
      <c r="E971" s="1037"/>
      <c r="R971" s="1038"/>
      <c r="S971" s="1038"/>
      <c r="T971" s="1038"/>
      <c r="U971" s="1038"/>
      <c r="V971" s="1038"/>
      <c r="W971" s="1038"/>
      <c r="X971" s="1038"/>
      <c r="Y971" s="1038"/>
    </row>
    <row r="972" spans="1:25" x14ac:dyDescent="0.2">
      <c r="A972" s="1037"/>
      <c r="B972" s="1037"/>
      <c r="C972" s="1037"/>
      <c r="D972" s="1037"/>
      <c r="E972" s="1037"/>
      <c r="R972" s="1038"/>
      <c r="S972" s="1038"/>
      <c r="T972" s="1038"/>
      <c r="U972" s="1038"/>
      <c r="V972" s="1038"/>
      <c r="W972" s="1038"/>
      <c r="X972" s="1038"/>
      <c r="Y972" s="1038"/>
    </row>
    <row r="973" spans="1:25" x14ac:dyDescent="0.2">
      <c r="A973" s="1037"/>
      <c r="B973" s="1037"/>
      <c r="C973" s="1037"/>
      <c r="D973" s="1037"/>
      <c r="E973" s="1037"/>
      <c r="R973" s="1038"/>
      <c r="S973" s="1038"/>
      <c r="T973" s="1038"/>
      <c r="U973" s="1038"/>
      <c r="V973" s="1038"/>
      <c r="W973" s="1038"/>
      <c r="X973" s="1038"/>
      <c r="Y973" s="1038"/>
    </row>
    <row r="974" spans="1:25" x14ac:dyDescent="0.2">
      <c r="A974" s="1037"/>
      <c r="B974" s="1037"/>
      <c r="C974" s="1037"/>
      <c r="D974" s="1037"/>
      <c r="E974" s="1037"/>
      <c r="R974" s="1038"/>
      <c r="S974" s="1038"/>
      <c r="T974" s="1038"/>
      <c r="U974" s="1038"/>
      <c r="V974" s="1038"/>
      <c r="W974" s="1038"/>
      <c r="X974" s="1038"/>
      <c r="Y974" s="1038"/>
    </row>
    <row r="975" spans="1:25" x14ac:dyDescent="0.2">
      <c r="A975" s="1037"/>
      <c r="B975" s="1037"/>
      <c r="C975" s="1037"/>
      <c r="D975" s="1037"/>
      <c r="E975" s="1037"/>
      <c r="R975" s="1038"/>
      <c r="S975" s="1038"/>
      <c r="T975" s="1038"/>
      <c r="U975" s="1038"/>
      <c r="V975" s="1038"/>
      <c r="W975" s="1038"/>
      <c r="X975" s="1038"/>
      <c r="Y975" s="1038"/>
    </row>
    <row r="976" spans="1:25" x14ac:dyDescent="0.2">
      <c r="A976" s="1037"/>
      <c r="B976" s="1037"/>
      <c r="C976" s="1037"/>
      <c r="D976" s="1037"/>
      <c r="E976" s="1037"/>
      <c r="R976" s="1038"/>
      <c r="S976" s="1038"/>
      <c r="T976" s="1038"/>
      <c r="U976" s="1038"/>
      <c r="V976" s="1038"/>
      <c r="W976" s="1038"/>
      <c r="X976" s="1038"/>
      <c r="Y976" s="1038"/>
    </row>
    <row r="977" spans="1:25" x14ac:dyDescent="0.2">
      <c r="A977" s="1037"/>
      <c r="B977" s="1037"/>
      <c r="C977" s="1037"/>
      <c r="D977" s="1037"/>
      <c r="E977" s="1037"/>
      <c r="R977" s="1038"/>
      <c r="S977" s="1038"/>
      <c r="T977" s="1038"/>
      <c r="U977" s="1038"/>
      <c r="V977" s="1038"/>
      <c r="W977" s="1038"/>
      <c r="X977" s="1038"/>
      <c r="Y977" s="1038"/>
    </row>
    <row r="978" spans="1:25" x14ac:dyDescent="0.2">
      <c r="A978" s="1037"/>
      <c r="B978" s="1037"/>
      <c r="C978" s="1037"/>
      <c r="D978" s="1037"/>
      <c r="E978" s="1037"/>
      <c r="R978" s="1038"/>
      <c r="S978" s="1038"/>
      <c r="T978" s="1038"/>
      <c r="U978" s="1038"/>
      <c r="V978" s="1038"/>
      <c r="W978" s="1038"/>
      <c r="X978" s="1038"/>
      <c r="Y978" s="1038"/>
    </row>
    <row r="979" spans="1:25" x14ac:dyDescent="0.2">
      <c r="A979" s="1037"/>
      <c r="B979" s="1037"/>
      <c r="C979" s="1037"/>
      <c r="D979" s="1037"/>
      <c r="E979" s="1037"/>
      <c r="R979" s="1038"/>
      <c r="S979" s="1038"/>
      <c r="T979" s="1038"/>
      <c r="U979" s="1038"/>
      <c r="V979" s="1038"/>
      <c r="W979" s="1038"/>
      <c r="X979" s="1038"/>
      <c r="Y979" s="1038"/>
    </row>
    <row r="980" spans="1:25" x14ac:dyDescent="0.2">
      <c r="A980" s="1037"/>
      <c r="B980" s="1037"/>
      <c r="C980" s="1037"/>
      <c r="D980" s="1037"/>
      <c r="E980" s="1037"/>
      <c r="R980" s="1038"/>
      <c r="S980" s="1038"/>
      <c r="T980" s="1038"/>
      <c r="U980" s="1038"/>
      <c r="V980" s="1038"/>
      <c r="W980" s="1038"/>
      <c r="X980" s="1038"/>
      <c r="Y980" s="1038"/>
    </row>
    <row r="981" spans="1:25" x14ac:dyDescent="0.2">
      <c r="A981" s="1037"/>
      <c r="B981" s="1037"/>
      <c r="C981" s="1037"/>
      <c r="D981" s="1037"/>
      <c r="E981" s="1037"/>
      <c r="R981" s="1038"/>
      <c r="S981" s="1038"/>
      <c r="T981" s="1038"/>
      <c r="U981" s="1038"/>
      <c r="V981" s="1038"/>
      <c r="W981" s="1038"/>
      <c r="X981" s="1038"/>
      <c r="Y981" s="1038"/>
    </row>
    <row r="982" spans="1:25" x14ac:dyDescent="0.2">
      <c r="A982" s="1037"/>
      <c r="B982" s="1037"/>
      <c r="C982" s="1037"/>
      <c r="D982" s="1037"/>
      <c r="E982" s="1037"/>
      <c r="R982" s="1038"/>
      <c r="S982" s="1038"/>
      <c r="T982" s="1038"/>
      <c r="U982" s="1038"/>
      <c r="V982" s="1038"/>
      <c r="W982" s="1038"/>
      <c r="X982" s="1038"/>
      <c r="Y982" s="1038"/>
    </row>
    <row r="983" spans="1:25" x14ac:dyDescent="0.2">
      <c r="A983" s="1037"/>
      <c r="B983" s="1037"/>
      <c r="C983" s="1037"/>
      <c r="D983" s="1037"/>
      <c r="E983" s="1037"/>
      <c r="R983" s="1038"/>
      <c r="S983" s="1038"/>
      <c r="T983" s="1038"/>
      <c r="U983" s="1038"/>
      <c r="V983" s="1038"/>
      <c r="W983" s="1038"/>
      <c r="X983" s="1038"/>
      <c r="Y983" s="1038"/>
    </row>
    <row r="984" spans="1:25" x14ac:dyDescent="0.2">
      <c r="A984" s="1037"/>
      <c r="B984" s="1037"/>
      <c r="C984" s="1037"/>
      <c r="D984" s="1037"/>
      <c r="E984" s="1037"/>
      <c r="R984" s="1038"/>
      <c r="S984" s="1038"/>
      <c r="T984" s="1038"/>
      <c r="U984" s="1038"/>
      <c r="V984" s="1038"/>
      <c r="W984" s="1038"/>
      <c r="X984" s="1038"/>
      <c r="Y984" s="1038"/>
    </row>
    <row r="985" spans="1:25" x14ac:dyDescent="0.2">
      <c r="A985" s="1037"/>
      <c r="B985" s="1037"/>
      <c r="C985" s="1037"/>
      <c r="D985" s="1037"/>
      <c r="E985" s="1037"/>
      <c r="R985" s="1038"/>
      <c r="S985" s="1038"/>
      <c r="T985" s="1038"/>
      <c r="U985" s="1038"/>
      <c r="V985" s="1038"/>
      <c r="W985" s="1038"/>
      <c r="X985" s="1038"/>
      <c r="Y985" s="1038"/>
    </row>
    <row r="986" spans="1:25" x14ac:dyDescent="0.2">
      <c r="A986" s="1037"/>
      <c r="B986" s="1037"/>
      <c r="C986" s="1037"/>
      <c r="D986" s="1037"/>
      <c r="E986" s="1037"/>
      <c r="R986" s="1038"/>
      <c r="S986" s="1038"/>
      <c r="T986" s="1038"/>
      <c r="U986" s="1038"/>
      <c r="V986" s="1038"/>
      <c r="W986" s="1038"/>
      <c r="X986" s="1038"/>
      <c r="Y986" s="1038"/>
    </row>
    <row r="987" spans="1:25" x14ac:dyDescent="0.2">
      <c r="A987" s="1037"/>
      <c r="B987" s="1037"/>
      <c r="C987" s="1037"/>
      <c r="D987" s="1037"/>
      <c r="E987" s="1037"/>
      <c r="R987" s="1038"/>
      <c r="S987" s="1038"/>
      <c r="T987" s="1038"/>
      <c r="U987" s="1038"/>
      <c r="V987" s="1038"/>
      <c r="W987" s="1038"/>
      <c r="X987" s="1038"/>
      <c r="Y987" s="1038"/>
    </row>
    <row r="988" spans="1:25" x14ac:dyDescent="0.2">
      <c r="A988" s="1037"/>
      <c r="B988" s="1037"/>
      <c r="C988" s="1037"/>
      <c r="D988" s="1037"/>
      <c r="E988" s="1037"/>
      <c r="R988" s="1038"/>
      <c r="S988" s="1038"/>
      <c r="T988" s="1038"/>
      <c r="U988" s="1038"/>
      <c r="V988" s="1038"/>
      <c r="W988" s="1038"/>
      <c r="X988" s="1038"/>
      <c r="Y988" s="1038"/>
    </row>
    <row r="989" spans="1:25" x14ac:dyDescent="0.2">
      <c r="A989" s="1037"/>
      <c r="B989" s="1037"/>
      <c r="C989" s="1037"/>
      <c r="D989" s="1037"/>
      <c r="E989" s="1037"/>
      <c r="R989" s="1038"/>
      <c r="S989" s="1038"/>
      <c r="T989" s="1038"/>
      <c r="U989" s="1038"/>
      <c r="V989" s="1038"/>
      <c r="W989" s="1038"/>
      <c r="X989" s="1038"/>
      <c r="Y989" s="1038"/>
    </row>
    <row r="990" spans="1:25" x14ac:dyDescent="0.2">
      <c r="A990" s="1037"/>
      <c r="B990" s="1037"/>
      <c r="C990" s="1037"/>
      <c r="D990" s="1037"/>
      <c r="E990" s="1037"/>
      <c r="R990" s="1038"/>
      <c r="S990" s="1038"/>
      <c r="T990" s="1038"/>
      <c r="U990" s="1038"/>
      <c r="V990" s="1038"/>
      <c r="W990" s="1038"/>
      <c r="X990" s="1038"/>
      <c r="Y990" s="1038"/>
    </row>
    <row r="991" spans="1:25" x14ac:dyDescent="0.2">
      <c r="A991" s="1037"/>
      <c r="B991" s="1037"/>
      <c r="C991" s="1037"/>
      <c r="D991" s="1037"/>
      <c r="E991" s="1037"/>
      <c r="R991" s="1038"/>
      <c r="S991" s="1038"/>
      <c r="T991" s="1038"/>
      <c r="U991" s="1038"/>
      <c r="V991" s="1038"/>
      <c r="W991" s="1038"/>
      <c r="X991" s="1038"/>
      <c r="Y991" s="1038"/>
    </row>
    <row r="992" spans="1:25" x14ac:dyDescent="0.2">
      <c r="A992" s="1037"/>
      <c r="B992" s="1037"/>
      <c r="C992" s="1037"/>
      <c r="D992" s="1037"/>
      <c r="E992" s="1037"/>
      <c r="R992" s="1038"/>
      <c r="S992" s="1038"/>
      <c r="T992" s="1038"/>
      <c r="U992" s="1038"/>
      <c r="V992" s="1038"/>
      <c r="W992" s="1038"/>
      <c r="X992" s="1038"/>
      <c r="Y992" s="1038"/>
    </row>
    <row r="993" spans="1:25" x14ac:dyDescent="0.2">
      <c r="A993" s="1037"/>
      <c r="B993" s="1037"/>
      <c r="C993" s="1037"/>
      <c r="D993" s="1037"/>
      <c r="E993" s="1037"/>
      <c r="R993" s="1038"/>
      <c r="S993" s="1038"/>
      <c r="T993" s="1038"/>
      <c r="U993" s="1038"/>
      <c r="V993" s="1038"/>
      <c r="W993" s="1038"/>
      <c r="X993" s="1038"/>
      <c r="Y993" s="1038"/>
    </row>
    <row r="994" spans="1:25" x14ac:dyDescent="0.2">
      <c r="A994" s="1037"/>
      <c r="B994" s="1037"/>
      <c r="C994" s="1037"/>
      <c r="D994" s="1037"/>
      <c r="E994" s="1037"/>
      <c r="R994" s="1038"/>
      <c r="S994" s="1038"/>
      <c r="T994" s="1038"/>
      <c r="U994" s="1038"/>
      <c r="V994" s="1038"/>
      <c r="W994" s="1038"/>
      <c r="X994" s="1038"/>
      <c r="Y994" s="1038"/>
    </row>
    <row r="995" spans="1:25" x14ac:dyDescent="0.2">
      <c r="A995" s="1037"/>
      <c r="B995" s="1037"/>
      <c r="C995" s="1037"/>
      <c r="D995" s="1037"/>
      <c r="E995" s="1037"/>
      <c r="R995" s="1038"/>
      <c r="S995" s="1038"/>
      <c r="T995" s="1038"/>
      <c r="U995" s="1038"/>
      <c r="V995" s="1038"/>
      <c r="W995" s="1038"/>
      <c r="X995" s="1038"/>
      <c r="Y995" s="1038"/>
    </row>
    <row r="996" spans="1:25" x14ac:dyDescent="0.2">
      <c r="A996" s="1037"/>
      <c r="B996" s="1037"/>
      <c r="C996" s="1037"/>
      <c r="D996" s="1037"/>
      <c r="E996" s="1037"/>
      <c r="R996" s="1038"/>
      <c r="S996" s="1038"/>
      <c r="T996" s="1038"/>
      <c r="U996" s="1038"/>
      <c r="V996" s="1038"/>
      <c r="W996" s="1038"/>
      <c r="X996" s="1038"/>
      <c r="Y996" s="1038"/>
    </row>
    <row r="997" spans="1:25" x14ac:dyDescent="0.2">
      <c r="A997" s="1037"/>
      <c r="B997" s="1037"/>
      <c r="C997" s="1037"/>
      <c r="D997" s="1037"/>
      <c r="E997" s="1037"/>
      <c r="R997" s="1038"/>
      <c r="S997" s="1038"/>
      <c r="T997" s="1038"/>
      <c r="U997" s="1038"/>
      <c r="V997" s="1038"/>
      <c r="W997" s="1038"/>
      <c r="X997" s="1038"/>
      <c r="Y997" s="1038"/>
    </row>
    <row r="998" spans="1:25" x14ac:dyDescent="0.2">
      <c r="A998" s="1037"/>
      <c r="B998" s="1037"/>
      <c r="C998" s="1037"/>
      <c r="D998" s="1037"/>
      <c r="E998" s="1037"/>
      <c r="R998" s="1038"/>
      <c r="S998" s="1038"/>
      <c r="T998" s="1038"/>
      <c r="U998" s="1038"/>
      <c r="V998" s="1038"/>
      <c r="W998" s="1038"/>
      <c r="X998" s="1038"/>
      <c r="Y998" s="1038"/>
    </row>
    <row r="999" spans="1:25" x14ac:dyDescent="0.2">
      <c r="A999" s="1037"/>
      <c r="B999" s="1037"/>
      <c r="C999" s="1037"/>
      <c r="D999" s="1037"/>
      <c r="E999" s="1037"/>
      <c r="R999" s="1038"/>
      <c r="S999" s="1038"/>
      <c r="T999" s="1038"/>
      <c r="U999" s="1038"/>
      <c r="V999" s="1038"/>
      <c r="W999" s="1038"/>
      <c r="X999" s="1038"/>
      <c r="Y999" s="1038"/>
    </row>
    <row r="1000" spans="1:25" x14ac:dyDescent="0.2">
      <c r="A1000" s="1037"/>
      <c r="B1000" s="1037"/>
      <c r="C1000" s="1037"/>
      <c r="D1000" s="1037"/>
      <c r="E1000" s="1037"/>
      <c r="R1000" s="1038"/>
      <c r="S1000" s="1038"/>
      <c r="T1000" s="1038"/>
      <c r="U1000" s="1038"/>
      <c r="V1000" s="1038"/>
      <c r="W1000" s="1038"/>
      <c r="X1000" s="1038"/>
      <c r="Y1000" s="1038"/>
    </row>
    <row r="1001" spans="1:25" x14ac:dyDescent="0.2">
      <c r="A1001" s="1037"/>
      <c r="B1001" s="1037"/>
      <c r="C1001" s="1037"/>
      <c r="D1001" s="1037"/>
      <c r="E1001" s="1037"/>
      <c r="R1001" s="1038"/>
      <c r="S1001" s="1038"/>
      <c r="T1001" s="1038"/>
      <c r="U1001" s="1038"/>
      <c r="V1001" s="1038"/>
      <c r="W1001" s="1038"/>
      <c r="X1001" s="1038"/>
      <c r="Y1001" s="1038"/>
    </row>
    <row r="1002" spans="1:25" x14ac:dyDescent="0.2">
      <c r="A1002" s="1037"/>
      <c r="B1002" s="1037"/>
      <c r="C1002" s="1037"/>
      <c r="D1002" s="1037"/>
      <c r="E1002" s="1037"/>
      <c r="R1002" s="1038"/>
      <c r="S1002" s="1038"/>
      <c r="T1002" s="1038"/>
      <c r="U1002" s="1038"/>
      <c r="V1002" s="1038"/>
      <c r="W1002" s="1038"/>
      <c r="X1002" s="1038"/>
      <c r="Y1002" s="1038"/>
    </row>
    <row r="1003" spans="1:25" x14ac:dyDescent="0.2">
      <c r="A1003" s="1037"/>
      <c r="B1003" s="1037"/>
      <c r="C1003" s="1037"/>
      <c r="D1003" s="1037"/>
      <c r="E1003" s="1037"/>
      <c r="R1003" s="1038"/>
      <c r="S1003" s="1038"/>
      <c r="T1003" s="1038"/>
      <c r="U1003" s="1038"/>
      <c r="V1003" s="1038"/>
      <c r="W1003" s="1038"/>
      <c r="X1003" s="1038"/>
      <c r="Y1003" s="1038"/>
    </row>
    <row r="1004" spans="1:25" x14ac:dyDescent="0.2">
      <c r="A1004" s="1037"/>
      <c r="B1004" s="1037"/>
      <c r="C1004" s="1037"/>
      <c r="D1004" s="1037"/>
      <c r="E1004" s="1037"/>
      <c r="R1004" s="1038"/>
      <c r="S1004" s="1038"/>
      <c r="T1004" s="1038"/>
      <c r="U1004" s="1038"/>
      <c r="V1004" s="1038"/>
      <c r="W1004" s="1038"/>
      <c r="X1004" s="1038"/>
      <c r="Y1004" s="1038"/>
    </row>
    <row r="1005" spans="1:25" x14ac:dyDescent="0.2">
      <c r="A1005" s="1037"/>
      <c r="B1005" s="1037"/>
      <c r="C1005" s="1037"/>
      <c r="D1005" s="1037"/>
      <c r="E1005" s="1037"/>
      <c r="R1005" s="1038"/>
      <c r="S1005" s="1038"/>
      <c r="T1005" s="1038"/>
      <c r="U1005" s="1038"/>
      <c r="V1005" s="1038"/>
      <c r="W1005" s="1038"/>
      <c r="X1005" s="1038"/>
      <c r="Y1005" s="1038"/>
    </row>
    <row r="1006" spans="1:25" x14ac:dyDescent="0.2">
      <c r="A1006" s="1037"/>
      <c r="B1006" s="1037"/>
      <c r="C1006" s="1037"/>
      <c r="D1006" s="1037"/>
      <c r="E1006" s="1037"/>
      <c r="R1006" s="1038"/>
      <c r="S1006" s="1038"/>
      <c r="T1006" s="1038"/>
      <c r="U1006" s="1038"/>
      <c r="V1006" s="1038"/>
      <c r="W1006" s="1038"/>
      <c r="X1006" s="1038"/>
      <c r="Y1006" s="1038"/>
    </row>
    <row r="1007" spans="1:25" x14ac:dyDescent="0.2">
      <c r="A1007" s="1037"/>
      <c r="B1007" s="1037"/>
      <c r="C1007" s="1037"/>
      <c r="D1007" s="1037"/>
      <c r="E1007" s="1037"/>
      <c r="R1007" s="1038"/>
      <c r="S1007" s="1038"/>
      <c r="T1007" s="1038"/>
      <c r="U1007" s="1038"/>
      <c r="V1007" s="1038"/>
      <c r="W1007" s="1038"/>
      <c r="X1007" s="1038"/>
      <c r="Y1007" s="1038"/>
    </row>
    <row r="1008" spans="1:25" x14ac:dyDescent="0.2">
      <c r="A1008" s="1037"/>
      <c r="B1008" s="1037"/>
      <c r="C1008" s="1037"/>
      <c r="D1008" s="1037"/>
      <c r="E1008" s="1037"/>
      <c r="R1008" s="1038"/>
      <c r="S1008" s="1038"/>
      <c r="T1008" s="1038"/>
      <c r="U1008" s="1038"/>
      <c r="V1008" s="1038"/>
      <c r="W1008" s="1038"/>
      <c r="X1008" s="1038"/>
      <c r="Y1008" s="1038"/>
    </row>
    <row r="1009" spans="1:25" x14ac:dyDescent="0.2">
      <c r="A1009" s="1037"/>
      <c r="B1009" s="1037"/>
      <c r="C1009" s="1037"/>
      <c r="D1009" s="1037"/>
      <c r="E1009" s="1037"/>
      <c r="R1009" s="1038"/>
      <c r="S1009" s="1038"/>
      <c r="T1009" s="1038"/>
      <c r="U1009" s="1038"/>
      <c r="V1009" s="1038"/>
      <c r="W1009" s="1038"/>
      <c r="X1009" s="1038"/>
      <c r="Y1009" s="1038"/>
    </row>
    <row r="1010" spans="1:25" x14ac:dyDescent="0.2">
      <c r="A1010" s="1037"/>
      <c r="B1010" s="1037"/>
      <c r="C1010" s="1037"/>
      <c r="D1010" s="1037"/>
      <c r="E1010" s="1037"/>
      <c r="R1010" s="1038"/>
      <c r="S1010" s="1038"/>
      <c r="T1010" s="1038"/>
      <c r="U1010" s="1038"/>
      <c r="V1010" s="1038"/>
      <c r="W1010" s="1038"/>
      <c r="X1010" s="1038"/>
      <c r="Y1010" s="1038"/>
    </row>
    <row r="1011" spans="1:25" x14ac:dyDescent="0.2">
      <c r="A1011" s="1037"/>
      <c r="B1011" s="1037"/>
      <c r="C1011" s="1037"/>
      <c r="D1011" s="1037"/>
      <c r="E1011" s="1037"/>
      <c r="R1011" s="1038"/>
      <c r="S1011" s="1038"/>
      <c r="T1011" s="1038"/>
      <c r="U1011" s="1038"/>
      <c r="V1011" s="1038"/>
      <c r="W1011" s="1038"/>
      <c r="X1011" s="1038"/>
      <c r="Y1011" s="1038"/>
    </row>
    <row r="1012" spans="1:25" x14ac:dyDescent="0.2">
      <c r="A1012" s="1037"/>
      <c r="B1012" s="1037"/>
      <c r="C1012" s="1037"/>
      <c r="D1012" s="1037"/>
      <c r="E1012" s="1037"/>
      <c r="R1012" s="1038"/>
      <c r="S1012" s="1038"/>
      <c r="T1012" s="1038"/>
      <c r="U1012" s="1038"/>
      <c r="V1012" s="1038"/>
      <c r="W1012" s="1038"/>
      <c r="X1012" s="1038"/>
      <c r="Y1012" s="1038"/>
    </row>
    <row r="1013" spans="1:25" x14ac:dyDescent="0.2">
      <c r="A1013" s="1037"/>
      <c r="B1013" s="1037"/>
      <c r="C1013" s="1037"/>
      <c r="D1013" s="1037"/>
      <c r="E1013" s="1037"/>
      <c r="R1013" s="1038"/>
      <c r="S1013" s="1038"/>
      <c r="T1013" s="1038"/>
      <c r="U1013" s="1038"/>
      <c r="V1013" s="1038"/>
      <c r="W1013" s="1038"/>
      <c r="X1013" s="1038"/>
      <c r="Y1013" s="1038"/>
    </row>
    <row r="1014" spans="1:25" x14ac:dyDescent="0.2">
      <c r="A1014" s="1037"/>
      <c r="B1014" s="1037"/>
      <c r="C1014" s="1037"/>
      <c r="D1014" s="1037"/>
      <c r="E1014" s="1037"/>
      <c r="R1014" s="1038"/>
      <c r="S1014" s="1038"/>
      <c r="T1014" s="1038"/>
      <c r="U1014" s="1038"/>
      <c r="V1014" s="1038"/>
      <c r="W1014" s="1038"/>
      <c r="X1014" s="1038"/>
      <c r="Y1014" s="1038"/>
    </row>
    <row r="1015" spans="1:25" x14ac:dyDescent="0.2">
      <c r="A1015" s="1037"/>
      <c r="B1015" s="1037"/>
      <c r="C1015" s="1037"/>
      <c r="D1015" s="1037"/>
      <c r="E1015" s="1037"/>
      <c r="R1015" s="1038"/>
      <c r="S1015" s="1038"/>
      <c r="T1015" s="1038"/>
      <c r="U1015" s="1038"/>
      <c r="V1015" s="1038"/>
      <c r="W1015" s="1038"/>
      <c r="X1015" s="1038"/>
      <c r="Y1015" s="1038"/>
    </row>
    <row r="1016" spans="1:25" x14ac:dyDescent="0.2">
      <c r="A1016" s="1037"/>
      <c r="B1016" s="1037"/>
      <c r="C1016" s="1037"/>
      <c r="D1016" s="1037"/>
      <c r="E1016" s="1037"/>
      <c r="R1016" s="1038"/>
      <c r="S1016" s="1038"/>
      <c r="T1016" s="1038"/>
      <c r="U1016" s="1038"/>
      <c r="V1016" s="1038"/>
      <c r="W1016" s="1038"/>
      <c r="X1016" s="1038"/>
      <c r="Y1016" s="1038"/>
    </row>
    <row r="1017" spans="1:25" x14ac:dyDescent="0.2">
      <c r="A1017" s="1037"/>
      <c r="B1017" s="1037"/>
      <c r="C1017" s="1037"/>
      <c r="D1017" s="1037"/>
      <c r="E1017" s="1037"/>
      <c r="R1017" s="1038"/>
      <c r="S1017" s="1038"/>
      <c r="T1017" s="1038"/>
      <c r="U1017" s="1038"/>
      <c r="V1017" s="1038"/>
      <c r="W1017" s="1038"/>
      <c r="X1017" s="1038"/>
      <c r="Y1017" s="1038"/>
    </row>
    <row r="1018" spans="1:25" x14ac:dyDescent="0.2">
      <c r="A1018" s="1037"/>
      <c r="B1018" s="1037"/>
      <c r="C1018" s="1037"/>
      <c r="D1018" s="1037"/>
      <c r="E1018" s="1037"/>
      <c r="R1018" s="1038"/>
      <c r="S1018" s="1038"/>
      <c r="T1018" s="1038"/>
      <c r="U1018" s="1038"/>
      <c r="V1018" s="1038"/>
      <c r="W1018" s="1038"/>
      <c r="X1018" s="1038"/>
      <c r="Y1018" s="1038"/>
    </row>
    <row r="1019" spans="1:25" x14ac:dyDescent="0.2">
      <c r="A1019" s="1037"/>
      <c r="B1019" s="1037"/>
      <c r="C1019" s="1037"/>
      <c r="D1019" s="1037"/>
      <c r="E1019" s="1037"/>
      <c r="R1019" s="1038"/>
      <c r="S1019" s="1038"/>
      <c r="T1019" s="1038"/>
      <c r="U1019" s="1038"/>
      <c r="V1019" s="1038"/>
      <c r="W1019" s="1038"/>
      <c r="X1019" s="1038"/>
      <c r="Y1019" s="1038"/>
    </row>
    <row r="1020" spans="1:25" x14ac:dyDescent="0.2">
      <c r="A1020" s="1037"/>
      <c r="B1020" s="1037"/>
      <c r="C1020" s="1037"/>
      <c r="D1020" s="1037"/>
      <c r="E1020" s="1037"/>
      <c r="R1020" s="1038"/>
      <c r="S1020" s="1038"/>
      <c r="T1020" s="1038"/>
      <c r="U1020" s="1038"/>
      <c r="V1020" s="1038"/>
      <c r="W1020" s="1038"/>
      <c r="X1020" s="1038"/>
      <c r="Y1020" s="1038"/>
    </row>
    <row r="1021" spans="1:25" x14ac:dyDescent="0.2">
      <c r="A1021" s="1037"/>
      <c r="B1021" s="1037"/>
      <c r="C1021" s="1037"/>
      <c r="D1021" s="1037"/>
      <c r="E1021" s="1037"/>
      <c r="R1021" s="1038"/>
      <c r="S1021" s="1038"/>
      <c r="T1021" s="1038"/>
      <c r="U1021" s="1038"/>
      <c r="V1021" s="1038"/>
      <c r="W1021" s="1038"/>
      <c r="X1021" s="1038"/>
      <c r="Y1021" s="1038"/>
    </row>
    <row r="1022" spans="1:25" x14ac:dyDescent="0.2">
      <c r="A1022" s="1037"/>
      <c r="B1022" s="1037"/>
      <c r="C1022" s="1037"/>
      <c r="D1022" s="1037"/>
      <c r="E1022" s="1037"/>
      <c r="R1022" s="1038"/>
      <c r="S1022" s="1038"/>
      <c r="T1022" s="1038"/>
      <c r="U1022" s="1038"/>
      <c r="V1022" s="1038"/>
      <c r="W1022" s="1038"/>
      <c r="X1022" s="1038"/>
      <c r="Y1022" s="1038"/>
    </row>
    <row r="1023" spans="1:25" x14ac:dyDescent="0.2">
      <c r="A1023" s="1037"/>
      <c r="B1023" s="1037"/>
      <c r="C1023" s="1037"/>
      <c r="D1023" s="1037"/>
      <c r="E1023" s="1037"/>
      <c r="R1023" s="1038"/>
      <c r="S1023" s="1038"/>
      <c r="T1023" s="1038"/>
      <c r="U1023" s="1038"/>
      <c r="V1023" s="1038"/>
      <c r="W1023" s="1038"/>
      <c r="X1023" s="1038"/>
      <c r="Y1023" s="1038"/>
    </row>
    <row r="1024" spans="1:25" x14ac:dyDescent="0.2">
      <c r="A1024" s="1037"/>
      <c r="B1024" s="1037"/>
      <c r="C1024" s="1037"/>
      <c r="D1024" s="1037"/>
      <c r="E1024" s="1037"/>
      <c r="R1024" s="1038"/>
      <c r="S1024" s="1038"/>
      <c r="T1024" s="1038"/>
      <c r="U1024" s="1038"/>
      <c r="V1024" s="1038"/>
      <c r="W1024" s="1038"/>
      <c r="X1024" s="1038"/>
      <c r="Y1024" s="1038"/>
    </row>
    <row r="1025" spans="1:25" x14ac:dyDescent="0.2">
      <c r="A1025" s="1037"/>
      <c r="B1025" s="1037"/>
      <c r="C1025" s="1037"/>
      <c r="D1025" s="1037"/>
      <c r="E1025" s="1037"/>
      <c r="R1025" s="1038"/>
      <c r="S1025" s="1038"/>
      <c r="T1025" s="1038"/>
      <c r="U1025" s="1038"/>
      <c r="V1025" s="1038"/>
      <c r="W1025" s="1038"/>
      <c r="X1025" s="1038"/>
      <c r="Y1025" s="1038"/>
    </row>
    <row r="1026" spans="1:25" x14ac:dyDescent="0.2">
      <c r="A1026" s="1037"/>
      <c r="B1026" s="1037"/>
      <c r="C1026" s="1037"/>
      <c r="D1026" s="1037"/>
      <c r="E1026" s="1037"/>
      <c r="R1026" s="1038"/>
      <c r="S1026" s="1038"/>
      <c r="T1026" s="1038"/>
      <c r="U1026" s="1038"/>
      <c r="V1026" s="1038"/>
      <c r="W1026" s="1038"/>
      <c r="X1026" s="1038"/>
      <c r="Y1026" s="1038"/>
    </row>
    <row r="1027" spans="1:25" x14ac:dyDescent="0.2">
      <c r="A1027" s="1037"/>
      <c r="B1027" s="1037"/>
      <c r="C1027" s="1037"/>
      <c r="D1027" s="1037"/>
      <c r="E1027" s="1037"/>
      <c r="R1027" s="1038"/>
      <c r="S1027" s="1038"/>
      <c r="T1027" s="1038"/>
      <c r="U1027" s="1038"/>
      <c r="V1027" s="1038"/>
      <c r="W1027" s="1038"/>
      <c r="X1027" s="1038"/>
      <c r="Y1027" s="1038"/>
    </row>
    <row r="1028" spans="1:25" x14ac:dyDescent="0.2">
      <c r="A1028" s="1037"/>
      <c r="B1028" s="1037"/>
      <c r="C1028" s="1037"/>
      <c r="D1028" s="1037"/>
      <c r="E1028" s="1037"/>
      <c r="R1028" s="1038"/>
      <c r="S1028" s="1038"/>
      <c r="T1028" s="1038"/>
      <c r="U1028" s="1038"/>
      <c r="V1028" s="1038"/>
      <c r="W1028" s="1038"/>
      <c r="X1028" s="1038"/>
      <c r="Y1028" s="1038"/>
    </row>
    <row r="1029" spans="1:25" x14ac:dyDescent="0.2">
      <c r="A1029" s="1037"/>
      <c r="B1029" s="1037"/>
      <c r="C1029" s="1037"/>
      <c r="D1029" s="1037"/>
      <c r="E1029" s="1037"/>
      <c r="R1029" s="1038"/>
      <c r="S1029" s="1038"/>
      <c r="T1029" s="1038"/>
      <c r="U1029" s="1038"/>
      <c r="V1029" s="1038"/>
      <c r="W1029" s="1038"/>
      <c r="X1029" s="1038"/>
      <c r="Y1029" s="1038"/>
    </row>
    <row r="1030" spans="1:25" x14ac:dyDescent="0.2">
      <c r="A1030" s="1037"/>
      <c r="B1030" s="1037"/>
      <c r="C1030" s="1037"/>
      <c r="D1030" s="1037"/>
      <c r="E1030" s="1037"/>
      <c r="R1030" s="1038"/>
      <c r="S1030" s="1038"/>
      <c r="T1030" s="1038"/>
      <c r="U1030" s="1038"/>
      <c r="V1030" s="1038"/>
      <c r="W1030" s="1038"/>
      <c r="X1030" s="1038"/>
      <c r="Y1030" s="1038"/>
    </row>
    <row r="1031" spans="1:25" x14ac:dyDescent="0.2">
      <c r="A1031" s="1037"/>
      <c r="B1031" s="1037"/>
      <c r="C1031" s="1037"/>
      <c r="D1031" s="1037"/>
      <c r="E1031" s="1037"/>
      <c r="R1031" s="1038"/>
      <c r="S1031" s="1038"/>
      <c r="T1031" s="1038"/>
      <c r="U1031" s="1038"/>
      <c r="V1031" s="1038"/>
      <c r="W1031" s="1038"/>
      <c r="X1031" s="1038"/>
      <c r="Y1031" s="1038"/>
    </row>
    <row r="1032" spans="1:25" x14ac:dyDescent="0.2">
      <c r="A1032" s="1037"/>
      <c r="B1032" s="1037"/>
      <c r="C1032" s="1037"/>
      <c r="D1032" s="1037"/>
      <c r="E1032" s="1037"/>
      <c r="R1032" s="1038"/>
      <c r="S1032" s="1038"/>
      <c r="T1032" s="1038"/>
      <c r="U1032" s="1038"/>
      <c r="V1032" s="1038"/>
      <c r="W1032" s="1038"/>
      <c r="X1032" s="1038"/>
      <c r="Y1032" s="1038"/>
    </row>
    <row r="1033" spans="1:25" x14ac:dyDescent="0.2">
      <c r="A1033" s="1037"/>
      <c r="B1033" s="1037"/>
      <c r="C1033" s="1037"/>
      <c r="D1033" s="1037"/>
      <c r="E1033" s="1037"/>
      <c r="R1033" s="1038"/>
      <c r="S1033" s="1038"/>
      <c r="T1033" s="1038"/>
      <c r="U1033" s="1038"/>
      <c r="V1033" s="1038"/>
      <c r="W1033" s="1038"/>
      <c r="X1033" s="1038"/>
      <c r="Y1033" s="1038"/>
    </row>
    <row r="1034" spans="1:25" x14ac:dyDescent="0.2">
      <c r="A1034" s="1037"/>
      <c r="B1034" s="1037"/>
      <c r="C1034" s="1037"/>
      <c r="D1034" s="1037"/>
      <c r="E1034" s="1037"/>
      <c r="R1034" s="1038"/>
      <c r="S1034" s="1038"/>
      <c r="T1034" s="1038"/>
      <c r="U1034" s="1038"/>
      <c r="V1034" s="1038"/>
      <c r="W1034" s="1038"/>
      <c r="X1034" s="1038"/>
      <c r="Y1034" s="1038"/>
    </row>
    <row r="1035" spans="1:25" x14ac:dyDescent="0.2">
      <c r="A1035" s="1037"/>
      <c r="B1035" s="1037"/>
      <c r="C1035" s="1037"/>
      <c r="D1035" s="1037"/>
      <c r="E1035" s="1037"/>
      <c r="R1035" s="1038"/>
      <c r="S1035" s="1038"/>
      <c r="T1035" s="1038"/>
      <c r="U1035" s="1038"/>
      <c r="V1035" s="1038"/>
      <c r="W1035" s="1038"/>
      <c r="X1035" s="1038"/>
      <c r="Y1035" s="1038"/>
    </row>
    <row r="1036" spans="1:25" x14ac:dyDescent="0.2">
      <c r="A1036" s="1037"/>
      <c r="B1036" s="1037"/>
      <c r="C1036" s="1037"/>
      <c r="D1036" s="1037"/>
      <c r="E1036" s="1037"/>
      <c r="R1036" s="1038"/>
      <c r="S1036" s="1038"/>
      <c r="T1036" s="1038"/>
      <c r="U1036" s="1038"/>
      <c r="V1036" s="1038"/>
      <c r="W1036" s="1038"/>
      <c r="X1036" s="1038"/>
      <c r="Y1036" s="1038"/>
    </row>
    <row r="1037" spans="1:25" x14ac:dyDescent="0.2">
      <c r="A1037" s="1037"/>
      <c r="B1037" s="1037"/>
      <c r="C1037" s="1037"/>
      <c r="D1037" s="1037"/>
      <c r="E1037" s="1037"/>
      <c r="R1037" s="1038"/>
      <c r="S1037" s="1038"/>
      <c r="T1037" s="1038"/>
      <c r="U1037" s="1038"/>
      <c r="V1037" s="1038"/>
      <c r="W1037" s="1038"/>
      <c r="X1037" s="1038"/>
      <c r="Y1037" s="1038"/>
    </row>
    <row r="1038" spans="1:25" x14ac:dyDescent="0.2">
      <c r="A1038" s="1037"/>
      <c r="B1038" s="1037"/>
      <c r="C1038" s="1037"/>
      <c r="D1038" s="1037"/>
      <c r="E1038" s="1037"/>
      <c r="R1038" s="1038"/>
      <c r="S1038" s="1038"/>
      <c r="T1038" s="1038"/>
      <c r="U1038" s="1038"/>
      <c r="V1038" s="1038"/>
      <c r="W1038" s="1038"/>
      <c r="X1038" s="1038"/>
      <c r="Y1038" s="1038"/>
    </row>
    <row r="1039" spans="1:25" x14ac:dyDescent="0.2">
      <c r="A1039" s="1037"/>
      <c r="B1039" s="1037"/>
      <c r="C1039" s="1037"/>
      <c r="D1039" s="1037"/>
      <c r="E1039" s="1037"/>
      <c r="R1039" s="1038"/>
      <c r="S1039" s="1038"/>
      <c r="T1039" s="1038"/>
      <c r="U1039" s="1038"/>
      <c r="V1039" s="1038"/>
      <c r="W1039" s="1038"/>
      <c r="X1039" s="1038"/>
      <c r="Y1039" s="1038"/>
    </row>
    <row r="1040" spans="1:25" x14ac:dyDescent="0.2">
      <c r="A1040" s="1037"/>
      <c r="B1040" s="1037"/>
      <c r="C1040" s="1037"/>
      <c r="D1040" s="1037"/>
      <c r="E1040" s="1037"/>
      <c r="R1040" s="1038"/>
      <c r="S1040" s="1038"/>
      <c r="T1040" s="1038"/>
      <c r="U1040" s="1038"/>
      <c r="V1040" s="1038"/>
      <c r="W1040" s="1038"/>
      <c r="X1040" s="1038"/>
      <c r="Y1040" s="1038"/>
    </row>
    <row r="1041" spans="1:25" x14ac:dyDescent="0.2">
      <c r="A1041" s="1037"/>
      <c r="B1041" s="1037"/>
      <c r="C1041" s="1037"/>
      <c r="D1041" s="1037"/>
      <c r="E1041" s="1037"/>
      <c r="R1041" s="1038"/>
      <c r="S1041" s="1038"/>
      <c r="T1041" s="1038"/>
      <c r="U1041" s="1038"/>
      <c r="V1041" s="1038"/>
      <c r="W1041" s="1038"/>
      <c r="X1041" s="1038"/>
      <c r="Y1041" s="1038"/>
    </row>
    <row r="1042" spans="1:25" x14ac:dyDescent="0.2">
      <c r="A1042" s="1037"/>
      <c r="B1042" s="1037"/>
      <c r="C1042" s="1037"/>
      <c r="D1042" s="1037"/>
      <c r="E1042" s="1037"/>
      <c r="R1042" s="1038"/>
      <c r="S1042" s="1038"/>
      <c r="T1042" s="1038"/>
      <c r="U1042" s="1038"/>
      <c r="V1042" s="1038"/>
      <c r="W1042" s="1038"/>
      <c r="X1042" s="1038"/>
      <c r="Y1042" s="1038"/>
    </row>
    <row r="1043" spans="1:25" x14ac:dyDescent="0.2">
      <c r="A1043" s="1037"/>
      <c r="B1043" s="1037"/>
      <c r="C1043" s="1037"/>
      <c r="D1043" s="1037"/>
      <c r="E1043" s="1037"/>
      <c r="R1043" s="1038"/>
      <c r="S1043" s="1038"/>
      <c r="T1043" s="1038"/>
      <c r="U1043" s="1038"/>
      <c r="V1043" s="1038"/>
      <c r="W1043" s="1038"/>
      <c r="X1043" s="1038"/>
      <c r="Y1043" s="1038"/>
    </row>
    <row r="1044" spans="1:25" x14ac:dyDescent="0.2">
      <c r="A1044" s="1037"/>
      <c r="B1044" s="1037"/>
      <c r="C1044" s="1037"/>
      <c r="D1044" s="1037"/>
      <c r="E1044" s="1037"/>
      <c r="R1044" s="1038"/>
      <c r="S1044" s="1038"/>
      <c r="T1044" s="1038"/>
      <c r="U1044" s="1038"/>
      <c r="V1044" s="1038"/>
      <c r="W1044" s="1038"/>
      <c r="X1044" s="1038"/>
      <c r="Y1044" s="1038"/>
    </row>
    <row r="1045" spans="1:25" x14ac:dyDescent="0.2">
      <c r="A1045" s="1037"/>
      <c r="B1045" s="1037"/>
      <c r="C1045" s="1037"/>
      <c r="D1045" s="1037"/>
      <c r="E1045" s="1037"/>
      <c r="R1045" s="1038"/>
      <c r="S1045" s="1038"/>
      <c r="T1045" s="1038"/>
      <c r="U1045" s="1038"/>
      <c r="V1045" s="1038"/>
      <c r="W1045" s="1038"/>
      <c r="X1045" s="1038"/>
      <c r="Y1045" s="1038"/>
    </row>
    <row r="1046" spans="1:25" x14ac:dyDescent="0.2">
      <c r="A1046" s="1037"/>
      <c r="B1046" s="1037"/>
      <c r="C1046" s="1037"/>
      <c r="D1046" s="1037"/>
      <c r="E1046" s="1037"/>
      <c r="R1046" s="1038"/>
      <c r="S1046" s="1038"/>
      <c r="T1046" s="1038"/>
      <c r="U1046" s="1038"/>
      <c r="V1046" s="1038"/>
      <c r="W1046" s="1038"/>
      <c r="X1046" s="1038"/>
      <c r="Y1046" s="1038"/>
    </row>
    <row r="1047" spans="1:25" x14ac:dyDescent="0.2">
      <c r="A1047" s="1037"/>
      <c r="B1047" s="1037"/>
      <c r="C1047" s="1037"/>
      <c r="D1047" s="1037"/>
      <c r="E1047" s="1037"/>
      <c r="R1047" s="1038"/>
      <c r="S1047" s="1038"/>
      <c r="T1047" s="1038"/>
      <c r="U1047" s="1038"/>
      <c r="V1047" s="1038"/>
      <c r="W1047" s="1038"/>
      <c r="X1047" s="1038"/>
      <c r="Y1047" s="1038"/>
    </row>
    <row r="1048" spans="1:25" x14ac:dyDescent="0.2">
      <c r="A1048" s="1037"/>
      <c r="B1048" s="1037"/>
      <c r="C1048" s="1037"/>
      <c r="D1048" s="1037"/>
      <c r="E1048" s="1037"/>
      <c r="R1048" s="1038"/>
      <c r="S1048" s="1038"/>
      <c r="T1048" s="1038"/>
      <c r="U1048" s="1038"/>
      <c r="V1048" s="1038"/>
      <c r="W1048" s="1038"/>
      <c r="X1048" s="1038"/>
      <c r="Y1048" s="1038"/>
    </row>
    <row r="1049" spans="1:25" x14ac:dyDescent="0.2">
      <c r="A1049" s="1037"/>
      <c r="B1049" s="1037"/>
      <c r="C1049" s="1037"/>
      <c r="D1049" s="1037"/>
      <c r="E1049" s="1037"/>
      <c r="R1049" s="1038"/>
      <c r="S1049" s="1038"/>
      <c r="T1049" s="1038"/>
      <c r="U1049" s="1038"/>
      <c r="V1049" s="1038"/>
      <c r="W1049" s="1038"/>
      <c r="X1049" s="1038"/>
      <c r="Y1049" s="1038"/>
    </row>
    <row r="1050" spans="1:25" x14ac:dyDescent="0.2">
      <c r="A1050" s="1037"/>
      <c r="B1050" s="1037"/>
      <c r="C1050" s="1037"/>
      <c r="D1050" s="1037"/>
      <c r="E1050" s="1037"/>
      <c r="R1050" s="1038"/>
      <c r="S1050" s="1038"/>
      <c r="T1050" s="1038"/>
      <c r="U1050" s="1038"/>
      <c r="V1050" s="1038"/>
      <c r="W1050" s="1038"/>
      <c r="X1050" s="1038"/>
      <c r="Y1050" s="1038"/>
    </row>
    <row r="1051" spans="1:25" x14ac:dyDescent="0.2">
      <c r="A1051" s="1037"/>
      <c r="B1051" s="1037"/>
      <c r="C1051" s="1037"/>
      <c r="D1051" s="1037"/>
      <c r="E1051" s="1037"/>
      <c r="R1051" s="1038"/>
      <c r="S1051" s="1038"/>
      <c r="T1051" s="1038"/>
      <c r="U1051" s="1038"/>
      <c r="V1051" s="1038"/>
      <c r="W1051" s="1038"/>
      <c r="X1051" s="1038"/>
      <c r="Y1051" s="1038"/>
    </row>
    <row r="1052" spans="1:25" x14ac:dyDescent="0.2">
      <c r="A1052" s="1037"/>
      <c r="B1052" s="1037"/>
      <c r="C1052" s="1037"/>
      <c r="D1052" s="1037"/>
      <c r="E1052" s="1037"/>
      <c r="R1052" s="1038"/>
      <c r="S1052" s="1038"/>
      <c r="T1052" s="1038"/>
      <c r="U1052" s="1038"/>
      <c r="V1052" s="1038"/>
      <c r="W1052" s="1038"/>
      <c r="X1052" s="1038"/>
      <c r="Y1052" s="1038"/>
    </row>
    <row r="1053" spans="1:25" x14ac:dyDescent="0.2">
      <c r="A1053" s="1037"/>
      <c r="B1053" s="1037"/>
      <c r="C1053" s="1037"/>
      <c r="D1053" s="1037"/>
      <c r="E1053" s="1037"/>
      <c r="R1053" s="1038"/>
      <c r="S1053" s="1038"/>
      <c r="T1053" s="1038"/>
      <c r="U1053" s="1038"/>
      <c r="V1053" s="1038"/>
      <c r="W1053" s="1038"/>
      <c r="X1053" s="1038"/>
      <c r="Y1053" s="1038"/>
    </row>
    <row r="1054" spans="1:25" x14ac:dyDescent="0.2">
      <c r="A1054" s="1037"/>
      <c r="B1054" s="1037"/>
      <c r="C1054" s="1037"/>
      <c r="D1054" s="1037"/>
      <c r="E1054" s="1037"/>
      <c r="R1054" s="1038"/>
      <c r="S1054" s="1038"/>
      <c r="T1054" s="1038"/>
      <c r="U1054" s="1038"/>
      <c r="V1054" s="1038"/>
      <c r="W1054" s="1038"/>
      <c r="X1054" s="1038"/>
      <c r="Y1054" s="1038"/>
    </row>
    <row r="1055" spans="1:25" x14ac:dyDescent="0.2">
      <c r="A1055" s="1037"/>
      <c r="B1055" s="1037"/>
      <c r="C1055" s="1037"/>
      <c r="D1055" s="1037"/>
      <c r="E1055" s="1037"/>
      <c r="R1055" s="1038"/>
      <c r="S1055" s="1038"/>
      <c r="T1055" s="1038"/>
      <c r="U1055" s="1038"/>
      <c r="V1055" s="1038"/>
      <c r="W1055" s="1038"/>
      <c r="X1055" s="1038"/>
      <c r="Y1055" s="1038"/>
    </row>
    <row r="1056" spans="1:25" x14ac:dyDescent="0.2">
      <c r="A1056" s="1037"/>
      <c r="B1056" s="1037"/>
      <c r="C1056" s="1037"/>
      <c r="D1056" s="1037"/>
      <c r="E1056" s="1037"/>
      <c r="R1056" s="1038"/>
      <c r="S1056" s="1038"/>
      <c r="T1056" s="1038"/>
      <c r="U1056" s="1038"/>
      <c r="V1056" s="1038"/>
      <c r="W1056" s="1038"/>
      <c r="X1056" s="1038"/>
      <c r="Y1056" s="1038"/>
    </row>
    <row r="1057" spans="1:25" x14ac:dyDescent="0.2">
      <c r="A1057" s="1037"/>
      <c r="B1057" s="1037"/>
      <c r="C1057" s="1037"/>
      <c r="D1057" s="1037"/>
      <c r="E1057" s="1037"/>
      <c r="R1057" s="1038"/>
      <c r="S1057" s="1038"/>
      <c r="T1057" s="1038"/>
      <c r="U1057" s="1038"/>
      <c r="V1057" s="1038"/>
      <c r="W1057" s="1038"/>
      <c r="X1057" s="1038"/>
      <c r="Y1057" s="1038"/>
    </row>
    <row r="1058" spans="1:25" x14ac:dyDescent="0.2">
      <c r="A1058" s="1037"/>
      <c r="B1058" s="1037"/>
      <c r="C1058" s="1037"/>
      <c r="D1058" s="1037"/>
      <c r="E1058" s="1037"/>
      <c r="R1058" s="1038"/>
      <c r="S1058" s="1038"/>
      <c r="T1058" s="1038"/>
      <c r="U1058" s="1038"/>
      <c r="V1058" s="1038"/>
      <c r="W1058" s="1038"/>
      <c r="X1058" s="1038"/>
      <c r="Y1058" s="1038"/>
    </row>
    <row r="1059" spans="1:25" x14ac:dyDescent="0.2">
      <c r="A1059" s="1037"/>
      <c r="B1059" s="1037"/>
      <c r="C1059" s="1037"/>
      <c r="D1059" s="1037"/>
      <c r="E1059" s="1037"/>
      <c r="R1059" s="1038"/>
      <c r="S1059" s="1038"/>
      <c r="T1059" s="1038"/>
      <c r="U1059" s="1038"/>
      <c r="V1059" s="1038"/>
      <c r="W1059" s="1038"/>
      <c r="X1059" s="1038"/>
      <c r="Y1059" s="1038"/>
    </row>
    <row r="1060" spans="1:25" x14ac:dyDescent="0.2">
      <c r="A1060" s="1037"/>
      <c r="B1060" s="1037"/>
      <c r="C1060" s="1037"/>
      <c r="D1060" s="1037"/>
      <c r="E1060" s="1037"/>
      <c r="R1060" s="1038"/>
      <c r="S1060" s="1038"/>
      <c r="T1060" s="1038"/>
      <c r="U1060" s="1038"/>
      <c r="V1060" s="1038"/>
      <c r="W1060" s="1038"/>
      <c r="X1060" s="1038"/>
      <c r="Y1060" s="1038"/>
    </row>
    <row r="1061" spans="1:25" x14ac:dyDescent="0.2">
      <c r="A1061" s="1037"/>
      <c r="B1061" s="1037"/>
      <c r="C1061" s="1037"/>
      <c r="D1061" s="1037"/>
      <c r="E1061" s="1037"/>
      <c r="R1061" s="1038"/>
      <c r="S1061" s="1038"/>
      <c r="T1061" s="1038"/>
      <c r="U1061" s="1038"/>
      <c r="V1061" s="1038"/>
      <c r="W1061" s="1038"/>
      <c r="X1061" s="1038"/>
      <c r="Y1061" s="1038"/>
    </row>
    <row r="1062" spans="1:25" x14ac:dyDescent="0.2">
      <c r="A1062" s="1037"/>
      <c r="B1062" s="1037"/>
      <c r="C1062" s="1037"/>
      <c r="D1062" s="1037"/>
      <c r="E1062" s="1037"/>
      <c r="R1062" s="1038"/>
      <c r="S1062" s="1038"/>
      <c r="T1062" s="1038"/>
      <c r="U1062" s="1038"/>
      <c r="V1062" s="1038"/>
      <c r="W1062" s="1038"/>
      <c r="X1062" s="1038"/>
      <c r="Y1062" s="1038"/>
    </row>
    <row r="1063" spans="1:25" x14ac:dyDescent="0.2">
      <c r="A1063" s="1037"/>
      <c r="B1063" s="1037"/>
      <c r="C1063" s="1037"/>
      <c r="D1063" s="1037"/>
      <c r="E1063" s="1037"/>
      <c r="R1063" s="1038"/>
      <c r="S1063" s="1038"/>
      <c r="T1063" s="1038"/>
      <c r="U1063" s="1038"/>
      <c r="V1063" s="1038"/>
      <c r="W1063" s="1038"/>
      <c r="X1063" s="1038"/>
      <c r="Y1063" s="1038"/>
    </row>
    <row r="1064" spans="1:25" x14ac:dyDescent="0.2">
      <c r="A1064" s="1037"/>
      <c r="B1064" s="1037"/>
      <c r="C1064" s="1037"/>
      <c r="D1064" s="1037"/>
      <c r="E1064" s="1037"/>
      <c r="R1064" s="1038"/>
      <c r="S1064" s="1038"/>
      <c r="T1064" s="1038"/>
      <c r="U1064" s="1038"/>
      <c r="V1064" s="1038"/>
      <c r="W1064" s="1038"/>
      <c r="X1064" s="1038"/>
      <c r="Y1064" s="1038"/>
    </row>
    <row r="1065" spans="1:25" x14ac:dyDescent="0.2">
      <c r="A1065" s="1037"/>
      <c r="B1065" s="1037"/>
      <c r="C1065" s="1037"/>
      <c r="D1065" s="1037"/>
      <c r="E1065" s="1037"/>
      <c r="R1065" s="1038"/>
      <c r="S1065" s="1038"/>
      <c r="T1065" s="1038"/>
      <c r="U1065" s="1038"/>
      <c r="V1065" s="1038"/>
      <c r="W1065" s="1038"/>
      <c r="X1065" s="1038"/>
      <c r="Y1065" s="1038"/>
    </row>
    <row r="1066" spans="1:25" x14ac:dyDescent="0.2">
      <c r="A1066" s="1037"/>
      <c r="B1066" s="1037"/>
      <c r="C1066" s="1037"/>
      <c r="D1066" s="1037"/>
      <c r="E1066" s="1037"/>
      <c r="R1066" s="1038"/>
      <c r="S1066" s="1038"/>
      <c r="T1066" s="1038"/>
      <c r="U1066" s="1038"/>
      <c r="V1066" s="1038"/>
      <c r="W1066" s="1038"/>
      <c r="X1066" s="1038"/>
      <c r="Y1066" s="1038"/>
    </row>
    <row r="1067" spans="1:25" x14ac:dyDescent="0.2">
      <c r="A1067" s="1037"/>
      <c r="B1067" s="1037"/>
      <c r="C1067" s="1037"/>
      <c r="D1067" s="1037"/>
      <c r="E1067" s="1037"/>
      <c r="R1067" s="1038"/>
      <c r="S1067" s="1038"/>
      <c r="T1067" s="1038"/>
      <c r="U1067" s="1038"/>
      <c r="V1067" s="1038"/>
      <c r="W1067" s="1038"/>
      <c r="X1067" s="1038"/>
      <c r="Y1067" s="1038"/>
    </row>
    <row r="1068" spans="1:25" x14ac:dyDescent="0.2">
      <c r="A1068" s="1037"/>
      <c r="B1068" s="1037"/>
      <c r="C1068" s="1037"/>
      <c r="D1068" s="1037"/>
      <c r="E1068" s="1037"/>
      <c r="R1068" s="1038"/>
      <c r="S1068" s="1038"/>
      <c r="T1068" s="1038"/>
      <c r="U1068" s="1038"/>
      <c r="V1068" s="1038"/>
      <c r="W1068" s="1038"/>
      <c r="X1068" s="1038"/>
      <c r="Y1068" s="1038"/>
    </row>
    <row r="1069" spans="1:25" x14ac:dyDescent="0.2">
      <c r="A1069" s="1037"/>
      <c r="B1069" s="1037"/>
      <c r="C1069" s="1037"/>
      <c r="D1069" s="1037"/>
      <c r="E1069" s="1037"/>
      <c r="R1069" s="1038"/>
      <c r="S1069" s="1038"/>
      <c r="T1069" s="1038"/>
      <c r="U1069" s="1038"/>
      <c r="V1069" s="1038"/>
      <c r="W1069" s="1038"/>
      <c r="X1069" s="1038"/>
      <c r="Y1069" s="1038"/>
    </row>
    <row r="1070" spans="1:25" x14ac:dyDescent="0.2">
      <c r="A1070" s="1037"/>
      <c r="B1070" s="1037"/>
      <c r="C1070" s="1037"/>
      <c r="D1070" s="1037"/>
      <c r="E1070" s="1037"/>
      <c r="R1070" s="1038"/>
      <c r="S1070" s="1038"/>
      <c r="T1070" s="1038"/>
      <c r="U1070" s="1038"/>
      <c r="V1070" s="1038"/>
      <c r="W1070" s="1038"/>
      <c r="X1070" s="1038"/>
      <c r="Y1070" s="1038"/>
    </row>
    <row r="1071" spans="1:25" x14ac:dyDescent="0.2">
      <c r="A1071" s="1037"/>
      <c r="B1071" s="1037"/>
      <c r="C1071" s="1037"/>
      <c r="D1071" s="1037"/>
      <c r="E1071" s="1037"/>
      <c r="R1071" s="1038"/>
      <c r="S1071" s="1038"/>
      <c r="T1071" s="1038"/>
      <c r="U1071" s="1038"/>
      <c r="V1071" s="1038"/>
      <c r="W1071" s="1038"/>
      <c r="X1071" s="1038"/>
      <c r="Y1071" s="1038"/>
    </row>
    <row r="1072" spans="1:25" x14ac:dyDescent="0.2">
      <c r="A1072" s="1037"/>
      <c r="B1072" s="1037"/>
      <c r="C1072" s="1037"/>
      <c r="D1072" s="1037"/>
      <c r="E1072" s="1037"/>
      <c r="R1072" s="1038"/>
      <c r="S1072" s="1038"/>
      <c r="T1072" s="1038"/>
      <c r="U1072" s="1038"/>
      <c r="V1072" s="1038"/>
      <c r="W1072" s="1038"/>
      <c r="X1072" s="1038"/>
      <c r="Y1072" s="1038"/>
    </row>
    <row r="1073" spans="1:25" x14ac:dyDescent="0.2">
      <c r="A1073" s="1037"/>
      <c r="B1073" s="1037"/>
      <c r="C1073" s="1037"/>
      <c r="D1073" s="1037"/>
      <c r="E1073" s="1037"/>
      <c r="R1073" s="1038"/>
      <c r="S1073" s="1038"/>
      <c r="T1073" s="1038"/>
      <c r="U1073" s="1038"/>
      <c r="V1073" s="1038"/>
      <c r="W1073" s="1038"/>
      <c r="X1073" s="1038"/>
      <c r="Y1073" s="1038"/>
    </row>
    <row r="1074" spans="1:25" x14ac:dyDescent="0.2">
      <c r="A1074" s="1037"/>
      <c r="B1074" s="1037"/>
      <c r="C1074" s="1037"/>
      <c r="D1074" s="1037"/>
      <c r="E1074" s="1037"/>
      <c r="R1074" s="1038"/>
      <c r="S1074" s="1038"/>
      <c r="T1074" s="1038"/>
      <c r="U1074" s="1038"/>
      <c r="V1074" s="1038"/>
      <c r="W1074" s="1038"/>
      <c r="X1074" s="1038"/>
      <c r="Y1074" s="1038"/>
    </row>
    <row r="1075" spans="1:25" x14ac:dyDescent="0.2">
      <c r="A1075" s="1037"/>
      <c r="B1075" s="1037"/>
      <c r="C1075" s="1037"/>
      <c r="D1075" s="1037"/>
      <c r="E1075" s="1037"/>
      <c r="R1075" s="1038"/>
      <c r="S1075" s="1038"/>
      <c r="T1075" s="1038"/>
      <c r="U1075" s="1038"/>
      <c r="V1075" s="1038"/>
      <c r="W1075" s="1038"/>
      <c r="X1075" s="1038"/>
      <c r="Y1075" s="1038"/>
    </row>
    <row r="1076" spans="1:25" x14ac:dyDescent="0.2">
      <c r="A1076" s="1037"/>
      <c r="B1076" s="1037"/>
      <c r="C1076" s="1037"/>
      <c r="D1076" s="1037"/>
      <c r="E1076" s="1037"/>
      <c r="R1076" s="1038"/>
      <c r="S1076" s="1038"/>
      <c r="T1076" s="1038"/>
      <c r="U1076" s="1038"/>
      <c r="V1076" s="1038"/>
      <c r="W1076" s="1038"/>
      <c r="X1076" s="1038"/>
      <c r="Y1076" s="1038"/>
    </row>
    <row r="1077" spans="1:25" x14ac:dyDescent="0.2">
      <c r="A1077" s="1037"/>
      <c r="B1077" s="1037"/>
      <c r="C1077" s="1037"/>
      <c r="D1077" s="1037"/>
      <c r="E1077" s="1037"/>
      <c r="R1077" s="1038"/>
      <c r="S1077" s="1038"/>
      <c r="T1077" s="1038"/>
      <c r="U1077" s="1038"/>
      <c r="V1077" s="1038"/>
      <c r="W1077" s="1038"/>
      <c r="X1077" s="1038"/>
      <c r="Y1077" s="1038"/>
    </row>
    <row r="1078" spans="1:25" x14ac:dyDescent="0.2">
      <c r="A1078" s="1037"/>
      <c r="B1078" s="1037"/>
      <c r="C1078" s="1037"/>
      <c r="D1078" s="1037"/>
      <c r="E1078" s="1037"/>
      <c r="R1078" s="1038"/>
      <c r="S1078" s="1038"/>
      <c r="T1078" s="1038"/>
      <c r="U1078" s="1038"/>
      <c r="V1078" s="1038"/>
      <c r="W1078" s="1038"/>
      <c r="X1078" s="1038"/>
      <c r="Y1078" s="1038"/>
    </row>
    <row r="1079" spans="1:25" x14ac:dyDescent="0.2">
      <c r="A1079" s="1037"/>
      <c r="B1079" s="1037"/>
      <c r="C1079" s="1037"/>
      <c r="D1079" s="1037"/>
      <c r="E1079" s="1037"/>
      <c r="R1079" s="1038"/>
      <c r="S1079" s="1038"/>
      <c r="T1079" s="1038"/>
      <c r="U1079" s="1038"/>
      <c r="V1079" s="1038"/>
      <c r="W1079" s="1038"/>
      <c r="X1079" s="1038"/>
      <c r="Y1079" s="1038"/>
    </row>
    <row r="1080" spans="1:25" x14ac:dyDescent="0.2">
      <c r="A1080" s="1037"/>
      <c r="B1080" s="1037"/>
      <c r="C1080" s="1037"/>
      <c r="D1080" s="1037"/>
      <c r="E1080" s="1037"/>
      <c r="R1080" s="1038"/>
      <c r="S1080" s="1038"/>
      <c r="T1080" s="1038"/>
      <c r="U1080" s="1038"/>
      <c r="V1080" s="1038"/>
      <c r="W1080" s="1038"/>
      <c r="X1080" s="1038"/>
      <c r="Y1080" s="1038"/>
    </row>
    <row r="1081" spans="1:25" x14ac:dyDescent="0.2">
      <c r="A1081" s="1037"/>
      <c r="B1081" s="1037"/>
      <c r="C1081" s="1037"/>
      <c r="D1081" s="1037"/>
      <c r="E1081" s="1037"/>
      <c r="R1081" s="1038"/>
      <c r="S1081" s="1038"/>
      <c r="T1081" s="1038"/>
      <c r="U1081" s="1038"/>
      <c r="V1081" s="1038"/>
      <c r="W1081" s="1038"/>
      <c r="X1081" s="1038"/>
      <c r="Y1081" s="1038"/>
    </row>
    <row r="1082" spans="1:25" x14ac:dyDescent="0.2">
      <c r="A1082" s="1037"/>
      <c r="B1082" s="1037"/>
      <c r="C1082" s="1037"/>
      <c r="D1082" s="1037"/>
      <c r="E1082" s="1037"/>
      <c r="R1082" s="1038"/>
      <c r="S1082" s="1038"/>
      <c r="T1082" s="1038"/>
      <c r="U1082" s="1038"/>
      <c r="V1082" s="1038"/>
      <c r="W1082" s="1038"/>
      <c r="X1082" s="1038"/>
      <c r="Y1082" s="1038"/>
    </row>
    <row r="1083" spans="1:25" x14ac:dyDescent="0.2">
      <c r="A1083" s="1037"/>
      <c r="B1083" s="1037"/>
      <c r="C1083" s="1037"/>
      <c r="D1083" s="1037"/>
      <c r="E1083" s="1037"/>
      <c r="R1083" s="1038"/>
      <c r="S1083" s="1038"/>
      <c r="T1083" s="1038"/>
      <c r="U1083" s="1038"/>
      <c r="V1083" s="1038"/>
      <c r="W1083" s="1038"/>
      <c r="X1083" s="1038"/>
      <c r="Y1083" s="1038"/>
    </row>
    <row r="1084" spans="1:25" x14ac:dyDescent="0.2">
      <c r="A1084" s="1037"/>
      <c r="B1084" s="1037"/>
      <c r="C1084" s="1037"/>
      <c r="D1084" s="1037"/>
      <c r="E1084" s="1037"/>
      <c r="R1084" s="1038"/>
      <c r="S1084" s="1038"/>
      <c r="T1084" s="1038"/>
      <c r="U1084" s="1038"/>
      <c r="V1084" s="1038"/>
      <c r="W1084" s="1038"/>
      <c r="X1084" s="1038"/>
      <c r="Y1084" s="1038"/>
    </row>
    <row r="1085" spans="1:25" x14ac:dyDescent="0.2">
      <c r="A1085" s="1037"/>
      <c r="B1085" s="1037"/>
      <c r="C1085" s="1037"/>
      <c r="D1085" s="1037"/>
      <c r="E1085" s="1037"/>
      <c r="R1085" s="1038"/>
      <c r="S1085" s="1038"/>
      <c r="T1085" s="1038"/>
      <c r="U1085" s="1038"/>
      <c r="V1085" s="1038"/>
      <c r="W1085" s="1038"/>
      <c r="X1085" s="1038"/>
      <c r="Y1085" s="1038"/>
    </row>
    <row r="1086" spans="1:25" x14ac:dyDescent="0.2">
      <c r="A1086" s="1037"/>
      <c r="B1086" s="1037"/>
      <c r="C1086" s="1037"/>
      <c r="D1086" s="1037"/>
      <c r="E1086" s="1037"/>
      <c r="R1086" s="1038"/>
      <c r="S1086" s="1038"/>
      <c r="T1086" s="1038"/>
      <c r="U1086" s="1038"/>
      <c r="V1086" s="1038"/>
      <c r="W1086" s="1038"/>
      <c r="X1086" s="1038"/>
      <c r="Y1086" s="1038"/>
    </row>
    <row r="1087" spans="1:25" x14ac:dyDescent="0.2">
      <c r="A1087" s="1037"/>
      <c r="B1087" s="1037"/>
      <c r="C1087" s="1037"/>
      <c r="D1087" s="1037"/>
      <c r="E1087" s="1037"/>
      <c r="R1087" s="1038"/>
      <c r="S1087" s="1038"/>
      <c r="T1087" s="1038"/>
      <c r="U1087" s="1038"/>
      <c r="V1087" s="1038"/>
      <c r="W1087" s="1038"/>
      <c r="X1087" s="1038"/>
      <c r="Y1087" s="1038"/>
    </row>
    <row r="1088" spans="1:25" x14ac:dyDescent="0.2">
      <c r="A1088" s="1037"/>
      <c r="B1088" s="1037"/>
      <c r="C1088" s="1037"/>
      <c r="D1088" s="1037"/>
      <c r="E1088" s="1037"/>
      <c r="R1088" s="1038"/>
      <c r="S1088" s="1038"/>
      <c r="T1088" s="1038"/>
      <c r="U1088" s="1038"/>
      <c r="V1088" s="1038"/>
      <c r="W1088" s="1038"/>
      <c r="X1088" s="1038"/>
      <c r="Y1088" s="1038"/>
    </row>
    <row r="1089" spans="1:25" x14ac:dyDescent="0.2">
      <c r="A1089" s="1037"/>
      <c r="B1089" s="1037"/>
      <c r="C1089" s="1037"/>
      <c r="D1089" s="1037"/>
      <c r="E1089" s="1037"/>
      <c r="R1089" s="1038"/>
      <c r="S1089" s="1038"/>
      <c r="T1089" s="1038"/>
      <c r="U1089" s="1038"/>
      <c r="V1089" s="1038"/>
      <c r="W1089" s="1038"/>
      <c r="X1089" s="1038"/>
      <c r="Y1089" s="1038"/>
    </row>
    <row r="1090" spans="1:25" x14ac:dyDescent="0.2">
      <c r="A1090" s="1037"/>
      <c r="B1090" s="1037"/>
      <c r="C1090" s="1037"/>
      <c r="D1090" s="1037"/>
      <c r="E1090" s="1037"/>
      <c r="R1090" s="1038"/>
      <c r="S1090" s="1038"/>
      <c r="T1090" s="1038"/>
      <c r="U1090" s="1038"/>
      <c r="V1090" s="1038"/>
      <c r="W1090" s="1038"/>
      <c r="X1090" s="1038"/>
      <c r="Y1090" s="1038"/>
    </row>
    <row r="1091" spans="1:25" x14ac:dyDescent="0.2">
      <c r="A1091" s="1037"/>
      <c r="B1091" s="1037"/>
      <c r="C1091" s="1037"/>
      <c r="D1091" s="1037"/>
      <c r="E1091" s="1037"/>
      <c r="R1091" s="1038"/>
      <c r="S1091" s="1038"/>
      <c r="T1091" s="1038"/>
      <c r="U1091" s="1038"/>
      <c r="V1091" s="1038"/>
      <c r="W1091" s="1038"/>
      <c r="X1091" s="1038"/>
      <c r="Y1091" s="1038"/>
    </row>
    <row r="1092" spans="1:25" x14ac:dyDescent="0.2">
      <c r="A1092" s="1037"/>
      <c r="B1092" s="1037"/>
      <c r="C1092" s="1037"/>
      <c r="D1092" s="1037"/>
      <c r="E1092" s="1037"/>
      <c r="R1092" s="1038"/>
      <c r="S1092" s="1038"/>
      <c r="T1092" s="1038"/>
      <c r="U1092" s="1038"/>
      <c r="V1092" s="1038"/>
      <c r="W1092" s="1038"/>
      <c r="X1092" s="1038"/>
      <c r="Y1092" s="1038"/>
    </row>
    <row r="1093" spans="1:25" x14ac:dyDescent="0.2">
      <c r="A1093" s="1037"/>
      <c r="B1093" s="1037"/>
      <c r="C1093" s="1037"/>
      <c r="D1093" s="1037"/>
      <c r="E1093" s="1037"/>
      <c r="R1093" s="1038"/>
      <c r="S1093" s="1038"/>
      <c r="T1093" s="1038"/>
      <c r="U1093" s="1038"/>
      <c r="V1093" s="1038"/>
      <c r="W1093" s="1038"/>
      <c r="X1093" s="1038"/>
      <c r="Y1093" s="1038"/>
    </row>
    <row r="1094" spans="1:25" x14ac:dyDescent="0.2">
      <c r="A1094" s="1037"/>
      <c r="B1094" s="1037"/>
      <c r="C1094" s="1037"/>
      <c r="D1094" s="1037"/>
      <c r="E1094" s="1037"/>
      <c r="R1094" s="1038"/>
      <c r="S1094" s="1038"/>
      <c r="T1094" s="1038"/>
      <c r="U1094" s="1038"/>
      <c r="V1094" s="1038"/>
      <c r="W1094" s="1038"/>
      <c r="X1094" s="1038"/>
      <c r="Y1094" s="1038"/>
    </row>
    <row r="1095" spans="1:25" x14ac:dyDescent="0.2">
      <c r="A1095" s="1037"/>
      <c r="B1095" s="1037"/>
      <c r="C1095" s="1037"/>
      <c r="D1095" s="1037"/>
      <c r="E1095" s="1037"/>
      <c r="R1095" s="1038"/>
      <c r="S1095" s="1038"/>
      <c r="T1095" s="1038"/>
      <c r="U1095" s="1038"/>
      <c r="V1095" s="1038"/>
      <c r="W1095" s="1038"/>
      <c r="X1095" s="1038"/>
      <c r="Y1095" s="1038"/>
    </row>
    <row r="1096" spans="1:25" x14ac:dyDescent="0.2">
      <c r="A1096" s="1037"/>
      <c r="B1096" s="1037"/>
      <c r="C1096" s="1037"/>
      <c r="D1096" s="1037"/>
      <c r="E1096" s="1037"/>
      <c r="R1096" s="1038"/>
      <c r="S1096" s="1038"/>
      <c r="T1096" s="1038"/>
      <c r="U1096" s="1038"/>
      <c r="V1096" s="1038"/>
      <c r="W1096" s="1038"/>
      <c r="X1096" s="1038"/>
      <c r="Y1096" s="1038"/>
    </row>
    <row r="1097" spans="1:25" x14ac:dyDescent="0.2">
      <c r="A1097" s="1037"/>
      <c r="B1097" s="1037"/>
      <c r="C1097" s="1037"/>
      <c r="D1097" s="1037"/>
      <c r="E1097" s="1037"/>
      <c r="R1097" s="1038"/>
      <c r="S1097" s="1038"/>
      <c r="T1097" s="1038"/>
      <c r="U1097" s="1038"/>
      <c r="V1097" s="1038"/>
      <c r="W1097" s="1038"/>
      <c r="X1097" s="1038"/>
      <c r="Y1097" s="1038"/>
    </row>
    <row r="1098" spans="1:25" x14ac:dyDescent="0.2">
      <c r="A1098" s="1037"/>
      <c r="B1098" s="1037"/>
      <c r="C1098" s="1037"/>
      <c r="D1098" s="1037"/>
      <c r="E1098" s="1037"/>
      <c r="R1098" s="1038"/>
      <c r="S1098" s="1038"/>
      <c r="T1098" s="1038"/>
      <c r="U1098" s="1038"/>
      <c r="V1098" s="1038"/>
      <c r="W1098" s="1038"/>
      <c r="X1098" s="1038"/>
      <c r="Y1098" s="1038"/>
    </row>
    <row r="1099" spans="1:25" x14ac:dyDescent="0.2">
      <c r="A1099" s="1037"/>
      <c r="B1099" s="1037"/>
      <c r="C1099" s="1037"/>
      <c r="D1099" s="1037"/>
      <c r="E1099" s="1037"/>
      <c r="R1099" s="1038"/>
      <c r="S1099" s="1038"/>
      <c r="T1099" s="1038"/>
      <c r="U1099" s="1038"/>
      <c r="V1099" s="1038"/>
      <c r="W1099" s="1038"/>
      <c r="X1099" s="1038"/>
      <c r="Y1099" s="1038"/>
    </row>
    <row r="1100" spans="1:25" x14ac:dyDescent="0.2">
      <c r="A1100" s="1037"/>
      <c r="B1100" s="1037"/>
      <c r="C1100" s="1037"/>
      <c r="D1100" s="1037"/>
      <c r="E1100" s="1037"/>
      <c r="R1100" s="1038"/>
      <c r="S1100" s="1038"/>
      <c r="T1100" s="1038"/>
      <c r="U1100" s="1038"/>
      <c r="V1100" s="1038"/>
      <c r="W1100" s="1038"/>
      <c r="X1100" s="1038"/>
      <c r="Y1100" s="1038"/>
    </row>
    <row r="1101" spans="1:25" x14ac:dyDescent="0.2">
      <c r="A1101" s="1037"/>
      <c r="B1101" s="1037"/>
      <c r="C1101" s="1037"/>
      <c r="D1101" s="1037"/>
      <c r="E1101" s="1037"/>
      <c r="R1101" s="1038"/>
      <c r="S1101" s="1038"/>
      <c r="T1101" s="1038"/>
      <c r="U1101" s="1038"/>
      <c r="V1101" s="1038"/>
      <c r="W1101" s="1038"/>
      <c r="X1101" s="1038"/>
      <c r="Y1101" s="1038"/>
    </row>
    <row r="1102" spans="1:25" x14ac:dyDescent="0.2">
      <c r="A1102" s="1037"/>
      <c r="B1102" s="1037"/>
      <c r="C1102" s="1037"/>
      <c r="D1102" s="1037"/>
      <c r="E1102" s="1037"/>
      <c r="R1102" s="1038"/>
      <c r="S1102" s="1038"/>
      <c r="T1102" s="1038"/>
      <c r="U1102" s="1038"/>
      <c r="V1102" s="1038"/>
      <c r="W1102" s="1038"/>
      <c r="X1102" s="1038"/>
      <c r="Y1102" s="1038"/>
    </row>
    <row r="1103" spans="1:25" x14ac:dyDescent="0.2">
      <c r="A1103" s="1037"/>
      <c r="B1103" s="1037"/>
      <c r="C1103" s="1037"/>
      <c r="D1103" s="1037"/>
      <c r="E1103" s="1037"/>
      <c r="R1103" s="1038"/>
      <c r="S1103" s="1038"/>
      <c r="T1103" s="1038"/>
      <c r="U1103" s="1038"/>
      <c r="V1103" s="1038"/>
      <c r="W1103" s="1038"/>
      <c r="X1103" s="1038"/>
      <c r="Y1103" s="1038"/>
    </row>
    <row r="1104" spans="1:25" x14ac:dyDescent="0.2">
      <c r="A1104" s="1037"/>
      <c r="B1104" s="1037"/>
      <c r="C1104" s="1037"/>
      <c r="D1104" s="1037"/>
      <c r="E1104" s="1037"/>
      <c r="R1104" s="1038"/>
      <c r="S1104" s="1038"/>
      <c r="T1104" s="1038"/>
      <c r="U1104" s="1038"/>
      <c r="V1104" s="1038"/>
      <c r="W1104" s="1038"/>
      <c r="X1104" s="1038"/>
      <c r="Y1104" s="1038"/>
    </row>
    <row r="1105" spans="1:25" x14ac:dyDescent="0.2">
      <c r="A1105" s="1037"/>
      <c r="B1105" s="1037"/>
      <c r="C1105" s="1037"/>
      <c r="D1105" s="1037"/>
      <c r="E1105" s="1037"/>
      <c r="R1105" s="1038"/>
      <c r="S1105" s="1038"/>
      <c r="T1105" s="1038"/>
      <c r="U1105" s="1038"/>
      <c r="V1105" s="1038"/>
      <c r="W1105" s="1038"/>
      <c r="X1105" s="1038"/>
      <c r="Y1105" s="1038"/>
    </row>
    <row r="1106" spans="1:25" x14ac:dyDescent="0.2">
      <c r="A1106" s="1037"/>
      <c r="B1106" s="1037"/>
      <c r="C1106" s="1037"/>
      <c r="D1106" s="1037"/>
      <c r="E1106" s="1037"/>
      <c r="R1106" s="1038"/>
      <c r="S1106" s="1038"/>
      <c r="T1106" s="1038"/>
      <c r="U1106" s="1038"/>
      <c r="V1106" s="1038"/>
      <c r="W1106" s="1038"/>
      <c r="X1106" s="1038"/>
      <c r="Y1106" s="1038"/>
    </row>
    <row r="1107" spans="1:25" x14ac:dyDescent="0.2">
      <c r="A1107" s="1037"/>
      <c r="B1107" s="1037"/>
      <c r="C1107" s="1037"/>
      <c r="D1107" s="1037"/>
      <c r="E1107" s="1037"/>
      <c r="R1107" s="1038"/>
      <c r="S1107" s="1038"/>
      <c r="T1107" s="1038"/>
      <c r="U1107" s="1038"/>
      <c r="V1107" s="1038"/>
      <c r="W1107" s="1038"/>
      <c r="X1107" s="1038"/>
      <c r="Y1107" s="1038"/>
    </row>
    <row r="1108" spans="1:25" x14ac:dyDescent="0.2">
      <c r="A1108" s="1037"/>
      <c r="B1108" s="1037"/>
      <c r="C1108" s="1037"/>
      <c r="D1108" s="1037"/>
      <c r="E1108" s="1037"/>
      <c r="R1108" s="1038"/>
      <c r="S1108" s="1038"/>
      <c r="T1108" s="1038"/>
      <c r="U1108" s="1038"/>
      <c r="V1108" s="1038"/>
      <c r="W1108" s="1038"/>
      <c r="X1108" s="1038"/>
      <c r="Y1108" s="1038"/>
    </row>
    <row r="1109" spans="1:25" x14ac:dyDescent="0.2">
      <c r="A1109" s="1037"/>
      <c r="B1109" s="1037"/>
      <c r="C1109" s="1037"/>
      <c r="D1109" s="1037"/>
      <c r="E1109" s="1037"/>
      <c r="R1109" s="1038"/>
      <c r="S1109" s="1038"/>
      <c r="T1109" s="1038"/>
      <c r="U1109" s="1038"/>
      <c r="V1109" s="1038"/>
      <c r="W1109" s="1038"/>
      <c r="X1109" s="1038"/>
      <c r="Y1109" s="1038"/>
    </row>
    <row r="1110" spans="1:25" x14ac:dyDescent="0.2">
      <c r="A1110" s="1037"/>
      <c r="B1110" s="1037"/>
      <c r="C1110" s="1037"/>
      <c r="D1110" s="1037"/>
      <c r="E1110" s="1037"/>
      <c r="R1110" s="1038"/>
      <c r="S1110" s="1038"/>
      <c r="T1110" s="1038"/>
      <c r="U1110" s="1038"/>
      <c r="V1110" s="1038"/>
      <c r="W1110" s="1038"/>
      <c r="X1110" s="1038"/>
      <c r="Y1110" s="1038"/>
    </row>
    <row r="1111" spans="1:25" x14ac:dyDescent="0.2">
      <c r="A1111" s="1037"/>
      <c r="B1111" s="1037"/>
      <c r="C1111" s="1037"/>
      <c r="D1111" s="1037"/>
      <c r="E1111" s="1037"/>
      <c r="R1111" s="1038"/>
      <c r="S1111" s="1038"/>
      <c r="T1111" s="1038"/>
      <c r="U1111" s="1038"/>
      <c r="V1111" s="1038"/>
      <c r="W1111" s="1038"/>
      <c r="X1111" s="1038"/>
      <c r="Y1111" s="1038"/>
    </row>
    <row r="1112" spans="1:25" x14ac:dyDescent="0.2">
      <c r="A1112" s="1037"/>
      <c r="B1112" s="1037"/>
      <c r="C1112" s="1037"/>
      <c r="D1112" s="1037"/>
      <c r="E1112" s="1037"/>
      <c r="R1112" s="1038"/>
      <c r="S1112" s="1038"/>
      <c r="T1112" s="1038"/>
      <c r="U1112" s="1038"/>
      <c r="V1112" s="1038"/>
      <c r="W1112" s="1038"/>
      <c r="X1112" s="1038"/>
      <c r="Y1112" s="1038"/>
    </row>
    <row r="1113" spans="1:25" x14ac:dyDescent="0.2">
      <c r="A1113" s="1037"/>
      <c r="B1113" s="1037"/>
      <c r="C1113" s="1037"/>
      <c r="D1113" s="1037"/>
      <c r="E1113" s="1037"/>
      <c r="R1113" s="1038"/>
      <c r="S1113" s="1038"/>
      <c r="T1113" s="1038"/>
      <c r="U1113" s="1038"/>
      <c r="V1113" s="1038"/>
      <c r="W1113" s="1038"/>
      <c r="X1113" s="1038"/>
      <c r="Y1113" s="1038"/>
    </row>
    <row r="1114" spans="1:25" x14ac:dyDescent="0.2">
      <c r="A1114" s="1037"/>
      <c r="B1114" s="1037"/>
      <c r="C1114" s="1037"/>
      <c r="D1114" s="1037"/>
      <c r="E1114" s="1037"/>
      <c r="R1114" s="1038"/>
      <c r="S1114" s="1038"/>
      <c r="T1114" s="1038"/>
      <c r="U1114" s="1038"/>
      <c r="V1114" s="1038"/>
      <c r="W1114" s="1038"/>
      <c r="X1114" s="1038"/>
      <c r="Y1114" s="1038"/>
    </row>
    <row r="1115" spans="1:25" x14ac:dyDescent="0.2">
      <c r="A1115" s="1037"/>
      <c r="B1115" s="1037"/>
      <c r="C1115" s="1037"/>
      <c r="D1115" s="1037"/>
      <c r="E1115" s="1037"/>
      <c r="R1115" s="1038"/>
      <c r="S1115" s="1038"/>
      <c r="T1115" s="1038"/>
      <c r="U1115" s="1038"/>
      <c r="V1115" s="1038"/>
      <c r="W1115" s="1038"/>
      <c r="X1115" s="1038"/>
      <c r="Y1115" s="1038"/>
    </row>
    <row r="1116" spans="1:25" x14ac:dyDescent="0.2">
      <c r="A1116" s="1037"/>
      <c r="B1116" s="1037"/>
      <c r="C1116" s="1037"/>
      <c r="D1116" s="1037"/>
      <c r="E1116" s="1037"/>
      <c r="R1116" s="1038"/>
      <c r="S1116" s="1038"/>
      <c r="T1116" s="1038"/>
      <c r="U1116" s="1038"/>
      <c r="V1116" s="1038"/>
      <c r="W1116" s="1038"/>
      <c r="X1116" s="1038"/>
      <c r="Y1116" s="1038"/>
    </row>
    <row r="1117" spans="1:25" x14ac:dyDescent="0.2">
      <c r="A1117" s="1037"/>
      <c r="B1117" s="1037"/>
      <c r="C1117" s="1037"/>
      <c r="D1117" s="1037"/>
      <c r="E1117" s="1037"/>
      <c r="R1117" s="1038"/>
      <c r="S1117" s="1038"/>
      <c r="T1117" s="1038"/>
      <c r="U1117" s="1038"/>
      <c r="V1117" s="1038"/>
      <c r="W1117" s="1038"/>
      <c r="X1117" s="1038"/>
      <c r="Y1117" s="1038"/>
    </row>
    <row r="1118" spans="1:25" x14ac:dyDescent="0.2">
      <c r="A1118" s="1037"/>
      <c r="B1118" s="1037"/>
      <c r="C1118" s="1037"/>
      <c r="D1118" s="1037"/>
      <c r="E1118" s="1037"/>
      <c r="R1118" s="1038"/>
      <c r="S1118" s="1038"/>
      <c r="T1118" s="1038"/>
      <c r="U1118" s="1038"/>
      <c r="V1118" s="1038"/>
      <c r="W1118" s="1038"/>
      <c r="X1118" s="1038"/>
      <c r="Y1118" s="1038"/>
    </row>
    <row r="1119" spans="1:25" x14ac:dyDescent="0.2">
      <c r="A1119" s="1037"/>
      <c r="B1119" s="1037"/>
      <c r="C1119" s="1037"/>
      <c r="D1119" s="1037"/>
      <c r="E1119" s="1037"/>
      <c r="R1119" s="1038"/>
      <c r="S1119" s="1038"/>
      <c r="T1119" s="1038"/>
      <c r="U1119" s="1038"/>
      <c r="V1119" s="1038"/>
      <c r="W1119" s="1038"/>
      <c r="X1119" s="1038"/>
      <c r="Y1119" s="1038"/>
    </row>
    <row r="1120" spans="1:25" x14ac:dyDescent="0.2">
      <c r="A1120" s="1037"/>
      <c r="B1120" s="1037"/>
      <c r="C1120" s="1037"/>
      <c r="D1120" s="1037"/>
      <c r="E1120" s="1037"/>
      <c r="R1120" s="1038"/>
      <c r="S1120" s="1038"/>
      <c r="T1120" s="1038"/>
      <c r="U1120" s="1038"/>
      <c r="V1120" s="1038"/>
      <c r="W1120" s="1038"/>
      <c r="X1120" s="1038"/>
      <c r="Y1120" s="1038"/>
    </row>
    <row r="1121" spans="1:25" x14ac:dyDescent="0.2">
      <c r="A1121" s="1037"/>
      <c r="B1121" s="1037"/>
      <c r="C1121" s="1037"/>
      <c r="D1121" s="1037"/>
      <c r="E1121" s="1037"/>
      <c r="R1121" s="1038"/>
      <c r="S1121" s="1038"/>
      <c r="T1121" s="1038"/>
      <c r="U1121" s="1038"/>
      <c r="V1121" s="1038"/>
      <c r="W1121" s="1038"/>
      <c r="X1121" s="1038"/>
      <c r="Y1121" s="1038"/>
    </row>
    <row r="1122" spans="1:25" x14ac:dyDescent="0.2">
      <c r="A1122" s="1037"/>
      <c r="B1122" s="1037"/>
      <c r="C1122" s="1037"/>
      <c r="D1122" s="1037"/>
      <c r="E1122" s="1037"/>
      <c r="R1122" s="1038"/>
      <c r="S1122" s="1038"/>
      <c r="T1122" s="1038"/>
      <c r="U1122" s="1038"/>
      <c r="V1122" s="1038"/>
      <c r="W1122" s="1038"/>
      <c r="X1122" s="1038"/>
      <c r="Y1122" s="1038"/>
    </row>
    <row r="1123" spans="1:25" x14ac:dyDescent="0.2">
      <c r="A1123" s="1037"/>
      <c r="B1123" s="1037"/>
      <c r="C1123" s="1037"/>
      <c r="D1123" s="1037"/>
      <c r="E1123" s="1037"/>
      <c r="R1123" s="1038"/>
      <c r="S1123" s="1038"/>
      <c r="T1123" s="1038"/>
      <c r="U1123" s="1038"/>
      <c r="V1123" s="1038"/>
      <c r="W1123" s="1038"/>
      <c r="X1123" s="1038"/>
      <c r="Y1123" s="1038"/>
    </row>
    <row r="1124" spans="1:25" x14ac:dyDescent="0.2">
      <c r="A1124" s="1037"/>
      <c r="B1124" s="1037"/>
      <c r="C1124" s="1037"/>
      <c r="D1124" s="1037"/>
      <c r="E1124" s="1037"/>
      <c r="R1124" s="1038"/>
      <c r="S1124" s="1038"/>
      <c r="T1124" s="1038"/>
      <c r="U1124" s="1038"/>
      <c r="V1124" s="1038"/>
      <c r="W1124" s="1038"/>
      <c r="X1124" s="1038"/>
      <c r="Y1124" s="1038"/>
    </row>
    <row r="1125" spans="1:25" x14ac:dyDescent="0.2">
      <c r="A1125" s="1037"/>
      <c r="B1125" s="1037"/>
      <c r="C1125" s="1037"/>
      <c r="D1125" s="1037"/>
      <c r="E1125" s="1037"/>
      <c r="R1125" s="1038"/>
      <c r="S1125" s="1038"/>
      <c r="T1125" s="1038"/>
      <c r="U1125" s="1038"/>
      <c r="V1125" s="1038"/>
      <c r="W1125" s="1038"/>
      <c r="X1125" s="1038"/>
      <c r="Y1125" s="1038"/>
    </row>
    <row r="1126" spans="1:25" x14ac:dyDescent="0.2">
      <c r="A1126" s="1037"/>
      <c r="B1126" s="1037"/>
      <c r="C1126" s="1037"/>
      <c r="D1126" s="1037"/>
      <c r="E1126" s="1037"/>
      <c r="R1126" s="1038"/>
      <c r="S1126" s="1038"/>
      <c r="T1126" s="1038"/>
      <c r="U1126" s="1038"/>
      <c r="V1126" s="1038"/>
      <c r="W1126" s="1038"/>
      <c r="X1126" s="1038"/>
      <c r="Y1126" s="1038"/>
    </row>
    <row r="1127" spans="1:25" x14ac:dyDescent="0.2">
      <c r="A1127" s="1037"/>
      <c r="B1127" s="1037"/>
      <c r="C1127" s="1037"/>
      <c r="D1127" s="1037"/>
      <c r="E1127" s="1037"/>
      <c r="R1127" s="1038"/>
      <c r="S1127" s="1038"/>
      <c r="T1127" s="1038"/>
      <c r="U1127" s="1038"/>
      <c r="V1127" s="1038"/>
      <c r="W1127" s="1038"/>
      <c r="X1127" s="1038"/>
      <c r="Y1127" s="1038"/>
    </row>
    <row r="1128" spans="1:25" x14ac:dyDescent="0.2">
      <c r="A1128" s="1037"/>
      <c r="B1128" s="1037"/>
      <c r="C1128" s="1037"/>
      <c r="D1128" s="1037"/>
      <c r="E1128" s="1037"/>
      <c r="R1128" s="1038"/>
      <c r="S1128" s="1038"/>
      <c r="T1128" s="1038"/>
      <c r="U1128" s="1038"/>
      <c r="V1128" s="1038"/>
      <c r="W1128" s="1038"/>
      <c r="X1128" s="1038"/>
      <c r="Y1128" s="1038"/>
    </row>
    <row r="1129" spans="1:25" x14ac:dyDescent="0.2">
      <c r="A1129" s="1037"/>
      <c r="B1129" s="1037"/>
      <c r="C1129" s="1037"/>
      <c r="D1129" s="1037"/>
      <c r="E1129" s="1037"/>
      <c r="R1129" s="1038"/>
      <c r="S1129" s="1038"/>
      <c r="T1129" s="1038"/>
      <c r="U1129" s="1038"/>
      <c r="V1129" s="1038"/>
      <c r="W1129" s="1038"/>
      <c r="X1129" s="1038"/>
      <c r="Y1129" s="1038"/>
    </row>
    <row r="1130" spans="1:25" x14ac:dyDescent="0.2">
      <c r="A1130" s="1037"/>
      <c r="B1130" s="1037"/>
      <c r="C1130" s="1037"/>
      <c r="D1130" s="1037"/>
      <c r="E1130" s="1037"/>
      <c r="R1130" s="1038"/>
      <c r="S1130" s="1038"/>
      <c r="T1130" s="1038"/>
      <c r="U1130" s="1038"/>
      <c r="V1130" s="1038"/>
      <c r="W1130" s="1038"/>
      <c r="X1130" s="1038"/>
      <c r="Y1130" s="1038"/>
    </row>
    <row r="1131" spans="1:25" x14ac:dyDescent="0.2">
      <c r="A1131" s="1037"/>
      <c r="B1131" s="1037"/>
      <c r="C1131" s="1037"/>
      <c r="D1131" s="1037"/>
      <c r="E1131" s="1037"/>
      <c r="R1131" s="1038"/>
      <c r="S1131" s="1038"/>
      <c r="T1131" s="1038"/>
      <c r="U1131" s="1038"/>
      <c r="V1131" s="1038"/>
      <c r="W1131" s="1038"/>
      <c r="X1131" s="1038"/>
      <c r="Y1131" s="1038"/>
    </row>
    <row r="1132" spans="1:25" x14ac:dyDescent="0.2">
      <c r="A1132" s="1037"/>
      <c r="B1132" s="1037"/>
      <c r="C1132" s="1037"/>
      <c r="D1132" s="1037"/>
      <c r="E1132" s="1037"/>
      <c r="R1132" s="1038"/>
      <c r="S1132" s="1038"/>
      <c r="T1132" s="1038"/>
      <c r="U1132" s="1038"/>
      <c r="V1132" s="1038"/>
      <c r="W1132" s="1038"/>
      <c r="X1132" s="1038"/>
      <c r="Y1132" s="1038"/>
    </row>
    <row r="1133" spans="1:25" x14ac:dyDescent="0.2">
      <c r="A1133" s="1037"/>
      <c r="B1133" s="1037"/>
      <c r="C1133" s="1037"/>
      <c r="D1133" s="1037"/>
      <c r="E1133" s="1037"/>
      <c r="R1133" s="1038"/>
      <c r="S1133" s="1038"/>
      <c r="T1133" s="1038"/>
      <c r="U1133" s="1038"/>
      <c r="V1133" s="1038"/>
      <c r="W1133" s="1038"/>
      <c r="X1133" s="1038"/>
      <c r="Y1133" s="1038"/>
    </row>
    <row r="1134" spans="1:25" x14ac:dyDescent="0.2">
      <c r="A1134" s="1037"/>
      <c r="B1134" s="1037"/>
      <c r="C1134" s="1037"/>
      <c r="D1134" s="1037"/>
      <c r="E1134" s="1037"/>
      <c r="R1134" s="1038"/>
      <c r="S1134" s="1038"/>
      <c r="T1134" s="1038"/>
      <c r="U1134" s="1038"/>
      <c r="V1134" s="1038"/>
      <c r="W1134" s="1038"/>
      <c r="X1134" s="1038"/>
      <c r="Y1134" s="1038"/>
    </row>
    <row r="1135" spans="1:25" x14ac:dyDescent="0.2">
      <c r="A1135" s="1037"/>
      <c r="B1135" s="1037"/>
      <c r="C1135" s="1037"/>
      <c r="D1135" s="1037"/>
      <c r="E1135" s="1037"/>
      <c r="R1135" s="1038"/>
      <c r="S1135" s="1038"/>
      <c r="T1135" s="1038"/>
      <c r="U1135" s="1038"/>
      <c r="V1135" s="1038"/>
      <c r="W1135" s="1038"/>
      <c r="X1135" s="1038"/>
      <c r="Y1135" s="1038"/>
    </row>
    <row r="1136" spans="1:25" x14ac:dyDescent="0.2">
      <c r="A1136" s="1037"/>
      <c r="B1136" s="1037"/>
      <c r="C1136" s="1037"/>
      <c r="D1136" s="1037"/>
      <c r="E1136" s="1037"/>
      <c r="R1136" s="1038"/>
      <c r="S1136" s="1038"/>
      <c r="T1136" s="1038"/>
      <c r="U1136" s="1038"/>
      <c r="V1136" s="1038"/>
      <c r="W1136" s="1038"/>
      <c r="X1136" s="1038"/>
      <c r="Y1136" s="1038"/>
    </row>
    <row r="1137" spans="1:25" x14ac:dyDescent="0.2">
      <c r="A1137" s="1037"/>
      <c r="B1137" s="1037"/>
      <c r="C1137" s="1037"/>
      <c r="D1137" s="1037"/>
      <c r="E1137" s="1037"/>
      <c r="R1137" s="1038"/>
      <c r="S1137" s="1038"/>
      <c r="T1137" s="1038"/>
      <c r="U1137" s="1038"/>
      <c r="V1137" s="1038"/>
      <c r="W1137" s="1038"/>
      <c r="X1137" s="1038"/>
      <c r="Y1137" s="1038"/>
    </row>
    <row r="1138" spans="1:25" x14ac:dyDescent="0.2">
      <c r="A1138" s="1037"/>
      <c r="B1138" s="1037"/>
      <c r="C1138" s="1037"/>
      <c r="D1138" s="1037"/>
      <c r="E1138" s="1037"/>
      <c r="R1138" s="1038"/>
      <c r="S1138" s="1038"/>
      <c r="T1138" s="1038"/>
      <c r="U1138" s="1038"/>
      <c r="V1138" s="1038"/>
      <c r="W1138" s="1038"/>
      <c r="X1138" s="1038"/>
      <c r="Y1138" s="1038"/>
    </row>
    <row r="1139" spans="1:25" x14ac:dyDescent="0.2">
      <c r="A1139" s="1037"/>
      <c r="B1139" s="1037"/>
      <c r="C1139" s="1037"/>
      <c r="D1139" s="1037"/>
      <c r="E1139" s="1037"/>
      <c r="R1139" s="1038"/>
      <c r="S1139" s="1038"/>
      <c r="T1139" s="1038"/>
      <c r="U1139" s="1038"/>
      <c r="V1139" s="1038"/>
      <c r="W1139" s="1038"/>
      <c r="X1139" s="1038"/>
      <c r="Y1139" s="1038"/>
    </row>
    <row r="1140" spans="1:25" x14ac:dyDescent="0.2">
      <c r="A1140" s="1037"/>
      <c r="B1140" s="1037"/>
      <c r="C1140" s="1037"/>
      <c r="D1140" s="1037"/>
      <c r="E1140" s="1037"/>
      <c r="R1140" s="1038"/>
      <c r="S1140" s="1038"/>
      <c r="T1140" s="1038"/>
      <c r="U1140" s="1038"/>
      <c r="V1140" s="1038"/>
      <c r="W1140" s="1038"/>
      <c r="X1140" s="1038"/>
      <c r="Y1140" s="1038"/>
    </row>
    <row r="1141" spans="1:25" x14ac:dyDescent="0.2">
      <c r="A1141" s="1037"/>
      <c r="B1141" s="1037"/>
      <c r="C1141" s="1037"/>
      <c r="D1141" s="1037"/>
      <c r="E1141" s="1037"/>
      <c r="R1141" s="1038"/>
      <c r="S1141" s="1038"/>
      <c r="T1141" s="1038"/>
      <c r="U1141" s="1038"/>
      <c r="V1141" s="1038"/>
      <c r="W1141" s="1038"/>
      <c r="X1141" s="1038"/>
      <c r="Y1141" s="1038"/>
    </row>
    <row r="1142" spans="1:25" x14ac:dyDescent="0.2">
      <c r="A1142" s="1037"/>
      <c r="B1142" s="1037"/>
      <c r="C1142" s="1037"/>
      <c r="D1142" s="1037"/>
      <c r="E1142" s="1037"/>
      <c r="R1142" s="1038"/>
      <c r="S1142" s="1038"/>
      <c r="T1142" s="1038"/>
      <c r="U1142" s="1038"/>
      <c r="V1142" s="1038"/>
      <c r="W1142" s="1038"/>
      <c r="X1142" s="1038"/>
      <c r="Y1142" s="1038"/>
    </row>
    <row r="1143" spans="1:25" x14ac:dyDescent="0.2">
      <c r="A1143" s="1037"/>
      <c r="B1143" s="1037"/>
      <c r="C1143" s="1037"/>
      <c r="D1143" s="1037"/>
      <c r="E1143" s="1037"/>
      <c r="R1143" s="1038"/>
      <c r="S1143" s="1038"/>
      <c r="T1143" s="1038"/>
      <c r="U1143" s="1038"/>
      <c r="V1143" s="1038"/>
      <c r="W1143" s="1038"/>
      <c r="X1143" s="1038"/>
      <c r="Y1143" s="1038"/>
    </row>
    <row r="1144" spans="1:25" x14ac:dyDescent="0.2">
      <c r="A1144" s="1037"/>
      <c r="B1144" s="1037"/>
      <c r="C1144" s="1037"/>
      <c r="D1144" s="1037"/>
      <c r="E1144" s="1037"/>
      <c r="R1144" s="1038"/>
      <c r="S1144" s="1038"/>
      <c r="T1144" s="1038"/>
      <c r="U1144" s="1038"/>
      <c r="V1144" s="1038"/>
      <c r="W1144" s="1038"/>
      <c r="X1144" s="1038"/>
      <c r="Y1144" s="1038"/>
    </row>
    <row r="1145" spans="1:25" x14ac:dyDescent="0.2">
      <c r="A1145" s="1037"/>
      <c r="B1145" s="1037"/>
      <c r="C1145" s="1037"/>
      <c r="D1145" s="1037"/>
      <c r="E1145" s="1037"/>
      <c r="R1145" s="1038"/>
      <c r="S1145" s="1038"/>
      <c r="T1145" s="1038"/>
      <c r="U1145" s="1038"/>
      <c r="V1145" s="1038"/>
      <c r="W1145" s="1038"/>
      <c r="X1145" s="1038"/>
      <c r="Y1145" s="1038"/>
    </row>
    <row r="1146" spans="1:25" x14ac:dyDescent="0.2">
      <c r="A1146" s="1037"/>
      <c r="B1146" s="1037"/>
      <c r="C1146" s="1037"/>
      <c r="D1146" s="1037"/>
      <c r="E1146" s="1037"/>
      <c r="R1146" s="1038"/>
      <c r="S1146" s="1038"/>
      <c r="T1146" s="1038"/>
      <c r="U1146" s="1038"/>
      <c r="V1146" s="1038"/>
      <c r="W1146" s="1038"/>
      <c r="X1146" s="1038"/>
      <c r="Y1146" s="1038"/>
    </row>
    <row r="1147" spans="1:25" x14ac:dyDescent="0.2">
      <c r="A1147" s="1037"/>
      <c r="B1147" s="1037"/>
      <c r="C1147" s="1037"/>
      <c r="D1147" s="1037"/>
      <c r="E1147" s="1037"/>
      <c r="R1147" s="1038"/>
      <c r="S1147" s="1038"/>
      <c r="T1147" s="1038"/>
      <c r="U1147" s="1038"/>
      <c r="V1147" s="1038"/>
      <c r="W1147" s="1038"/>
      <c r="X1147" s="1038"/>
      <c r="Y1147" s="1038"/>
    </row>
    <row r="1148" spans="1:25" x14ac:dyDescent="0.2">
      <c r="A1148" s="1037"/>
      <c r="B1148" s="1037"/>
      <c r="C1148" s="1037"/>
      <c r="D1148" s="1037"/>
      <c r="E1148" s="1037"/>
      <c r="R1148" s="1038"/>
      <c r="S1148" s="1038"/>
      <c r="T1148" s="1038"/>
      <c r="U1148" s="1038"/>
      <c r="V1148" s="1038"/>
      <c r="W1148" s="1038"/>
      <c r="X1148" s="1038"/>
      <c r="Y1148" s="1038"/>
    </row>
    <row r="1149" spans="1:25" x14ac:dyDescent="0.2">
      <c r="A1149" s="1037"/>
      <c r="B1149" s="1037"/>
      <c r="C1149" s="1037"/>
      <c r="D1149" s="1037"/>
      <c r="E1149" s="1037"/>
      <c r="R1149" s="1038"/>
      <c r="S1149" s="1038"/>
      <c r="T1149" s="1038"/>
      <c r="U1149" s="1038"/>
      <c r="V1149" s="1038"/>
      <c r="W1149" s="1038"/>
      <c r="X1149" s="1038"/>
      <c r="Y1149" s="1038"/>
    </row>
    <row r="1150" spans="1:25" x14ac:dyDescent="0.2">
      <c r="A1150" s="1037"/>
      <c r="B1150" s="1037"/>
      <c r="C1150" s="1037"/>
      <c r="D1150" s="1037"/>
      <c r="E1150" s="1037"/>
      <c r="R1150" s="1038"/>
      <c r="S1150" s="1038"/>
      <c r="T1150" s="1038"/>
      <c r="U1150" s="1038"/>
      <c r="V1150" s="1038"/>
      <c r="W1150" s="1038"/>
      <c r="X1150" s="1038"/>
      <c r="Y1150" s="1038"/>
    </row>
    <row r="1151" spans="1:25" x14ac:dyDescent="0.2">
      <c r="A1151" s="1037"/>
      <c r="B1151" s="1037"/>
      <c r="C1151" s="1037"/>
      <c r="D1151" s="1037"/>
      <c r="E1151" s="1037"/>
      <c r="R1151" s="1038"/>
      <c r="S1151" s="1038"/>
      <c r="T1151" s="1038"/>
      <c r="U1151" s="1038"/>
      <c r="V1151" s="1038"/>
      <c r="W1151" s="1038"/>
      <c r="X1151" s="1038"/>
      <c r="Y1151" s="1038"/>
    </row>
    <row r="1152" spans="1:25" x14ac:dyDescent="0.2">
      <c r="A1152" s="1037"/>
      <c r="B1152" s="1037"/>
      <c r="C1152" s="1037"/>
      <c r="D1152" s="1037"/>
      <c r="E1152" s="1037"/>
      <c r="R1152" s="1038"/>
      <c r="S1152" s="1038"/>
      <c r="T1152" s="1038"/>
      <c r="U1152" s="1038"/>
      <c r="V1152" s="1038"/>
      <c r="W1152" s="1038"/>
      <c r="X1152" s="1038"/>
      <c r="Y1152" s="1038"/>
    </row>
    <row r="1153" spans="1:25" x14ac:dyDescent="0.2">
      <c r="A1153" s="1037"/>
      <c r="B1153" s="1037"/>
      <c r="C1153" s="1037"/>
      <c r="D1153" s="1037"/>
      <c r="E1153" s="1037"/>
      <c r="R1153" s="1038"/>
      <c r="S1153" s="1038"/>
      <c r="T1153" s="1038"/>
      <c r="U1153" s="1038"/>
      <c r="V1153" s="1038"/>
      <c r="W1153" s="1038"/>
      <c r="X1153" s="1038"/>
      <c r="Y1153" s="1038"/>
    </row>
    <row r="1154" spans="1:25" x14ac:dyDescent="0.2">
      <c r="A1154" s="1037"/>
      <c r="B1154" s="1037"/>
      <c r="C1154" s="1037"/>
      <c r="D1154" s="1037"/>
      <c r="E1154" s="1037"/>
      <c r="R1154" s="1038"/>
      <c r="S1154" s="1038"/>
      <c r="T1154" s="1038"/>
      <c r="U1154" s="1038"/>
      <c r="V1154" s="1038"/>
      <c r="W1154" s="1038"/>
      <c r="X1154" s="1038"/>
      <c r="Y1154" s="1038"/>
    </row>
    <row r="1155" spans="1:25" x14ac:dyDescent="0.2">
      <c r="A1155" s="1037"/>
      <c r="B1155" s="1037"/>
      <c r="C1155" s="1037"/>
      <c r="D1155" s="1037"/>
      <c r="E1155" s="1037"/>
      <c r="R1155" s="1038"/>
      <c r="S1155" s="1038"/>
      <c r="T1155" s="1038"/>
      <c r="U1155" s="1038"/>
      <c r="V1155" s="1038"/>
      <c r="W1155" s="1038"/>
      <c r="X1155" s="1038"/>
      <c r="Y1155" s="1038"/>
    </row>
    <row r="1156" spans="1:25" x14ac:dyDescent="0.2">
      <c r="A1156" s="1037"/>
      <c r="B1156" s="1037"/>
      <c r="C1156" s="1037"/>
      <c r="D1156" s="1037"/>
      <c r="E1156" s="1037"/>
      <c r="R1156" s="1038"/>
      <c r="S1156" s="1038"/>
      <c r="T1156" s="1038"/>
      <c r="U1156" s="1038"/>
      <c r="V1156" s="1038"/>
      <c r="W1156" s="1038"/>
      <c r="X1156" s="1038"/>
      <c r="Y1156" s="1038"/>
    </row>
    <row r="1157" spans="1:25" x14ac:dyDescent="0.2">
      <c r="A1157" s="1037"/>
      <c r="B1157" s="1037"/>
      <c r="C1157" s="1037"/>
      <c r="D1157" s="1037"/>
      <c r="E1157" s="1037"/>
      <c r="R1157" s="1038"/>
      <c r="S1157" s="1038"/>
      <c r="T1157" s="1038"/>
      <c r="U1157" s="1038"/>
      <c r="V1157" s="1038"/>
      <c r="W1157" s="1038"/>
      <c r="X1157" s="1038"/>
      <c r="Y1157" s="1038"/>
    </row>
    <row r="1158" spans="1:25" x14ac:dyDescent="0.2">
      <c r="A1158" s="1037"/>
      <c r="B1158" s="1037"/>
      <c r="C1158" s="1037"/>
      <c r="D1158" s="1037"/>
      <c r="E1158" s="1037"/>
      <c r="R1158" s="1038"/>
      <c r="S1158" s="1038"/>
      <c r="T1158" s="1038"/>
      <c r="U1158" s="1038"/>
      <c r="V1158" s="1038"/>
      <c r="W1158" s="1038"/>
      <c r="X1158" s="1038"/>
      <c r="Y1158" s="1038"/>
    </row>
    <row r="1159" spans="1:25" x14ac:dyDescent="0.2">
      <c r="A1159" s="1037"/>
      <c r="B1159" s="1037"/>
      <c r="C1159" s="1037"/>
      <c r="D1159" s="1037"/>
      <c r="E1159" s="1037"/>
      <c r="R1159" s="1038"/>
      <c r="S1159" s="1038"/>
      <c r="T1159" s="1038"/>
      <c r="U1159" s="1038"/>
      <c r="V1159" s="1038"/>
      <c r="W1159" s="1038"/>
      <c r="X1159" s="1038"/>
      <c r="Y1159" s="1038"/>
    </row>
    <row r="1160" spans="1:25" x14ac:dyDescent="0.2">
      <c r="A1160" s="1037"/>
      <c r="B1160" s="1037"/>
      <c r="C1160" s="1037"/>
      <c r="D1160" s="1037"/>
      <c r="E1160" s="1037"/>
      <c r="R1160" s="1038"/>
      <c r="S1160" s="1038"/>
      <c r="T1160" s="1038"/>
      <c r="U1160" s="1038"/>
      <c r="V1160" s="1038"/>
      <c r="W1160" s="1038"/>
      <c r="X1160" s="1038"/>
      <c r="Y1160" s="1038"/>
    </row>
    <row r="1161" spans="1:25" x14ac:dyDescent="0.2">
      <c r="A1161" s="1037"/>
      <c r="B1161" s="1037"/>
      <c r="C1161" s="1037"/>
      <c r="D1161" s="1037"/>
      <c r="E1161" s="1037"/>
      <c r="R1161" s="1038"/>
      <c r="S1161" s="1038"/>
      <c r="T1161" s="1038"/>
      <c r="U1161" s="1038"/>
      <c r="V1161" s="1038"/>
      <c r="W1161" s="1038"/>
      <c r="X1161" s="1038"/>
      <c r="Y1161" s="1038"/>
    </row>
    <row r="1162" spans="1:25" x14ac:dyDescent="0.2">
      <c r="A1162" s="1037"/>
      <c r="B1162" s="1037"/>
      <c r="C1162" s="1037"/>
      <c r="D1162" s="1037"/>
      <c r="E1162" s="1037"/>
      <c r="R1162" s="1038"/>
      <c r="S1162" s="1038"/>
      <c r="T1162" s="1038"/>
      <c r="U1162" s="1038"/>
      <c r="V1162" s="1038"/>
      <c r="W1162" s="1038"/>
      <c r="X1162" s="1038"/>
      <c r="Y1162" s="1038"/>
    </row>
    <row r="1163" spans="1:25" x14ac:dyDescent="0.2">
      <c r="A1163" s="1037"/>
      <c r="B1163" s="1037"/>
      <c r="C1163" s="1037"/>
      <c r="D1163" s="1037"/>
      <c r="E1163" s="1037"/>
      <c r="R1163" s="1038"/>
      <c r="S1163" s="1038"/>
      <c r="T1163" s="1038"/>
      <c r="U1163" s="1038"/>
      <c r="V1163" s="1038"/>
      <c r="W1163" s="1038"/>
      <c r="X1163" s="1038"/>
      <c r="Y1163" s="1038"/>
    </row>
    <row r="1164" spans="1:25" x14ac:dyDescent="0.2">
      <c r="A1164" s="1037"/>
      <c r="B1164" s="1037"/>
      <c r="C1164" s="1037"/>
      <c r="D1164" s="1037"/>
      <c r="E1164" s="1037"/>
      <c r="R1164" s="1038"/>
      <c r="S1164" s="1038"/>
      <c r="T1164" s="1038"/>
      <c r="U1164" s="1038"/>
      <c r="V1164" s="1038"/>
      <c r="W1164" s="1038"/>
      <c r="X1164" s="1038"/>
      <c r="Y1164" s="1038"/>
    </row>
    <row r="1165" spans="1:25" x14ac:dyDescent="0.2">
      <c r="A1165" s="1037"/>
      <c r="B1165" s="1037"/>
      <c r="C1165" s="1037"/>
      <c r="D1165" s="1037"/>
      <c r="E1165" s="1037"/>
      <c r="R1165" s="1038"/>
      <c r="S1165" s="1038"/>
      <c r="T1165" s="1038"/>
      <c r="U1165" s="1038"/>
      <c r="V1165" s="1038"/>
      <c r="W1165" s="1038"/>
      <c r="X1165" s="1038"/>
      <c r="Y1165" s="1038"/>
    </row>
    <row r="1166" spans="1:25" x14ac:dyDescent="0.2">
      <c r="A1166" s="1037"/>
      <c r="B1166" s="1037"/>
      <c r="C1166" s="1037"/>
      <c r="D1166" s="1037"/>
      <c r="E1166" s="1037"/>
      <c r="R1166" s="1038"/>
      <c r="S1166" s="1038"/>
      <c r="T1166" s="1038"/>
      <c r="U1166" s="1038"/>
      <c r="V1166" s="1038"/>
      <c r="W1166" s="1038"/>
      <c r="X1166" s="1038"/>
      <c r="Y1166" s="1038"/>
    </row>
    <row r="1167" spans="1:25" x14ac:dyDescent="0.2">
      <c r="A1167" s="1037"/>
      <c r="B1167" s="1037"/>
      <c r="C1167" s="1037"/>
      <c r="D1167" s="1037"/>
      <c r="E1167" s="1037"/>
      <c r="R1167" s="1038"/>
      <c r="S1167" s="1038"/>
      <c r="T1167" s="1038"/>
      <c r="U1167" s="1038"/>
      <c r="V1167" s="1038"/>
      <c r="W1167" s="1038"/>
      <c r="X1167" s="1038"/>
      <c r="Y1167" s="1038"/>
    </row>
    <row r="1168" spans="1:25" x14ac:dyDescent="0.2">
      <c r="A1168" s="1037"/>
      <c r="B1168" s="1037"/>
      <c r="C1168" s="1037"/>
      <c r="D1168" s="1037"/>
      <c r="E1168" s="1037"/>
      <c r="R1168" s="1038"/>
      <c r="S1168" s="1038"/>
      <c r="T1168" s="1038"/>
      <c r="U1168" s="1038"/>
      <c r="V1168" s="1038"/>
      <c r="W1168" s="1038"/>
      <c r="X1168" s="1038"/>
      <c r="Y1168" s="1038"/>
    </row>
    <row r="1169" spans="1:25" x14ac:dyDescent="0.2">
      <c r="A1169" s="1037"/>
      <c r="B1169" s="1037"/>
      <c r="C1169" s="1037"/>
      <c r="D1169" s="1037"/>
      <c r="E1169" s="1037"/>
      <c r="R1169" s="1038"/>
      <c r="S1169" s="1038"/>
      <c r="T1169" s="1038"/>
      <c r="U1169" s="1038"/>
      <c r="V1169" s="1038"/>
      <c r="W1169" s="1038"/>
      <c r="X1169" s="1038"/>
      <c r="Y1169" s="1038"/>
    </row>
    <row r="1170" spans="1:25" x14ac:dyDescent="0.2">
      <c r="A1170" s="1037"/>
      <c r="B1170" s="1037"/>
      <c r="C1170" s="1037"/>
      <c r="D1170" s="1037"/>
      <c r="E1170" s="1037"/>
      <c r="R1170" s="1038"/>
      <c r="S1170" s="1038"/>
      <c r="T1170" s="1038"/>
      <c r="U1170" s="1038"/>
      <c r="V1170" s="1038"/>
      <c r="W1170" s="1038"/>
      <c r="X1170" s="1038"/>
      <c r="Y1170" s="1038"/>
    </row>
    <row r="1171" spans="1:25" x14ac:dyDescent="0.2">
      <c r="A1171" s="1037"/>
      <c r="B1171" s="1037"/>
      <c r="C1171" s="1037"/>
      <c r="D1171" s="1037"/>
      <c r="E1171" s="1037"/>
      <c r="R1171" s="1038"/>
      <c r="S1171" s="1038"/>
      <c r="T1171" s="1038"/>
      <c r="U1171" s="1038"/>
      <c r="V1171" s="1038"/>
      <c r="W1171" s="1038"/>
      <c r="X1171" s="1038"/>
      <c r="Y1171" s="1038"/>
    </row>
    <row r="1172" spans="1:25" x14ac:dyDescent="0.2">
      <c r="A1172" s="1037"/>
      <c r="B1172" s="1037"/>
      <c r="C1172" s="1037"/>
      <c r="D1172" s="1037"/>
      <c r="E1172" s="1037"/>
      <c r="R1172" s="1038"/>
      <c r="S1172" s="1038"/>
      <c r="T1172" s="1038"/>
      <c r="U1172" s="1038"/>
      <c r="V1172" s="1038"/>
      <c r="W1172" s="1038"/>
      <c r="X1172" s="1038"/>
      <c r="Y1172" s="1038"/>
    </row>
    <row r="1173" spans="1:25" x14ac:dyDescent="0.2">
      <c r="A1173" s="1037"/>
      <c r="B1173" s="1037"/>
      <c r="C1173" s="1037"/>
      <c r="D1173" s="1037"/>
      <c r="E1173" s="1037"/>
      <c r="R1173" s="1038"/>
      <c r="S1173" s="1038"/>
      <c r="T1173" s="1038"/>
      <c r="U1173" s="1038"/>
      <c r="V1173" s="1038"/>
      <c r="W1173" s="1038"/>
      <c r="X1173" s="1038"/>
      <c r="Y1173" s="1038"/>
    </row>
    <row r="1174" spans="1:25" x14ac:dyDescent="0.2">
      <c r="A1174" s="1037"/>
      <c r="B1174" s="1037"/>
      <c r="C1174" s="1037"/>
      <c r="D1174" s="1037"/>
      <c r="E1174" s="1037"/>
      <c r="R1174" s="1038"/>
      <c r="S1174" s="1038"/>
      <c r="T1174" s="1038"/>
      <c r="U1174" s="1038"/>
      <c r="V1174" s="1038"/>
      <c r="W1174" s="1038"/>
      <c r="X1174" s="1038"/>
      <c r="Y1174" s="1038"/>
    </row>
    <row r="1175" spans="1:25" x14ac:dyDescent="0.2">
      <c r="A1175" s="1037"/>
      <c r="B1175" s="1037"/>
      <c r="C1175" s="1037"/>
      <c r="D1175" s="1037"/>
      <c r="E1175" s="1037"/>
      <c r="R1175" s="1038"/>
      <c r="S1175" s="1038"/>
      <c r="T1175" s="1038"/>
      <c r="U1175" s="1038"/>
      <c r="V1175" s="1038"/>
      <c r="W1175" s="1038"/>
      <c r="X1175" s="1038"/>
      <c r="Y1175" s="1038"/>
    </row>
    <row r="1176" spans="1:25" x14ac:dyDescent="0.2">
      <c r="A1176" s="1037"/>
      <c r="B1176" s="1037"/>
      <c r="C1176" s="1037"/>
      <c r="D1176" s="1037"/>
      <c r="E1176" s="1037"/>
      <c r="R1176" s="1038"/>
      <c r="S1176" s="1038"/>
      <c r="T1176" s="1038"/>
      <c r="U1176" s="1038"/>
      <c r="V1176" s="1038"/>
      <c r="W1176" s="1038"/>
      <c r="X1176" s="1038"/>
      <c r="Y1176" s="1038"/>
    </row>
    <row r="1177" spans="1:25" x14ac:dyDescent="0.2">
      <c r="A1177" s="1037"/>
      <c r="B1177" s="1037"/>
      <c r="C1177" s="1037"/>
      <c r="D1177" s="1037"/>
      <c r="E1177" s="1037"/>
      <c r="R1177" s="1038"/>
      <c r="S1177" s="1038"/>
      <c r="T1177" s="1038"/>
      <c r="U1177" s="1038"/>
      <c r="V1177" s="1038"/>
      <c r="W1177" s="1038"/>
      <c r="X1177" s="1038"/>
      <c r="Y1177" s="1038"/>
    </row>
    <row r="1178" spans="1:25" x14ac:dyDescent="0.2">
      <c r="A1178" s="1037"/>
      <c r="B1178" s="1037"/>
      <c r="C1178" s="1037"/>
      <c r="D1178" s="1037"/>
      <c r="E1178" s="1037"/>
      <c r="R1178" s="1038"/>
      <c r="S1178" s="1038"/>
      <c r="T1178" s="1038"/>
      <c r="U1178" s="1038"/>
      <c r="V1178" s="1038"/>
      <c r="W1178" s="1038"/>
      <c r="X1178" s="1038"/>
      <c r="Y1178" s="1038"/>
    </row>
    <row r="1179" spans="1:25" x14ac:dyDescent="0.2">
      <c r="A1179" s="1037"/>
      <c r="B1179" s="1037"/>
      <c r="C1179" s="1037"/>
      <c r="D1179" s="1037"/>
      <c r="E1179" s="1037"/>
      <c r="R1179" s="1038"/>
      <c r="S1179" s="1038"/>
      <c r="T1179" s="1038"/>
      <c r="U1179" s="1038"/>
      <c r="V1179" s="1038"/>
      <c r="W1179" s="1038"/>
      <c r="X1179" s="1038"/>
      <c r="Y1179" s="1038"/>
    </row>
    <row r="1180" spans="1:25" x14ac:dyDescent="0.2">
      <c r="A1180" s="1037"/>
      <c r="B1180" s="1037"/>
      <c r="C1180" s="1037"/>
      <c r="D1180" s="1037"/>
      <c r="E1180" s="1037"/>
      <c r="R1180" s="1038"/>
      <c r="S1180" s="1038"/>
      <c r="T1180" s="1038"/>
      <c r="U1180" s="1038"/>
      <c r="V1180" s="1038"/>
      <c r="W1180" s="1038"/>
      <c r="X1180" s="1038"/>
      <c r="Y1180" s="1038"/>
    </row>
    <row r="1181" spans="1:25" x14ac:dyDescent="0.2">
      <c r="A1181" s="1037"/>
      <c r="B1181" s="1037"/>
      <c r="C1181" s="1037"/>
      <c r="D1181" s="1037"/>
      <c r="E1181" s="1037"/>
      <c r="R1181" s="1038"/>
      <c r="S1181" s="1038"/>
      <c r="T1181" s="1038"/>
      <c r="U1181" s="1038"/>
      <c r="V1181" s="1038"/>
      <c r="W1181" s="1038"/>
      <c r="X1181" s="1038"/>
      <c r="Y1181" s="1038"/>
    </row>
    <row r="1182" spans="1:25" x14ac:dyDescent="0.2">
      <c r="A1182" s="1037"/>
      <c r="B1182" s="1037"/>
      <c r="C1182" s="1037"/>
      <c r="D1182" s="1037"/>
      <c r="E1182" s="1037"/>
      <c r="R1182" s="1038"/>
      <c r="S1182" s="1038"/>
      <c r="T1182" s="1038"/>
      <c r="U1182" s="1038"/>
      <c r="V1182" s="1038"/>
      <c r="W1182" s="1038"/>
      <c r="X1182" s="1038"/>
      <c r="Y1182" s="1038"/>
    </row>
    <row r="1183" spans="1:25" x14ac:dyDescent="0.2">
      <c r="A1183" s="1037"/>
      <c r="B1183" s="1037"/>
      <c r="C1183" s="1037"/>
      <c r="D1183" s="1037"/>
      <c r="E1183" s="1037"/>
      <c r="R1183" s="1038"/>
      <c r="S1183" s="1038"/>
      <c r="T1183" s="1038"/>
      <c r="U1183" s="1038"/>
      <c r="V1183" s="1038"/>
      <c r="W1183" s="1038"/>
      <c r="X1183" s="1038"/>
      <c r="Y1183" s="1038"/>
    </row>
    <row r="1184" spans="1:25" x14ac:dyDescent="0.2">
      <c r="A1184" s="1037"/>
      <c r="B1184" s="1037"/>
      <c r="C1184" s="1037"/>
      <c r="D1184" s="1037"/>
      <c r="E1184" s="1037"/>
      <c r="R1184" s="1038"/>
      <c r="S1184" s="1038"/>
      <c r="T1184" s="1038"/>
      <c r="U1184" s="1038"/>
      <c r="V1184" s="1038"/>
      <c r="W1184" s="1038"/>
      <c r="X1184" s="1038"/>
      <c r="Y1184" s="1038"/>
    </row>
    <row r="1185" spans="1:25" x14ac:dyDescent="0.2">
      <c r="A1185" s="1037"/>
      <c r="B1185" s="1037"/>
      <c r="C1185" s="1037"/>
      <c r="D1185" s="1037"/>
      <c r="E1185" s="1037"/>
      <c r="R1185" s="1038"/>
      <c r="S1185" s="1038"/>
      <c r="T1185" s="1038"/>
      <c r="U1185" s="1038"/>
      <c r="V1185" s="1038"/>
      <c r="W1185" s="1038"/>
      <c r="X1185" s="1038"/>
      <c r="Y1185" s="1038"/>
    </row>
    <row r="1186" spans="1:25" x14ac:dyDescent="0.2">
      <c r="A1186" s="1037"/>
      <c r="B1186" s="1037"/>
      <c r="C1186" s="1037"/>
      <c r="D1186" s="1037"/>
      <c r="E1186" s="1037"/>
      <c r="R1186" s="1038"/>
      <c r="S1186" s="1038"/>
      <c r="T1186" s="1038"/>
      <c r="U1186" s="1038"/>
      <c r="V1186" s="1038"/>
      <c r="W1186" s="1038"/>
      <c r="X1186" s="1038"/>
      <c r="Y1186" s="1038"/>
    </row>
    <row r="1187" spans="1:25" x14ac:dyDescent="0.2">
      <c r="A1187" s="1037"/>
      <c r="B1187" s="1037"/>
      <c r="C1187" s="1037"/>
      <c r="D1187" s="1037"/>
      <c r="E1187" s="1037"/>
      <c r="R1187" s="1038"/>
      <c r="S1187" s="1038"/>
      <c r="T1187" s="1038"/>
      <c r="U1187" s="1038"/>
      <c r="V1187" s="1038"/>
      <c r="W1187" s="1038"/>
      <c r="X1187" s="1038"/>
      <c r="Y1187" s="1038"/>
    </row>
    <row r="1188" spans="1:25" x14ac:dyDescent="0.2">
      <c r="A1188" s="1037"/>
      <c r="B1188" s="1037"/>
      <c r="C1188" s="1037"/>
      <c r="D1188" s="1037"/>
      <c r="E1188" s="1037"/>
      <c r="R1188" s="1038"/>
      <c r="S1188" s="1038"/>
      <c r="T1188" s="1038"/>
      <c r="U1188" s="1038"/>
      <c r="V1188" s="1038"/>
      <c r="W1188" s="1038"/>
      <c r="X1188" s="1038"/>
      <c r="Y1188" s="1038"/>
    </row>
    <row r="1189" spans="1:25" x14ac:dyDescent="0.2">
      <c r="A1189" s="1037"/>
      <c r="B1189" s="1037"/>
      <c r="C1189" s="1037"/>
      <c r="D1189" s="1037"/>
      <c r="E1189" s="1037"/>
      <c r="R1189" s="1038"/>
      <c r="S1189" s="1038"/>
      <c r="T1189" s="1038"/>
      <c r="U1189" s="1038"/>
      <c r="V1189" s="1038"/>
      <c r="W1189" s="1038"/>
      <c r="X1189" s="1038"/>
      <c r="Y1189" s="1038"/>
    </row>
    <row r="1190" spans="1:25" x14ac:dyDescent="0.2">
      <c r="A1190" s="1037"/>
      <c r="B1190" s="1037"/>
      <c r="C1190" s="1037"/>
      <c r="D1190" s="1037"/>
      <c r="E1190" s="1037"/>
      <c r="R1190" s="1038"/>
      <c r="S1190" s="1038"/>
      <c r="T1190" s="1038"/>
      <c r="U1190" s="1038"/>
      <c r="V1190" s="1038"/>
      <c r="W1190" s="1038"/>
      <c r="X1190" s="1038"/>
      <c r="Y1190" s="1038"/>
    </row>
    <row r="1191" spans="1:25" x14ac:dyDescent="0.2">
      <c r="A1191" s="1037"/>
      <c r="B1191" s="1037"/>
      <c r="C1191" s="1037"/>
      <c r="D1191" s="1037"/>
      <c r="E1191" s="1037"/>
      <c r="R1191" s="1038"/>
      <c r="S1191" s="1038"/>
      <c r="T1191" s="1038"/>
      <c r="U1191" s="1038"/>
      <c r="V1191" s="1038"/>
      <c r="W1191" s="1038"/>
      <c r="X1191" s="1038"/>
      <c r="Y1191" s="1038"/>
    </row>
    <row r="1192" spans="1:25" x14ac:dyDescent="0.2">
      <c r="A1192" s="1037"/>
      <c r="B1192" s="1037"/>
      <c r="C1192" s="1037"/>
      <c r="D1192" s="1037"/>
      <c r="E1192" s="1037"/>
      <c r="R1192" s="1038"/>
      <c r="S1192" s="1038"/>
      <c r="T1192" s="1038"/>
      <c r="U1192" s="1038"/>
      <c r="V1192" s="1038"/>
      <c r="W1192" s="1038"/>
      <c r="X1192" s="1038"/>
      <c r="Y1192" s="1038"/>
    </row>
    <row r="1193" spans="1:25" x14ac:dyDescent="0.2">
      <c r="A1193" s="1037"/>
      <c r="B1193" s="1037"/>
      <c r="C1193" s="1037"/>
      <c r="D1193" s="1037"/>
      <c r="E1193" s="1037"/>
      <c r="R1193" s="1038"/>
      <c r="S1193" s="1038"/>
      <c r="T1193" s="1038"/>
      <c r="U1193" s="1038"/>
      <c r="V1193" s="1038"/>
      <c r="W1193" s="1038"/>
      <c r="X1193" s="1038"/>
      <c r="Y1193" s="1038"/>
    </row>
    <row r="1194" spans="1:25" x14ac:dyDescent="0.2">
      <c r="A1194" s="1037"/>
      <c r="B1194" s="1037"/>
      <c r="C1194" s="1037"/>
      <c r="D1194" s="1037"/>
      <c r="E1194" s="1037"/>
      <c r="R1194" s="1038"/>
      <c r="S1194" s="1038"/>
      <c r="T1194" s="1038"/>
      <c r="U1194" s="1038"/>
      <c r="V1194" s="1038"/>
      <c r="W1194" s="1038"/>
      <c r="X1194" s="1038"/>
      <c r="Y1194" s="1038"/>
    </row>
    <row r="1195" spans="1:25" x14ac:dyDescent="0.2">
      <c r="A1195" s="1037"/>
      <c r="B1195" s="1037"/>
      <c r="C1195" s="1037"/>
      <c r="D1195" s="1037"/>
      <c r="E1195" s="1037"/>
      <c r="R1195" s="1038"/>
      <c r="S1195" s="1038"/>
      <c r="T1195" s="1038"/>
      <c r="U1195" s="1038"/>
      <c r="V1195" s="1038"/>
      <c r="W1195" s="1038"/>
      <c r="X1195" s="1038"/>
      <c r="Y1195" s="1038"/>
    </row>
    <row r="1196" spans="1:25" x14ac:dyDescent="0.2">
      <c r="A1196" s="1037"/>
      <c r="B1196" s="1037"/>
      <c r="C1196" s="1037"/>
      <c r="D1196" s="1037"/>
      <c r="E1196" s="1037"/>
      <c r="R1196" s="1038"/>
      <c r="S1196" s="1038"/>
      <c r="T1196" s="1038"/>
      <c r="U1196" s="1038"/>
      <c r="V1196" s="1038"/>
      <c r="W1196" s="1038"/>
      <c r="X1196" s="1038"/>
      <c r="Y1196" s="1038"/>
    </row>
    <row r="1197" spans="1:25" x14ac:dyDescent="0.2">
      <c r="A1197" s="1037"/>
      <c r="B1197" s="1037"/>
      <c r="C1197" s="1037"/>
      <c r="D1197" s="1037"/>
      <c r="E1197" s="1037"/>
      <c r="R1197" s="1038"/>
      <c r="S1197" s="1038"/>
      <c r="T1197" s="1038"/>
      <c r="U1197" s="1038"/>
      <c r="V1197" s="1038"/>
      <c r="W1197" s="1038"/>
      <c r="X1197" s="1038"/>
      <c r="Y1197" s="1038"/>
    </row>
    <row r="1198" spans="1:25" x14ac:dyDescent="0.2">
      <c r="A1198" s="1037"/>
      <c r="B1198" s="1037"/>
      <c r="C1198" s="1037"/>
      <c r="D1198" s="1037"/>
      <c r="E1198" s="1037"/>
      <c r="R1198" s="1038"/>
      <c r="S1198" s="1038"/>
      <c r="T1198" s="1038"/>
      <c r="U1198" s="1038"/>
      <c r="V1198" s="1038"/>
      <c r="W1198" s="1038"/>
      <c r="X1198" s="1038"/>
      <c r="Y1198" s="1038"/>
    </row>
    <row r="1199" spans="1:25" x14ac:dyDescent="0.2">
      <c r="A1199" s="1037"/>
      <c r="B1199" s="1037"/>
      <c r="C1199" s="1037"/>
      <c r="D1199" s="1037"/>
      <c r="E1199" s="1037"/>
      <c r="R1199" s="1038"/>
      <c r="S1199" s="1038"/>
      <c r="T1199" s="1038"/>
      <c r="U1199" s="1038"/>
      <c r="V1199" s="1038"/>
      <c r="W1199" s="1038"/>
      <c r="X1199" s="1038"/>
      <c r="Y1199" s="1038"/>
    </row>
    <row r="1200" spans="1:25" x14ac:dyDescent="0.2">
      <c r="A1200" s="1037"/>
      <c r="B1200" s="1037"/>
      <c r="C1200" s="1037"/>
      <c r="D1200" s="1037"/>
      <c r="E1200" s="1037"/>
      <c r="R1200" s="1038"/>
      <c r="S1200" s="1038"/>
      <c r="T1200" s="1038"/>
      <c r="U1200" s="1038"/>
      <c r="V1200" s="1038"/>
      <c r="W1200" s="1038"/>
      <c r="X1200" s="1038"/>
      <c r="Y1200" s="1038"/>
    </row>
    <row r="1201" spans="1:25" x14ac:dyDescent="0.2">
      <c r="A1201" s="1037"/>
      <c r="B1201" s="1037"/>
      <c r="C1201" s="1037"/>
      <c r="D1201" s="1037"/>
      <c r="E1201" s="1037"/>
      <c r="R1201" s="1038"/>
      <c r="S1201" s="1038"/>
      <c r="T1201" s="1038"/>
      <c r="U1201" s="1038"/>
      <c r="V1201" s="1038"/>
      <c r="W1201" s="1038"/>
      <c r="X1201" s="1038"/>
      <c r="Y1201" s="1038"/>
    </row>
    <row r="1202" spans="1:25" x14ac:dyDescent="0.2">
      <c r="A1202" s="1037"/>
      <c r="B1202" s="1037"/>
      <c r="C1202" s="1037"/>
      <c r="D1202" s="1037"/>
      <c r="E1202" s="1037"/>
      <c r="R1202" s="1038"/>
      <c r="S1202" s="1038"/>
      <c r="T1202" s="1038"/>
      <c r="U1202" s="1038"/>
      <c r="V1202" s="1038"/>
      <c r="W1202" s="1038"/>
      <c r="X1202" s="1038"/>
      <c r="Y1202" s="1038"/>
    </row>
    <row r="1203" spans="1:25" x14ac:dyDescent="0.2">
      <c r="A1203" s="1037"/>
      <c r="B1203" s="1037"/>
      <c r="C1203" s="1037"/>
      <c r="D1203" s="1037"/>
      <c r="E1203" s="1037"/>
      <c r="R1203" s="1038"/>
      <c r="S1203" s="1038"/>
      <c r="T1203" s="1038"/>
      <c r="U1203" s="1038"/>
      <c r="V1203" s="1038"/>
      <c r="W1203" s="1038"/>
      <c r="X1203" s="1038"/>
      <c r="Y1203" s="1038"/>
    </row>
    <row r="1204" spans="1:25" x14ac:dyDescent="0.2">
      <c r="A1204" s="1037"/>
      <c r="B1204" s="1037"/>
      <c r="C1204" s="1037"/>
      <c r="D1204" s="1037"/>
      <c r="E1204" s="1037"/>
      <c r="R1204" s="1038"/>
      <c r="S1204" s="1038"/>
      <c r="T1204" s="1038"/>
      <c r="U1204" s="1038"/>
      <c r="V1204" s="1038"/>
      <c r="W1204" s="1038"/>
      <c r="X1204" s="1038"/>
      <c r="Y1204" s="1038"/>
    </row>
    <row r="1205" spans="1:25" x14ac:dyDescent="0.2">
      <c r="A1205" s="1037"/>
      <c r="B1205" s="1037"/>
      <c r="C1205" s="1037"/>
      <c r="D1205" s="1037"/>
      <c r="E1205" s="1037"/>
      <c r="R1205" s="1038"/>
      <c r="S1205" s="1038"/>
      <c r="T1205" s="1038"/>
      <c r="U1205" s="1038"/>
      <c r="V1205" s="1038"/>
      <c r="W1205" s="1038"/>
      <c r="X1205" s="1038"/>
      <c r="Y1205" s="1038"/>
    </row>
    <row r="1206" spans="1:25" x14ac:dyDescent="0.2">
      <c r="A1206" s="1037"/>
      <c r="B1206" s="1037"/>
      <c r="C1206" s="1037"/>
      <c r="D1206" s="1037"/>
      <c r="E1206" s="1037"/>
      <c r="R1206" s="1038"/>
      <c r="S1206" s="1038"/>
      <c r="T1206" s="1038"/>
      <c r="U1206" s="1038"/>
      <c r="V1206" s="1038"/>
      <c r="W1206" s="1038"/>
      <c r="X1206" s="1038"/>
      <c r="Y1206" s="1038"/>
    </row>
    <row r="1207" spans="1:25" x14ac:dyDescent="0.2">
      <c r="A1207" s="1037"/>
      <c r="B1207" s="1037"/>
      <c r="C1207" s="1037"/>
      <c r="D1207" s="1037"/>
      <c r="E1207" s="1037"/>
      <c r="R1207" s="1038"/>
      <c r="S1207" s="1038"/>
      <c r="T1207" s="1038"/>
      <c r="U1207" s="1038"/>
      <c r="V1207" s="1038"/>
      <c r="W1207" s="1038"/>
      <c r="X1207" s="1038"/>
      <c r="Y1207" s="1038"/>
    </row>
    <row r="1208" spans="1:25" x14ac:dyDescent="0.2">
      <c r="A1208" s="1037"/>
      <c r="B1208" s="1037"/>
      <c r="C1208" s="1037"/>
      <c r="D1208" s="1037"/>
      <c r="E1208" s="1037"/>
      <c r="R1208" s="1038"/>
      <c r="S1208" s="1038"/>
      <c r="T1208" s="1038"/>
      <c r="U1208" s="1038"/>
      <c r="V1208" s="1038"/>
      <c r="W1208" s="1038"/>
      <c r="X1208" s="1038"/>
      <c r="Y1208" s="1038"/>
    </row>
    <row r="1209" spans="1:25" x14ac:dyDescent="0.2">
      <c r="A1209" s="1037"/>
      <c r="B1209" s="1037"/>
      <c r="C1209" s="1037"/>
      <c r="D1209" s="1037"/>
      <c r="E1209" s="1037"/>
      <c r="R1209" s="1038"/>
      <c r="S1209" s="1038"/>
      <c r="T1209" s="1038"/>
      <c r="U1209" s="1038"/>
      <c r="V1209" s="1038"/>
      <c r="W1209" s="1038"/>
      <c r="X1209" s="1038"/>
      <c r="Y1209" s="1038"/>
    </row>
    <row r="1210" spans="1:25" x14ac:dyDescent="0.2">
      <c r="A1210" s="1037"/>
      <c r="B1210" s="1037"/>
      <c r="C1210" s="1037"/>
      <c r="D1210" s="1037"/>
      <c r="E1210" s="1037"/>
      <c r="R1210" s="1038"/>
      <c r="S1210" s="1038"/>
      <c r="T1210" s="1038"/>
      <c r="U1210" s="1038"/>
      <c r="V1210" s="1038"/>
      <c r="W1210" s="1038"/>
      <c r="X1210" s="1038"/>
      <c r="Y1210" s="1038"/>
    </row>
    <row r="1211" spans="1:25" x14ac:dyDescent="0.2">
      <c r="A1211" s="1037"/>
      <c r="B1211" s="1037"/>
      <c r="C1211" s="1037"/>
      <c r="D1211" s="1037"/>
      <c r="E1211" s="1037"/>
      <c r="R1211" s="1038"/>
      <c r="S1211" s="1038"/>
      <c r="T1211" s="1038"/>
      <c r="U1211" s="1038"/>
      <c r="V1211" s="1038"/>
      <c r="W1211" s="1038"/>
      <c r="X1211" s="1038"/>
      <c r="Y1211" s="1038"/>
    </row>
    <row r="1212" spans="1:25" x14ac:dyDescent="0.2">
      <c r="A1212" s="1037"/>
      <c r="B1212" s="1037"/>
      <c r="C1212" s="1037"/>
      <c r="D1212" s="1037"/>
      <c r="E1212" s="1037"/>
      <c r="R1212" s="1038"/>
      <c r="S1212" s="1038"/>
      <c r="T1212" s="1038"/>
      <c r="U1212" s="1038"/>
      <c r="V1212" s="1038"/>
      <c r="W1212" s="1038"/>
      <c r="X1212" s="1038"/>
      <c r="Y1212" s="1038"/>
    </row>
    <row r="1213" spans="1:25" x14ac:dyDescent="0.2">
      <c r="A1213" s="1037"/>
      <c r="B1213" s="1037"/>
      <c r="C1213" s="1037"/>
      <c r="D1213" s="1037"/>
      <c r="E1213" s="1037"/>
      <c r="R1213" s="1038"/>
      <c r="S1213" s="1038"/>
      <c r="T1213" s="1038"/>
      <c r="U1213" s="1038"/>
      <c r="V1213" s="1038"/>
      <c r="W1213" s="1038"/>
      <c r="X1213" s="1038"/>
      <c r="Y1213" s="1038"/>
    </row>
    <row r="1214" spans="1:25" x14ac:dyDescent="0.2">
      <c r="A1214" s="1037"/>
      <c r="B1214" s="1037"/>
      <c r="C1214" s="1037"/>
      <c r="D1214" s="1037"/>
      <c r="E1214" s="1037"/>
      <c r="R1214" s="1038"/>
      <c r="S1214" s="1038"/>
      <c r="T1214" s="1038"/>
      <c r="U1214" s="1038"/>
      <c r="V1214" s="1038"/>
      <c r="W1214" s="1038"/>
      <c r="X1214" s="1038"/>
      <c r="Y1214" s="1038"/>
    </row>
    <row r="1215" spans="1:25" x14ac:dyDescent="0.2">
      <c r="A1215" s="1037"/>
      <c r="B1215" s="1037"/>
      <c r="C1215" s="1037"/>
      <c r="D1215" s="1037"/>
      <c r="E1215" s="1037"/>
      <c r="R1215" s="1038"/>
      <c r="S1215" s="1038"/>
      <c r="T1215" s="1038"/>
      <c r="U1215" s="1038"/>
      <c r="V1215" s="1038"/>
      <c r="W1215" s="1038"/>
      <c r="X1215" s="1038"/>
      <c r="Y1215" s="1038"/>
    </row>
    <row r="1216" spans="1:25" x14ac:dyDescent="0.2">
      <c r="A1216" s="1037"/>
      <c r="B1216" s="1037"/>
      <c r="C1216" s="1037"/>
      <c r="D1216" s="1037"/>
      <c r="E1216" s="1037"/>
      <c r="R1216" s="1038"/>
      <c r="S1216" s="1038"/>
      <c r="T1216" s="1038"/>
      <c r="U1216" s="1038"/>
      <c r="V1216" s="1038"/>
      <c r="W1216" s="1038"/>
      <c r="X1216" s="1038"/>
      <c r="Y1216" s="1038"/>
    </row>
    <row r="1217" spans="1:25" x14ac:dyDescent="0.2">
      <c r="A1217" s="1037"/>
      <c r="B1217" s="1037"/>
      <c r="C1217" s="1037"/>
      <c r="D1217" s="1037"/>
      <c r="E1217" s="1037"/>
      <c r="R1217" s="1038"/>
      <c r="S1217" s="1038"/>
      <c r="T1217" s="1038"/>
      <c r="U1217" s="1038"/>
      <c r="V1217" s="1038"/>
      <c r="W1217" s="1038"/>
      <c r="X1217" s="1038"/>
      <c r="Y1217" s="1038"/>
    </row>
    <row r="1218" spans="1:25" x14ac:dyDescent="0.2">
      <c r="A1218" s="1037"/>
      <c r="B1218" s="1037"/>
      <c r="C1218" s="1037"/>
      <c r="D1218" s="1037"/>
      <c r="E1218" s="1037"/>
      <c r="R1218" s="1038"/>
      <c r="S1218" s="1038"/>
      <c r="T1218" s="1038"/>
      <c r="U1218" s="1038"/>
      <c r="V1218" s="1038"/>
      <c r="W1218" s="1038"/>
      <c r="X1218" s="1038"/>
      <c r="Y1218" s="1038"/>
    </row>
    <row r="1219" spans="1:25" x14ac:dyDescent="0.2">
      <c r="A1219" s="1037"/>
      <c r="B1219" s="1037"/>
      <c r="C1219" s="1037"/>
      <c r="D1219" s="1037"/>
      <c r="E1219" s="1037"/>
      <c r="R1219" s="1038"/>
      <c r="S1219" s="1038"/>
      <c r="T1219" s="1038"/>
      <c r="U1219" s="1038"/>
      <c r="V1219" s="1038"/>
      <c r="W1219" s="1038"/>
      <c r="X1219" s="1038"/>
      <c r="Y1219" s="1038"/>
    </row>
    <row r="1220" spans="1:25" x14ac:dyDescent="0.2">
      <c r="A1220" s="1037"/>
      <c r="B1220" s="1037"/>
      <c r="C1220" s="1037"/>
      <c r="D1220" s="1037"/>
      <c r="E1220" s="1037"/>
      <c r="R1220" s="1038"/>
      <c r="S1220" s="1038"/>
      <c r="T1220" s="1038"/>
      <c r="U1220" s="1038"/>
      <c r="V1220" s="1038"/>
      <c r="W1220" s="1038"/>
      <c r="X1220" s="1038"/>
      <c r="Y1220" s="1038"/>
    </row>
    <row r="1221" spans="1:25" x14ac:dyDescent="0.2">
      <c r="A1221" s="1037"/>
      <c r="B1221" s="1037"/>
      <c r="C1221" s="1037"/>
      <c r="D1221" s="1037"/>
      <c r="E1221" s="1037"/>
      <c r="R1221" s="1038"/>
      <c r="S1221" s="1038"/>
      <c r="T1221" s="1038"/>
      <c r="U1221" s="1038"/>
      <c r="V1221" s="1038"/>
      <c r="W1221" s="1038"/>
      <c r="X1221" s="1038"/>
      <c r="Y1221" s="1038"/>
    </row>
    <row r="1222" spans="1:25" x14ac:dyDescent="0.2">
      <c r="A1222" s="1037"/>
      <c r="B1222" s="1037"/>
      <c r="C1222" s="1037"/>
      <c r="D1222" s="1037"/>
      <c r="E1222" s="1037"/>
      <c r="R1222" s="1038"/>
      <c r="S1222" s="1038"/>
      <c r="T1222" s="1038"/>
      <c r="U1222" s="1038"/>
      <c r="V1222" s="1038"/>
      <c r="W1222" s="1038"/>
      <c r="X1222" s="1038"/>
      <c r="Y1222" s="1038"/>
    </row>
    <row r="1223" spans="1:25" x14ac:dyDescent="0.2">
      <c r="A1223" s="1037"/>
      <c r="B1223" s="1037"/>
      <c r="C1223" s="1037"/>
      <c r="D1223" s="1037"/>
      <c r="E1223" s="1037"/>
      <c r="R1223" s="1038"/>
      <c r="S1223" s="1038"/>
      <c r="T1223" s="1038"/>
      <c r="U1223" s="1038"/>
      <c r="V1223" s="1038"/>
      <c r="W1223" s="1038"/>
      <c r="X1223" s="1038"/>
      <c r="Y1223" s="1038"/>
    </row>
    <row r="1224" spans="1:25" x14ac:dyDescent="0.2">
      <c r="A1224" s="1037"/>
      <c r="B1224" s="1037"/>
      <c r="C1224" s="1037"/>
      <c r="D1224" s="1037"/>
      <c r="E1224" s="1037"/>
      <c r="R1224" s="1038"/>
      <c r="S1224" s="1038"/>
      <c r="T1224" s="1038"/>
      <c r="U1224" s="1038"/>
      <c r="V1224" s="1038"/>
      <c r="W1224" s="1038"/>
      <c r="X1224" s="1038"/>
      <c r="Y1224" s="1038"/>
    </row>
    <row r="1225" spans="1:25" x14ac:dyDescent="0.2">
      <c r="A1225" s="1037"/>
      <c r="B1225" s="1037"/>
      <c r="C1225" s="1037"/>
      <c r="D1225" s="1037"/>
      <c r="E1225" s="1037"/>
      <c r="R1225" s="1038"/>
      <c r="S1225" s="1038"/>
      <c r="T1225" s="1038"/>
      <c r="U1225" s="1038"/>
      <c r="V1225" s="1038"/>
      <c r="W1225" s="1038"/>
      <c r="X1225" s="1038"/>
      <c r="Y1225" s="1038"/>
    </row>
    <row r="1226" spans="1:25" x14ac:dyDescent="0.2">
      <c r="A1226" s="1037"/>
      <c r="B1226" s="1037"/>
      <c r="C1226" s="1037"/>
      <c r="D1226" s="1037"/>
      <c r="E1226" s="1037"/>
      <c r="R1226" s="1038"/>
      <c r="S1226" s="1038"/>
      <c r="T1226" s="1038"/>
      <c r="U1226" s="1038"/>
      <c r="V1226" s="1038"/>
      <c r="W1226" s="1038"/>
      <c r="X1226" s="1038"/>
      <c r="Y1226" s="1038"/>
    </row>
    <row r="1227" spans="1:25" x14ac:dyDescent="0.2">
      <c r="A1227" s="1037"/>
      <c r="B1227" s="1037"/>
      <c r="C1227" s="1037"/>
      <c r="D1227" s="1037"/>
      <c r="E1227" s="1037"/>
      <c r="R1227" s="1038"/>
      <c r="S1227" s="1038"/>
      <c r="T1227" s="1038"/>
      <c r="U1227" s="1038"/>
      <c r="V1227" s="1038"/>
      <c r="W1227" s="1038"/>
      <c r="X1227" s="1038"/>
      <c r="Y1227" s="1038"/>
    </row>
    <row r="1228" spans="1:25" x14ac:dyDescent="0.2">
      <c r="A1228" s="1037"/>
      <c r="B1228" s="1037"/>
      <c r="C1228" s="1037"/>
      <c r="D1228" s="1037"/>
      <c r="E1228" s="1037"/>
      <c r="R1228" s="1038"/>
      <c r="S1228" s="1038"/>
      <c r="T1228" s="1038"/>
      <c r="U1228" s="1038"/>
      <c r="V1228" s="1038"/>
      <c r="W1228" s="1038"/>
      <c r="X1228" s="1038"/>
      <c r="Y1228" s="1038"/>
    </row>
    <row r="1229" spans="1:25" x14ac:dyDescent="0.2">
      <c r="A1229" s="1037"/>
      <c r="B1229" s="1037"/>
      <c r="C1229" s="1037"/>
      <c r="D1229" s="1037"/>
      <c r="E1229" s="1037"/>
      <c r="R1229" s="1038"/>
      <c r="S1229" s="1038"/>
      <c r="T1229" s="1038"/>
      <c r="U1229" s="1038"/>
      <c r="V1229" s="1038"/>
      <c r="W1229" s="1038"/>
      <c r="X1229" s="1038"/>
      <c r="Y1229" s="1038"/>
    </row>
    <row r="1230" spans="1:25" x14ac:dyDescent="0.2">
      <c r="A1230" s="1037"/>
      <c r="B1230" s="1037"/>
      <c r="C1230" s="1037"/>
      <c r="D1230" s="1037"/>
      <c r="E1230" s="1037"/>
      <c r="R1230" s="1038"/>
      <c r="S1230" s="1038"/>
      <c r="T1230" s="1038"/>
      <c r="U1230" s="1038"/>
      <c r="V1230" s="1038"/>
      <c r="W1230" s="1038"/>
      <c r="X1230" s="1038"/>
      <c r="Y1230" s="1038"/>
    </row>
    <row r="1231" spans="1:25" x14ac:dyDescent="0.2">
      <c r="A1231" s="1037"/>
      <c r="B1231" s="1037"/>
      <c r="C1231" s="1037"/>
      <c r="D1231" s="1037"/>
      <c r="E1231" s="1037"/>
      <c r="R1231" s="1038"/>
      <c r="S1231" s="1038"/>
      <c r="T1231" s="1038"/>
      <c r="U1231" s="1038"/>
      <c r="V1231" s="1038"/>
      <c r="W1231" s="1038"/>
      <c r="X1231" s="1038"/>
      <c r="Y1231" s="1038"/>
    </row>
    <row r="1232" spans="1:25" x14ac:dyDescent="0.2">
      <c r="A1232" s="1037"/>
      <c r="B1232" s="1037"/>
      <c r="C1232" s="1037"/>
      <c r="D1232" s="1037"/>
      <c r="E1232" s="1037"/>
      <c r="R1232" s="1038"/>
      <c r="S1232" s="1038"/>
      <c r="T1232" s="1038"/>
      <c r="U1232" s="1038"/>
      <c r="V1232" s="1038"/>
      <c r="W1232" s="1038"/>
      <c r="X1232" s="1038"/>
      <c r="Y1232" s="1038"/>
    </row>
    <row r="1233" spans="1:25" x14ac:dyDescent="0.2">
      <c r="A1233" s="1037"/>
      <c r="B1233" s="1037"/>
      <c r="C1233" s="1037"/>
      <c r="D1233" s="1037"/>
      <c r="E1233" s="1037"/>
      <c r="R1233" s="1038"/>
      <c r="S1233" s="1038"/>
      <c r="T1233" s="1038"/>
      <c r="U1233" s="1038"/>
      <c r="V1233" s="1038"/>
      <c r="W1233" s="1038"/>
      <c r="X1233" s="1038"/>
      <c r="Y1233" s="1038"/>
    </row>
    <row r="1234" spans="1:25" x14ac:dyDescent="0.2">
      <c r="A1234" s="1037"/>
      <c r="B1234" s="1037"/>
      <c r="C1234" s="1037"/>
      <c r="D1234" s="1037"/>
      <c r="E1234" s="1037"/>
      <c r="R1234" s="1038"/>
      <c r="S1234" s="1038"/>
      <c r="T1234" s="1038"/>
      <c r="U1234" s="1038"/>
      <c r="V1234" s="1038"/>
      <c r="W1234" s="1038"/>
      <c r="X1234" s="1038"/>
      <c r="Y1234" s="1038"/>
    </row>
    <row r="1235" spans="1:25" x14ac:dyDescent="0.2">
      <c r="A1235" s="1037"/>
      <c r="B1235" s="1037"/>
      <c r="C1235" s="1037"/>
      <c r="D1235" s="1037"/>
      <c r="E1235" s="1037"/>
      <c r="R1235" s="1038"/>
      <c r="S1235" s="1038"/>
      <c r="T1235" s="1038"/>
      <c r="U1235" s="1038"/>
      <c r="V1235" s="1038"/>
      <c r="W1235" s="1038"/>
      <c r="X1235" s="1038"/>
      <c r="Y1235" s="1038"/>
    </row>
    <row r="1236" spans="1:25" x14ac:dyDescent="0.2">
      <c r="A1236" s="1037"/>
      <c r="B1236" s="1037"/>
      <c r="C1236" s="1037"/>
      <c r="D1236" s="1037"/>
      <c r="E1236" s="1037"/>
      <c r="R1236" s="1038"/>
      <c r="S1236" s="1038"/>
      <c r="T1236" s="1038"/>
      <c r="U1236" s="1038"/>
      <c r="V1236" s="1038"/>
      <c r="W1236" s="1038"/>
      <c r="X1236" s="1038"/>
      <c r="Y1236" s="1038"/>
    </row>
    <row r="1237" spans="1:25" x14ac:dyDescent="0.2">
      <c r="A1237" s="1037"/>
      <c r="B1237" s="1037"/>
      <c r="C1237" s="1037"/>
      <c r="D1237" s="1037"/>
      <c r="E1237" s="1037"/>
      <c r="R1237" s="1038"/>
      <c r="S1237" s="1038"/>
      <c r="T1237" s="1038"/>
      <c r="U1237" s="1038"/>
      <c r="V1237" s="1038"/>
      <c r="W1237" s="1038"/>
      <c r="X1237" s="1038"/>
      <c r="Y1237" s="1038"/>
    </row>
    <row r="1238" spans="1:25" x14ac:dyDescent="0.2">
      <c r="A1238" s="1037"/>
      <c r="B1238" s="1037"/>
      <c r="C1238" s="1037"/>
      <c r="D1238" s="1037"/>
      <c r="E1238" s="1037"/>
      <c r="R1238" s="1038"/>
      <c r="S1238" s="1038"/>
      <c r="T1238" s="1038"/>
      <c r="U1238" s="1038"/>
      <c r="V1238" s="1038"/>
      <c r="W1238" s="1038"/>
      <c r="X1238" s="1038"/>
      <c r="Y1238" s="1038"/>
    </row>
    <row r="1239" spans="1:25" x14ac:dyDescent="0.2">
      <c r="A1239" s="1037"/>
      <c r="B1239" s="1037"/>
      <c r="C1239" s="1037"/>
      <c r="D1239" s="1037"/>
      <c r="E1239" s="1037"/>
      <c r="R1239" s="1038"/>
      <c r="S1239" s="1038"/>
      <c r="T1239" s="1038"/>
      <c r="U1239" s="1038"/>
      <c r="V1239" s="1038"/>
      <c r="W1239" s="1038"/>
      <c r="X1239" s="1038"/>
      <c r="Y1239" s="1038"/>
    </row>
    <row r="1240" spans="1:25" x14ac:dyDescent="0.2">
      <c r="A1240" s="1037"/>
      <c r="B1240" s="1037"/>
      <c r="C1240" s="1037"/>
      <c r="D1240" s="1037"/>
      <c r="E1240" s="1037"/>
      <c r="R1240" s="1038"/>
      <c r="S1240" s="1038"/>
      <c r="T1240" s="1038"/>
      <c r="U1240" s="1038"/>
      <c r="V1240" s="1038"/>
      <c r="W1240" s="1038"/>
      <c r="X1240" s="1038"/>
      <c r="Y1240" s="1038"/>
    </row>
    <row r="1241" spans="1:25" x14ac:dyDescent="0.2">
      <c r="A1241" s="1037"/>
      <c r="B1241" s="1037"/>
      <c r="C1241" s="1037"/>
      <c r="D1241" s="1037"/>
      <c r="E1241" s="1037"/>
      <c r="R1241" s="1038"/>
      <c r="S1241" s="1038"/>
      <c r="T1241" s="1038"/>
      <c r="U1241" s="1038"/>
      <c r="V1241" s="1038"/>
      <c r="W1241" s="1038"/>
      <c r="X1241" s="1038"/>
      <c r="Y1241" s="1038"/>
    </row>
    <row r="1242" spans="1:25" x14ac:dyDescent="0.2">
      <c r="A1242" s="1037"/>
      <c r="B1242" s="1037"/>
      <c r="C1242" s="1037"/>
      <c r="D1242" s="1037"/>
      <c r="E1242" s="1037"/>
      <c r="R1242" s="1038"/>
      <c r="S1242" s="1038"/>
      <c r="T1242" s="1038"/>
      <c r="U1242" s="1038"/>
      <c r="V1242" s="1038"/>
      <c r="W1242" s="1038"/>
      <c r="X1242" s="1038"/>
      <c r="Y1242" s="1038"/>
    </row>
    <row r="1243" spans="1:25" x14ac:dyDescent="0.2">
      <c r="A1243" s="1037"/>
      <c r="B1243" s="1037"/>
      <c r="C1243" s="1037"/>
      <c r="D1243" s="1037"/>
      <c r="E1243" s="1037"/>
      <c r="R1243" s="1038"/>
      <c r="S1243" s="1038"/>
      <c r="T1243" s="1038"/>
      <c r="U1243" s="1038"/>
      <c r="V1243" s="1038"/>
      <c r="W1243" s="1038"/>
      <c r="X1243" s="1038"/>
      <c r="Y1243" s="1038"/>
    </row>
    <row r="1244" spans="1:25" x14ac:dyDescent="0.2">
      <c r="A1244" s="1037"/>
      <c r="B1244" s="1037"/>
      <c r="C1244" s="1037"/>
      <c r="D1244" s="1037"/>
      <c r="E1244" s="1037"/>
      <c r="R1244" s="1038"/>
      <c r="S1244" s="1038"/>
      <c r="T1244" s="1038"/>
      <c r="U1244" s="1038"/>
      <c r="V1244" s="1038"/>
      <c r="W1244" s="1038"/>
      <c r="X1244" s="1038"/>
      <c r="Y1244" s="1038"/>
    </row>
    <row r="1245" spans="1:25" x14ac:dyDescent="0.2">
      <c r="A1245" s="1037"/>
      <c r="B1245" s="1037"/>
      <c r="C1245" s="1037"/>
      <c r="D1245" s="1037"/>
      <c r="E1245" s="1037"/>
      <c r="R1245" s="1038"/>
      <c r="S1245" s="1038"/>
      <c r="T1245" s="1038"/>
      <c r="U1245" s="1038"/>
      <c r="V1245" s="1038"/>
      <c r="W1245" s="1038"/>
      <c r="X1245" s="1038"/>
      <c r="Y1245" s="1038"/>
    </row>
    <row r="1246" spans="1:25" x14ac:dyDescent="0.2">
      <c r="A1246" s="1037"/>
      <c r="B1246" s="1037"/>
      <c r="C1246" s="1037"/>
      <c r="D1246" s="1037"/>
      <c r="E1246" s="1037"/>
      <c r="R1246" s="1038"/>
      <c r="S1246" s="1038"/>
      <c r="T1246" s="1038"/>
      <c r="U1246" s="1038"/>
      <c r="V1246" s="1038"/>
      <c r="W1246" s="1038"/>
      <c r="X1246" s="1038"/>
      <c r="Y1246" s="1038"/>
    </row>
    <row r="1247" spans="1:25" x14ac:dyDescent="0.2">
      <c r="A1247" s="1037"/>
      <c r="B1247" s="1037"/>
      <c r="C1247" s="1037"/>
      <c r="D1247" s="1037"/>
      <c r="E1247" s="1037"/>
      <c r="R1247" s="1038"/>
      <c r="S1247" s="1038"/>
      <c r="T1247" s="1038"/>
      <c r="U1247" s="1038"/>
      <c r="V1247" s="1038"/>
      <c r="W1247" s="1038"/>
      <c r="X1247" s="1038"/>
      <c r="Y1247" s="1038"/>
    </row>
    <row r="1248" spans="1:25" x14ac:dyDescent="0.2">
      <c r="A1248" s="1037"/>
      <c r="B1248" s="1037"/>
      <c r="C1248" s="1037"/>
      <c r="D1248" s="1037"/>
      <c r="E1248" s="1037"/>
      <c r="R1248" s="1038"/>
      <c r="S1248" s="1038"/>
      <c r="T1248" s="1038"/>
      <c r="U1248" s="1038"/>
      <c r="V1248" s="1038"/>
      <c r="W1248" s="1038"/>
      <c r="X1248" s="1038"/>
      <c r="Y1248" s="1038"/>
    </row>
    <row r="1249" spans="1:25" x14ac:dyDescent="0.2">
      <c r="A1249" s="1037"/>
      <c r="B1249" s="1037"/>
      <c r="C1249" s="1037"/>
      <c r="D1249" s="1037"/>
      <c r="E1249" s="1037"/>
      <c r="R1249" s="1038"/>
      <c r="S1249" s="1038"/>
      <c r="T1249" s="1038"/>
      <c r="U1249" s="1038"/>
      <c r="V1249" s="1038"/>
      <c r="W1249" s="1038"/>
      <c r="X1249" s="1038"/>
      <c r="Y1249" s="1038"/>
    </row>
    <row r="1250" spans="1:25" x14ac:dyDescent="0.2">
      <c r="A1250" s="1037"/>
      <c r="B1250" s="1037"/>
      <c r="C1250" s="1037"/>
      <c r="D1250" s="1037"/>
      <c r="E1250" s="1037"/>
      <c r="R1250" s="1038"/>
      <c r="S1250" s="1038"/>
      <c r="T1250" s="1038"/>
      <c r="U1250" s="1038"/>
      <c r="V1250" s="1038"/>
      <c r="W1250" s="1038"/>
      <c r="X1250" s="1038"/>
      <c r="Y1250" s="1038"/>
    </row>
    <row r="1251" spans="1:25" x14ac:dyDescent="0.2">
      <c r="A1251" s="1037"/>
      <c r="B1251" s="1037"/>
      <c r="C1251" s="1037"/>
      <c r="D1251" s="1037"/>
      <c r="E1251" s="1037"/>
      <c r="R1251" s="1038"/>
      <c r="S1251" s="1038"/>
      <c r="T1251" s="1038"/>
      <c r="U1251" s="1038"/>
      <c r="V1251" s="1038"/>
      <c r="W1251" s="1038"/>
      <c r="X1251" s="1038"/>
      <c r="Y1251" s="1038"/>
    </row>
    <row r="1252" spans="1:25" x14ac:dyDescent="0.2">
      <c r="A1252" s="1037"/>
      <c r="B1252" s="1037"/>
      <c r="C1252" s="1037"/>
      <c r="D1252" s="1037"/>
      <c r="E1252" s="1037"/>
      <c r="R1252" s="1038"/>
      <c r="S1252" s="1038"/>
      <c r="T1252" s="1038"/>
      <c r="U1252" s="1038"/>
      <c r="V1252" s="1038"/>
      <c r="W1252" s="1038"/>
      <c r="X1252" s="1038"/>
      <c r="Y1252" s="1038"/>
    </row>
    <row r="1253" spans="1:25" x14ac:dyDescent="0.2">
      <c r="A1253" s="1037"/>
      <c r="B1253" s="1037"/>
      <c r="C1253" s="1037"/>
      <c r="D1253" s="1037"/>
      <c r="E1253" s="1037"/>
      <c r="R1253" s="1038"/>
      <c r="S1253" s="1038"/>
      <c r="T1253" s="1038"/>
      <c r="U1253" s="1038"/>
      <c r="V1253" s="1038"/>
      <c r="W1253" s="1038"/>
      <c r="X1253" s="1038"/>
      <c r="Y1253" s="1038"/>
    </row>
    <row r="1254" spans="1:25" x14ac:dyDescent="0.2">
      <c r="A1254" s="1037"/>
      <c r="B1254" s="1037"/>
      <c r="C1254" s="1037"/>
      <c r="D1254" s="1037"/>
      <c r="E1254" s="1037"/>
      <c r="R1254" s="1038"/>
      <c r="S1254" s="1038"/>
      <c r="T1254" s="1038"/>
      <c r="U1254" s="1038"/>
      <c r="V1254" s="1038"/>
      <c r="W1254" s="1038"/>
      <c r="X1254" s="1038"/>
      <c r="Y1254" s="1038"/>
    </row>
    <row r="1255" spans="1:25" x14ac:dyDescent="0.2">
      <c r="A1255" s="1037"/>
      <c r="B1255" s="1037"/>
      <c r="C1255" s="1037"/>
      <c r="D1255" s="1037"/>
      <c r="E1255" s="1037"/>
      <c r="R1255" s="1038"/>
      <c r="S1255" s="1038"/>
      <c r="T1255" s="1038"/>
      <c r="U1255" s="1038"/>
      <c r="V1255" s="1038"/>
      <c r="W1255" s="1038"/>
      <c r="X1255" s="1038"/>
      <c r="Y1255" s="1038"/>
    </row>
    <row r="1256" spans="1:25" x14ac:dyDescent="0.2">
      <c r="A1256" s="1037"/>
      <c r="B1256" s="1037"/>
      <c r="C1256" s="1037"/>
      <c r="D1256" s="1037"/>
      <c r="E1256" s="1037"/>
      <c r="R1256" s="1038"/>
      <c r="S1256" s="1038"/>
      <c r="T1256" s="1038"/>
      <c r="U1256" s="1038"/>
      <c r="V1256" s="1038"/>
      <c r="W1256" s="1038"/>
      <c r="X1256" s="1038"/>
      <c r="Y1256" s="1038"/>
    </row>
    <row r="1257" spans="1:25" x14ac:dyDescent="0.2">
      <c r="A1257" s="1037"/>
      <c r="B1257" s="1037"/>
      <c r="C1257" s="1037"/>
      <c r="D1257" s="1037"/>
      <c r="E1257" s="1037"/>
      <c r="R1257" s="1038"/>
      <c r="S1257" s="1038"/>
      <c r="T1257" s="1038"/>
      <c r="U1257" s="1038"/>
      <c r="V1257" s="1038"/>
      <c r="W1257" s="1038"/>
      <c r="X1257" s="1038"/>
      <c r="Y1257" s="1038"/>
    </row>
    <row r="1258" spans="1:25" x14ac:dyDescent="0.2">
      <c r="A1258" s="1037"/>
      <c r="B1258" s="1037"/>
      <c r="C1258" s="1037"/>
      <c r="D1258" s="1037"/>
      <c r="E1258" s="1037"/>
      <c r="R1258" s="1038"/>
      <c r="S1258" s="1038"/>
      <c r="T1258" s="1038"/>
      <c r="U1258" s="1038"/>
      <c r="V1258" s="1038"/>
      <c r="W1258" s="1038"/>
      <c r="X1258" s="1038"/>
      <c r="Y1258" s="1038"/>
    </row>
    <row r="1259" spans="1:25" x14ac:dyDescent="0.2">
      <c r="A1259" s="1037"/>
      <c r="B1259" s="1037"/>
      <c r="C1259" s="1037"/>
      <c r="D1259" s="1037"/>
      <c r="E1259" s="1037"/>
      <c r="R1259" s="1038"/>
      <c r="S1259" s="1038"/>
      <c r="T1259" s="1038"/>
      <c r="U1259" s="1038"/>
      <c r="V1259" s="1038"/>
      <c r="W1259" s="1038"/>
      <c r="X1259" s="1038"/>
      <c r="Y1259" s="1038"/>
    </row>
    <row r="1260" spans="1:25" x14ac:dyDescent="0.2">
      <c r="A1260" s="1037"/>
      <c r="B1260" s="1037"/>
      <c r="C1260" s="1037"/>
      <c r="D1260" s="1037"/>
      <c r="E1260" s="1037"/>
      <c r="R1260" s="1038"/>
      <c r="S1260" s="1038"/>
      <c r="T1260" s="1038"/>
      <c r="U1260" s="1038"/>
      <c r="V1260" s="1038"/>
      <c r="W1260" s="1038"/>
      <c r="X1260" s="1038"/>
      <c r="Y1260" s="1038"/>
    </row>
    <row r="1261" spans="1:25" x14ac:dyDescent="0.2">
      <c r="A1261" s="1037"/>
      <c r="B1261" s="1037"/>
      <c r="C1261" s="1037"/>
      <c r="D1261" s="1037"/>
      <c r="E1261" s="1037"/>
      <c r="R1261" s="1038"/>
      <c r="S1261" s="1038"/>
      <c r="T1261" s="1038"/>
      <c r="U1261" s="1038"/>
      <c r="V1261" s="1038"/>
      <c r="W1261" s="1038"/>
      <c r="X1261" s="1038"/>
      <c r="Y1261" s="1038"/>
    </row>
    <row r="1262" spans="1:25" x14ac:dyDescent="0.2">
      <c r="A1262" s="1037"/>
      <c r="B1262" s="1037"/>
      <c r="C1262" s="1037"/>
      <c r="D1262" s="1037"/>
      <c r="E1262" s="1037"/>
      <c r="R1262" s="1038"/>
      <c r="S1262" s="1038"/>
      <c r="T1262" s="1038"/>
      <c r="U1262" s="1038"/>
      <c r="V1262" s="1038"/>
      <c r="W1262" s="1038"/>
      <c r="X1262" s="1038"/>
      <c r="Y1262" s="1038"/>
    </row>
    <row r="1263" spans="1:25" x14ac:dyDescent="0.2">
      <c r="A1263" s="1037"/>
      <c r="B1263" s="1037"/>
      <c r="C1263" s="1037"/>
      <c r="D1263" s="1037"/>
      <c r="E1263" s="1037"/>
      <c r="R1263" s="1038"/>
      <c r="S1263" s="1038"/>
      <c r="T1263" s="1038"/>
      <c r="U1263" s="1038"/>
      <c r="V1263" s="1038"/>
      <c r="W1263" s="1038"/>
      <c r="X1263" s="1038"/>
      <c r="Y1263" s="1038"/>
    </row>
    <row r="1264" spans="1:25" x14ac:dyDescent="0.2">
      <c r="A1264" s="1037"/>
      <c r="B1264" s="1037"/>
      <c r="C1264" s="1037"/>
      <c r="D1264" s="1037"/>
      <c r="E1264" s="1037"/>
      <c r="R1264" s="1038"/>
      <c r="S1264" s="1038"/>
      <c r="T1264" s="1038"/>
      <c r="U1264" s="1038"/>
      <c r="V1264" s="1038"/>
      <c r="W1264" s="1038"/>
      <c r="X1264" s="1038"/>
      <c r="Y1264" s="1038"/>
    </row>
    <row r="1265" spans="1:25" x14ac:dyDescent="0.2">
      <c r="A1265" s="1037"/>
      <c r="B1265" s="1037"/>
      <c r="C1265" s="1037"/>
      <c r="D1265" s="1037"/>
      <c r="E1265" s="1037"/>
      <c r="R1265" s="1038"/>
      <c r="S1265" s="1038"/>
      <c r="T1265" s="1038"/>
      <c r="U1265" s="1038"/>
      <c r="V1265" s="1038"/>
      <c r="W1265" s="1038"/>
      <c r="X1265" s="1038"/>
      <c r="Y1265" s="1038"/>
    </row>
    <row r="1266" spans="1:25" x14ac:dyDescent="0.2">
      <c r="A1266" s="1037"/>
      <c r="B1266" s="1037"/>
      <c r="C1266" s="1037"/>
      <c r="D1266" s="1037"/>
      <c r="E1266" s="1037"/>
      <c r="R1266" s="1038"/>
      <c r="S1266" s="1038"/>
      <c r="T1266" s="1038"/>
      <c r="U1266" s="1038"/>
      <c r="V1266" s="1038"/>
      <c r="W1266" s="1038"/>
      <c r="X1266" s="1038"/>
      <c r="Y1266" s="1038"/>
    </row>
    <row r="1267" spans="1:25" x14ac:dyDescent="0.2">
      <c r="A1267" s="1037"/>
      <c r="B1267" s="1037"/>
      <c r="C1267" s="1037"/>
      <c r="D1267" s="1037"/>
      <c r="E1267" s="1037"/>
      <c r="R1267" s="1038"/>
      <c r="S1267" s="1038"/>
      <c r="T1267" s="1038"/>
      <c r="U1267" s="1038"/>
      <c r="V1267" s="1038"/>
      <c r="W1267" s="1038"/>
      <c r="X1267" s="1038"/>
      <c r="Y1267" s="1038"/>
    </row>
    <row r="1268" spans="1:25" x14ac:dyDescent="0.2">
      <c r="A1268" s="1037"/>
      <c r="B1268" s="1037"/>
      <c r="C1268" s="1037"/>
      <c r="D1268" s="1037"/>
      <c r="E1268" s="1037"/>
      <c r="R1268" s="1038"/>
      <c r="S1268" s="1038"/>
      <c r="T1268" s="1038"/>
      <c r="U1268" s="1038"/>
      <c r="V1268" s="1038"/>
      <c r="W1268" s="1038"/>
      <c r="X1268" s="1038"/>
      <c r="Y1268" s="1038"/>
    </row>
    <row r="1269" spans="1:25" x14ac:dyDescent="0.2">
      <c r="A1269" s="1037"/>
      <c r="B1269" s="1037"/>
      <c r="C1269" s="1037"/>
      <c r="D1269" s="1037"/>
      <c r="E1269" s="1037"/>
      <c r="R1269" s="1038"/>
      <c r="S1269" s="1038"/>
      <c r="T1269" s="1038"/>
      <c r="U1269" s="1038"/>
      <c r="V1269" s="1038"/>
      <c r="W1269" s="1038"/>
      <c r="X1269" s="1038"/>
      <c r="Y1269" s="1038"/>
    </row>
    <row r="1270" spans="1:25" x14ac:dyDescent="0.2">
      <c r="A1270" s="1037"/>
      <c r="B1270" s="1037"/>
      <c r="C1270" s="1037"/>
      <c r="D1270" s="1037"/>
      <c r="E1270" s="1037"/>
      <c r="R1270" s="1038"/>
      <c r="S1270" s="1038"/>
      <c r="T1270" s="1038"/>
      <c r="U1270" s="1038"/>
      <c r="V1270" s="1038"/>
      <c r="W1270" s="1038"/>
      <c r="X1270" s="1038"/>
      <c r="Y1270" s="1038"/>
    </row>
    <row r="1271" spans="1:25" x14ac:dyDescent="0.2">
      <c r="A1271" s="1037"/>
      <c r="B1271" s="1037"/>
      <c r="C1271" s="1037"/>
      <c r="D1271" s="1037"/>
      <c r="E1271" s="1037"/>
      <c r="R1271" s="1038"/>
      <c r="S1271" s="1038"/>
      <c r="T1271" s="1038"/>
      <c r="U1271" s="1038"/>
      <c r="V1271" s="1038"/>
      <c r="W1271" s="1038"/>
      <c r="X1271" s="1038"/>
      <c r="Y1271" s="1038"/>
    </row>
    <row r="1272" spans="1:25" x14ac:dyDescent="0.2">
      <c r="A1272" s="1037"/>
      <c r="B1272" s="1037"/>
      <c r="C1272" s="1037"/>
      <c r="D1272" s="1037"/>
      <c r="E1272" s="1037"/>
      <c r="R1272" s="1038"/>
      <c r="S1272" s="1038"/>
      <c r="T1272" s="1038"/>
      <c r="U1272" s="1038"/>
      <c r="V1272" s="1038"/>
      <c r="W1272" s="1038"/>
      <c r="X1272" s="1038"/>
      <c r="Y1272" s="1038"/>
    </row>
    <row r="1273" spans="1:25" x14ac:dyDescent="0.2">
      <c r="A1273" s="1037"/>
      <c r="B1273" s="1037"/>
      <c r="C1273" s="1037"/>
      <c r="D1273" s="1037"/>
      <c r="E1273" s="1037"/>
      <c r="R1273" s="1038"/>
      <c r="S1273" s="1038"/>
      <c r="T1273" s="1038"/>
      <c r="U1273" s="1038"/>
      <c r="V1273" s="1038"/>
      <c r="W1273" s="1038"/>
      <c r="X1273" s="1038"/>
      <c r="Y1273" s="1038"/>
    </row>
    <row r="1274" spans="1:25" x14ac:dyDescent="0.2">
      <c r="A1274" s="1037"/>
      <c r="B1274" s="1037"/>
      <c r="C1274" s="1037"/>
      <c r="D1274" s="1037"/>
      <c r="E1274" s="1037"/>
      <c r="R1274" s="1038"/>
      <c r="S1274" s="1038"/>
      <c r="T1274" s="1038"/>
      <c r="U1274" s="1038"/>
      <c r="V1274" s="1038"/>
      <c r="W1274" s="1038"/>
      <c r="X1274" s="1038"/>
      <c r="Y1274" s="1038"/>
    </row>
    <row r="1275" spans="1:25" x14ac:dyDescent="0.2">
      <c r="A1275" s="1037"/>
      <c r="B1275" s="1037"/>
      <c r="C1275" s="1037"/>
      <c r="D1275" s="1037"/>
      <c r="E1275" s="1037"/>
      <c r="R1275" s="1038"/>
      <c r="S1275" s="1038"/>
      <c r="T1275" s="1038"/>
      <c r="U1275" s="1038"/>
      <c r="V1275" s="1038"/>
      <c r="W1275" s="1038"/>
      <c r="X1275" s="1038"/>
      <c r="Y1275" s="1038"/>
    </row>
    <row r="1276" spans="1:25" x14ac:dyDescent="0.2">
      <c r="A1276" s="1037"/>
      <c r="B1276" s="1037"/>
      <c r="C1276" s="1037"/>
      <c r="D1276" s="1037"/>
      <c r="E1276" s="1037"/>
      <c r="R1276" s="1038"/>
      <c r="S1276" s="1038"/>
      <c r="T1276" s="1038"/>
      <c r="U1276" s="1038"/>
      <c r="V1276" s="1038"/>
      <c r="W1276" s="1038"/>
      <c r="X1276" s="1038"/>
      <c r="Y1276" s="1038"/>
    </row>
    <row r="1277" spans="1:25" x14ac:dyDescent="0.2">
      <c r="A1277" s="1037"/>
      <c r="B1277" s="1037"/>
      <c r="C1277" s="1037"/>
      <c r="D1277" s="1037"/>
      <c r="E1277" s="1037"/>
      <c r="R1277" s="1038"/>
      <c r="S1277" s="1038"/>
      <c r="T1277" s="1038"/>
      <c r="U1277" s="1038"/>
      <c r="V1277" s="1038"/>
      <c r="W1277" s="1038"/>
      <c r="X1277" s="1038"/>
      <c r="Y1277" s="1038"/>
    </row>
    <row r="1278" spans="1:25" x14ac:dyDescent="0.2">
      <c r="A1278" s="1037"/>
      <c r="B1278" s="1037"/>
      <c r="C1278" s="1037"/>
      <c r="D1278" s="1037"/>
      <c r="E1278" s="1037"/>
      <c r="R1278" s="1038"/>
      <c r="S1278" s="1038"/>
      <c r="T1278" s="1038"/>
      <c r="U1278" s="1038"/>
      <c r="V1278" s="1038"/>
      <c r="W1278" s="1038"/>
      <c r="X1278" s="1038"/>
      <c r="Y1278" s="1038"/>
    </row>
    <row r="1279" spans="1:25" x14ac:dyDescent="0.2">
      <c r="A1279" s="1037"/>
      <c r="B1279" s="1037"/>
      <c r="C1279" s="1037"/>
      <c r="D1279" s="1037"/>
      <c r="E1279" s="1037"/>
      <c r="R1279" s="1038"/>
      <c r="S1279" s="1038"/>
      <c r="T1279" s="1038"/>
      <c r="U1279" s="1038"/>
      <c r="V1279" s="1038"/>
      <c r="W1279" s="1038"/>
      <c r="X1279" s="1038"/>
      <c r="Y1279" s="1038"/>
    </row>
    <row r="1280" spans="1:25" x14ac:dyDescent="0.2">
      <c r="A1280" s="1037"/>
      <c r="B1280" s="1037"/>
      <c r="C1280" s="1037"/>
      <c r="D1280" s="1037"/>
      <c r="E1280" s="1037"/>
      <c r="R1280" s="1038"/>
      <c r="S1280" s="1038"/>
      <c r="T1280" s="1038"/>
      <c r="U1280" s="1038"/>
      <c r="V1280" s="1038"/>
      <c r="W1280" s="1038"/>
      <c r="X1280" s="1038"/>
      <c r="Y1280" s="1038"/>
    </row>
    <row r="1281" spans="1:25" x14ac:dyDescent="0.2">
      <c r="A1281" s="1037"/>
      <c r="B1281" s="1037"/>
      <c r="C1281" s="1037"/>
      <c r="D1281" s="1037"/>
      <c r="E1281" s="1037"/>
      <c r="R1281" s="1038"/>
      <c r="S1281" s="1038"/>
      <c r="T1281" s="1038"/>
      <c r="U1281" s="1038"/>
      <c r="V1281" s="1038"/>
      <c r="W1281" s="1038"/>
      <c r="X1281" s="1038"/>
      <c r="Y1281" s="1038"/>
    </row>
    <row r="1282" spans="1:25" x14ac:dyDescent="0.2">
      <c r="A1282" s="1037"/>
      <c r="B1282" s="1037"/>
      <c r="C1282" s="1037"/>
      <c r="D1282" s="1037"/>
      <c r="E1282" s="1037"/>
      <c r="R1282" s="1038"/>
      <c r="S1282" s="1038"/>
      <c r="T1282" s="1038"/>
      <c r="U1282" s="1038"/>
      <c r="V1282" s="1038"/>
      <c r="W1282" s="1038"/>
      <c r="X1282" s="1038"/>
      <c r="Y1282" s="1038"/>
    </row>
    <row r="1283" spans="1:25" x14ac:dyDescent="0.2">
      <c r="A1283" s="1037"/>
      <c r="B1283" s="1037"/>
      <c r="C1283" s="1037"/>
      <c r="D1283" s="1037"/>
      <c r="E1283" s="1037"/>
      <c r="R1283" s="1038"/>
      <c r="S1283" s="1038"/>
      <c r="T1283" s="1038"/>
      <c r="U1283" s="1038"/>
      <c r="V1283" s="1038"/>
      <c r="W1283" s="1038"/>
      <c r="X1283" s="1038"/>
      <c r="Y1283" s="1038"/>
    </row>
    <row r="1284" spans="1:25" x14ac:dyDescent="0.2">
      <c r="A1284" s="1037"/>
      <c r="B1284" s="1037"/>
      <c r="C1284" s="1037"/>
      <c r="D1284" s="1037"/>
      <c r="E1284" s="1037"/>
      <c r="R1284" s="1038"/>
      <c r="S1284" s="1038"/>
      <c r="T1284" s="1038"/>
      <c r="U1284" s="1038"/>
      <c r="V1284" s="1038"/>
      <c r="W1284" s="1038"/>
      <c r="X1284" s="1038"/>
      <c r="Y1284" s="1038"/>
    </row>
    <row r="1285" spans="1:25" x14ac:dyDescent="0.2">
      <c r="A1285" s="1037"/>
      <c r="B1285" s="1037"/>
      <c r="C1285" s="1037"/>
      <c r="D1285" s="1037"/>
      <c r="E1285" s="1037"/>
      <c r="R1285" s="1038"/>
      <c r="S1285" s="1038"/>
      <c r="T1285" s="1038"/>
      <c r="U1285" s="1038"/>
      <c r="V1285" s="1038"/>
      <c r="W1285" s="1038"/>
      <c r="X1285" s="1038"/>
      <c r="Y1285" s="1038"/>
    </row>
    <row r="1286" spans="1:25" x14ac:dyDescent="0.2">
      <c r="A1286" s="1037"/>
      <c r="B1286" s="1037"/>
      <c r="C1286" s="1037"/>
      <c r="D1286" s="1037"/>
      <c r="E1286" s="1037"/>
      <c r="R1286" s="1038"/>
      <c r="S1286" s="1038"/>
      <c r="T1286" s="1038"/>
      <c r="U1286" s="1038"/>
      <c r="V1286" s="1038"/>
      <c r="W1286" s="1038"/>
      <c r="X1286" s="1038"/>
      <c r="Y1286" s="1038"/>
    </row>
    <row r="1287" spans="1:25" x14ac:dyDescent="0.2">
      <c r="A1287" s="1037"/>
      <c r="B1287" s="1037"/>
      <c r="C1287" s="1037"/>
      <c r="D1287" s="1037"/>
      <c r="E1287" s="1037"/>
      <c r="R1287" s="1038"/>
      <c r="S1287" s="1038"/>
      <c r="T1287" s="1038"/>
      <c r="U1287" s="1038"/>
      <c r="V1287" s="1038"/>
      <c r="W1287" s="1038"/>
      <c r="X1287" s="1038"/>
      <c r="Y1287" s="1038"/>
    </row>
    <row r="1288" spans="1:25" x14ac:dyDescent="0.2">
      <c r="A1288" s="1037"/>
      <c r="B1288" s="1037"/>
      <c r="C1288" s="1037"/>
      <c r="D1288" s="1037"/>
      <c r="E1288" s="1037"/>
      <c r="R1288" s="1038"/>
      <c r="S1288" s="1038"/>
      <c r="T1288" s="1038"/>
      <c r="U1288" s="1038"/>
      <c r="V1288" s="1038"/>
      <c r="W1288" s="1038"/>
      <c r="X1288" s="1038"/>
      <c r="Y1288" s="1038"/>
    </row>
    <row r="1289" spans="1:25" x14ac:dyDescent="0.2">
      <c r="A1289" s="1037"/>
      <c r="B1289" s="1037"/>
      <c r="C1289" s="1037"/>
      <c r="D1289" s="1037"/>
      <c r="E1289" s="1037"/>
      <c r="R1289" s="1038"/>
      <c r="S1289" s="1038"/>
      <c r="T1289" s="1038"/>
      <c r="U1289" s="1038"/>
      <c r="V1289" s="1038"/>
      <c r="W1289" s="1038"/>
      <c r="X1289" s="1038"/>
      <c r="Y1289" s="1038"/>
    </row>
    <row r="1290" spans="1:25" x14ac:dyDescent="0.2">
      <c r="A1290" s="1037"/>
      <c r="B1290" s="1037"/>
      <c r="C1290" s="1037"/>
      <c r="D1290" s="1037"/>
      <c r="E1290" s="1037"/>
      <c r="R1290" s="1038"/>
      <c r="S1290" s="1038"/>
      <c r="T1290" s="1038"/>
      <c r="U1290" s="1038"/>
      <c r="V1290" s="1038"/>
      <c r="W1290" s="1038"/>
      <c r="X1290" s="1038"/>
      <c r="Y1290" s="1038"/>
    </row>
    <row r="1291" spans="1:25" x14ac:dyDescent="0.2">
      <c r="A1291" s="1037"/>
      <c r="B1291" s="1037"/>
      <c r="C1291" s="1037"/>
      <c r="D1291" s="1037"/>
      <c r="E1291" s="1037"/>
      <c r="R1291" s="1038"/>
      <c r="S1291" s="1038"/>
      <c r="T1291" s="1038"/>
      <c r="U1291" s="1038"/>
      <c r="V1291" s="1038"/>
      <c r="W1291" s="1038"/>
      <c r="X1291" s="1038"/>
      <c r="Y1291" s="1038"/>
    </row>
    <row r="1292" spans="1:25" x14ac:dyDescent="0.2">
      <c r="A1292" s="1037"/>
      <c r="B1292" s="1037"/>
      <c r="C1292" s="1037"/>
      <c r="D1292" s="1037"/>
      <c r="E1292" s="1037"/>
      <c r="R1292" s="1038"/>
      <c r="S1292" s="1038"/>
      <c r="T1292" s="1038"/>
      <c r="U1292" s="1038"/>
      <c r="V1292" s="1038"/>
      <c r="W1292" s="1038"/>
      <c r="X1292" s="1038"/>
      <c r="Y1292" s="1038"/>
    </row>
    <row r="1293" spans="1:25" x14ac:dyDescent="0.2">
      <c r="A1293" s="1037"/>
      <c r="B1293" s="1037"/>
      <c r="C1293" s="1037"/>
      <c r="D1293" s="1037"/>
      <c r="E1293" s="1037"/>
      <c r="R1293" s="1038"/>
      <c r="S1293" s="1038"/>
      <c r="T1293" s="1038"/>
      <c r="U1293" s="1038"/>
      <c r="V1293" s="1038"/>
      <c r="W1293" s="1038"/>
      <c r="X1293" s="1038"/>
      <c r="Y1293" s="1038"/>
    </row>
    <row r="1294" spans="1:25" x14ac:dyDescent="0.2">
      <c r="A1294" s="1037"/>
      <c r="B1294" s="1037"/>
      <c r="C1294" s="1037"/>
      <c r="D1294" s="1037"/>
      <c r="E1294" s="1037"/>
      <c r="R1294" s="1038"/>
      <c r="S1294" s="1038"/>
      <c r="T1294" s="1038"/>
      <c r="U1294" s="1038"/>
      <c r="V1294" s="1038"/>
      <c r="W1294" s="1038"/>
      <c r="X1294" s="1038"/>
      <c r="Y1294" s="1038"/>
    </row>
    <row r="1295" spans="1:25" x14ac:dyDescent="0.2">
      <c r="A1295" s="1037"/>
      <c r="B1295" s="1037"/>
      <c r="C1295" s="1037"/>
      <c r="D1295" s="1037"/>
      <c r="E1295" s="1037"/>
      <c r="R1295" s="1038"/>
      <c r="S1295" s="1038"/>
      <c r="T1295" s="1038"/>
      <c r="U1295" s="1038"/>
      <c r="V1295" s="1038"/>
      <c r="W1295" s="1038"/>
      <c r="X1295" s="1038"/>
      <c r="Y1295" s="1038"/>
    </row>
    <row r="1296" spans="1:25" x14ac:dyDescent="0.2">
      <c r="A1296" s="1037"/>
      <c r="B1296" s="1037"/>
      <c r="C1296" s="1037"/>
      <c r="D1296" s="1037"/>
      <c r="E1296" s="1037"/>
      <c r="R1296" s="1038"/>
      <c r="S1296" s="1038"/>
      <c r="T1296" s="1038"/>
      <c r="U1296" s="1038"/>
      <c r="V1296" s="1038"/>
      <c r="W1296" s="1038"/>
      <c r="X1296" s="1038"/>
      <c r="Y1296" s="1038"/>
    </row>
    <row r="1297" spans="1:25" x14ac:dyDescent="0.2">
      <c r="A1297" s="1037"/>
      <c r="B1297" s="1037"/>
      <c r="C1297" s="1037"/>
      <c r="D1297" s="1037"/>
      <c r="E1297" s="1037"/>
      <c r="R1297" s="1038"/>
      <c r="S1297" s="1038"/>
      <c r="T1297" s="1038"/>
      <c r="U1297" s="1038"/>
      <c r="V1297" s="1038"/>
      <c r="W1297" s="1038"/>
      <c r="X1297" s="1038"/>
      <c r="Y1297" s="1038"/>
    </row>
    <row r="1298" spans="1:25" x14ac:dyDescent="0.2">
      <c r="A1298" s="1037"/>
      <c r="B1298" s="1037"/>
      <c r="C1298" s="1037"/>
      <c r="D1298" s="1037"/>
      <c r="E1298" s="1037"/>
      <c r="R1298" s="1038"/>
      <c r="S1298" s="1038"/>
      <c r="T1298" s="1038"/>
      <c r="U1298" s="1038"/>
      <c r="V1298" s="1038"/>
      <c r="W1298" s="1038"/>
      <c r="X1298" s="1038"/>
      <c r="Y1298" s="1038"/>
    </row>
    <row r="1299" spans="1:25" x14ac:dyDescent="0.2">
      <c r="A1299" s="1037"/>
      <c r="B1299" s="1037"/>
      <c r="C1299" s="1037"/>
      <c r="D1299" s="1037"/>
      <c r="E1299" s="1037"/>
      <c r="R1299" s="1038"/>
      <c r="S1299" s="1038"/>
      <c r="T1299" s="1038"/>
      <c r="U1299" s="1038"/>
      <c r="V1299" s="1038"/>
      <c r="W1299" s="1038"/>
      <c r="X1299" s="1038"/>
      <c r="Y1299" s="1038"/>
    </row>
    <row r="1300" spans="1:25" x14ac:dyDescent="0.2">
      <c r="A1300" s="1037"/>
      <c r="B1300" s="1037"/>
      <c r="C1300" s="1037"/>
      <c r="D1300" s="1037"/>
      <c r="E1300" s="1037"/>
      <c r="R1300" s="1038"/>
      <c r="S1300" s="1038"/>
      <c r="T1300" s="1038"/>
      <c r="U1300" s="1038"/>
      <c r="V1300" s="1038"/>
      <c r="W1300" s="1038"/>
      <c r="X1300" s="1038"/>
      <c r="Y1300" s="1038"/>
    </row>
    <row r="1301" spans="1:25" x14ac:dyDescent="0.2">
      <c r="A1301" s="1037"/>
      <c r="B1301" s="1037"/>
      <c r="C1301" s="1037"/>
      <c r="D1301" s="1037"/>
      <c r="E1301" s="1037"/>
      <c r="R1301" s="1038"/>
      <c r="S1301" s="1038"/>
      <c r="T1301" s="1038"/>
      <c r="U1301" s="1038"/>
      <c r="V1301" s="1038"/>
      <c r="W1301" s="1038"/>
      <c r="X1301" s="1038"/>
      <c r="Y1301" s="1038"/>
    </row>
    <row r="1302" spans="1:25" x14ac:dyDescent="0.2">
      <c r="A1302" s="1037"/>
      <c r="B1302" s="1037"/>
      <c r="C1302" s="1037"/>
      <c r="D1302" s="1037"/>
      <c r="E1302" s="1037"/>
      <c r="R1302" s="1038"/>
      <c r="S1302" s="1038"/>
      <c r="T1302" s="1038"/>
      <c r="U1302" s="1038"/>
      <c r="V1302" s="1038"/>
      <c r="W1302" s="1038"/>
      <c r="X1302" s="1038"/>
      <c r="Y1302" s="1038"/>
    </row>
    <row r="1303" spans="1:25" x14ac:dyDescent="0.2">
      <c r="A1303" s="1037"/>
      <c r="B1303" s="1037"/>
      <c r="C1303" s="1037"/>
      <c r="D1303" s="1037"/>
      <c r="E1303" s="1037"/>
      <c r="R1303" s="1038"/>
      <c r="S1303" s="1038"/>
      <c r="T1303" s="1038"/>
      <c r="U1303" s="1038"/>
      <c r="V1303" s="1038"/>
      <c r="W1303" s="1038"/>
      <c r="X1303" s="1038"/>
      <c r="Y1303" s="1038"/>
    </row>
    <row r="1304" spans="1:25" x14ac:dyDescent="0.2">
      <c r="A1304" s="1037"/>
      <c r="B1304" s="1037"/>
      <c r="C1304" s="1037"/>
      <c r="D1304" s="1037"/>
      <c r="E1304" s="1037"/>
      <c r="R1304" s="1038"/>
      <c r="S1304" s="1038"/>
      <c r="T1304" s="1038"/>
      <c r="U1304" s="1038"/>
      <c r="V1304" s="1038"/>
      <c r="W1304" s="1038"/>
      <c r="X1304" s="1038"/>
      <c r="Y1304" s="1038"/>
    </row>
    <row r="1305" spans="1:25" x14ac:dyDescent="0.2">
      <c r="A1305" s="1037"/>
      <c r="B1305" s="1037"/>
      <c r="C1305" s="1037"/>
      <c r="D1305" s="1037"/>
      <c r="E1305" s="1037"/>
      <c r="R1305" s="1038"/>
      <c r="S1305" s="1038"/>
      <c r="T1305" s="1038"/>
      <c r="U1305" s="1038"/>
      <c r="V1305" s="1038"/>
      <c r="W1305" s="1038"/>
      <c r="X1305" s="1038"/>
      <c r="Y1305" s="1038"/>
    </row>
    <row r="1306" spans="1:25" x14ac:dyDescent="0.2">
      <c r="A1306" s="1037"/>
      <c r="B1306" s="1037"/>
      <c r="C1306" s="1037"/>
      <c r="D1306" s="1037"/>
      <c r="E1306" s="1037"/>
      <c r="R1306" s="1038"/>
      <c r="S1306" s="1038"/>
      <c r="T1306" s="1038"/>
      <c r="U1306" s="1038"/>
      <c r="V1306" s="1038"/>
      <c r="W1306" s="1038"/>
      <c r="X1306" s="1038"/>
      <c r="Y1306" s="1038"/>
    </row>
    <row r="1307" spans="1:25" x14ac:dyDescent="0.2">
      <c r="A1307" s="1037"/>
      <c r="B1307" s="1037"/>
      <c r="C1307" s="1037"/>
      <c r="D1307" s="1037"/>
      <c r="E1307" s="1037"/>
      <c r="R1307" s="1038"/>
      <c r="S1307" s="1038"/>
      <c r="T1307" s="1038"/>
      <c r="U1307" s="1038"/>
      <c r="V1307" s="1038"/>
      <c r="W1307" s="1038"/>
      <c r="X1307" s="1038"/>
      <c r="Y1307" s="1038"/>
    </row>
    <row r="1308" spans="1:25" x14ac:dyDescent="0.2">
      <c r="A1308" s="1037"/>
      <c r="B1308" s="1037"/>
      <c r="C1308" s="1037"/>
      <c r="D1308" s="1037"/>
      <c r="E1308" s="1037"/>
      <c r="R1308" s="1038"/>
      <c r="S1308" s="1038"/>
      <c r="T1308" s="1038"/>
      <c r="U1308" s="1038"/>
      <c r="V1308" s="1038"/>
      <c r="W1308" s="1038"/>
      <c r="X1308" s="1038"/>
      <c r="Y1308" s="1038"/>
    </row>
    <row r="1309" spans="1:25" x14ac:dyDescent="0.2">
      <c r="A1309" s="1037"/>
      <c r="B1309" s="1037"/>
      <c r="C1309" s="1037"/>
      <c r="D1309" s="1037"/>
      <c r="E1309" s="1037"/>
      <c r="R1309" s="1038"/>
      <c r="S1309" s="1038"/>
      <c r="T1309" s="1038"/>
      <c r="U1309" s="1038"/>
      <c r="V1309" s="1038"/>
      <c r="W1309" s="1038"/>
      <c r="X1309" s="1038"/>
      <c r="Y1309" s="1038"/>
    </row>
    <row r="1310" spans="1:25" x14ac:dyDescent="0.2">
      <c r="A1310" s="1037"/>
      <c r="B1310" s="1037"/>
      <c r="C1310" s="1037"/>
      <c r="D1310" s="1037"/>
      <c r="E1310" s="1037"/>
      <c r="R1310" s="1038"/>
      <c r="S1310" s="1038"/>
      <c r="T1310" s="1038"/>
      <c r="U1310" s="1038"/>
      <c r="V1310" s="1038"/>
      <c r="W1310" s="1038"/>
      <c r="X1310" s="1038"/>
      <c r="Y1310" s="1038"/>
    </row>
    <row r="1311" spans="1:25" x14ac:dyDescent="0.2">
      <c r="A1311" s="1037"/>
      <c r="B1311" s="1037"/>
      <c r="C1311" s="1037"/>
      <c r="D1311" s="1037"/>
      <c r="E1311" s="1037"/>
      <c r="R1311" s="1038"/>
      <c r="S1311" s="1038"/>
      <c r="T1311" s="1038"/>
      <c r="U1311" s="1038"/>
      <c r="V1311" s="1038"/>
      <c r="W1311" s="1038"/>
      <c r="X1311" s="1038"/>
      <c r="Y1311" s="1038"/>
    </row>
    <row r="1312" spans="1:25" x14ac:dyDescent="0.2">
      <c r="A1312" s="1037"/>
      <c r="B1312" s="1037"/>
      <c r="C1312" s="1037"/>
      <c r="D1312" s="1037"/>
      <c r="E1312" s="1037"/>
      <c r="R1312" s="1038"/>
      <c r="S1312" s="1038"/>
      <c r="T1312" s="1038"/>
      <c r="U1312" s="1038"/>
      <c r="V1312" s="1038"/>
      <c r="W1312" s="1038"/>
      <c r="X1312" s="1038"/>
      <c r="Y1312" s="1038"/>
    </row>
    <row r="1313" spans="1:25" x14ac:dyDescent="0.2">
      <c r="A1313" s="1037"/>
      <c r="B1313" s="1037"/>
      <c r="C1313" s="1037"/>
      <c r="D1313" s="1037"/>
      <c r="E1313" s="1037"/>
      <c r="R1313" s="1038"/>
      <c r="S1313" s="1038"/>
      <c r="T1313" s="1038"/>
      <c r="U1313" s="1038"/>
      <c r="V1313" s="1038"/>
      <c r="W1313" s="1038"/>
      <c r="X1313" s="1038"/>
      <c r="Y1313" s="1038"/>
    </row>
    <row r="1314" spans="1:25" x14ac:dyDescent="0.2">
      <c r="A1314" s="1037"/>
      <c r="B1314" s="1037"/>
      <c r="C1314" s="1037"/>
      <c r="D1314" s="1037"/>
      <c r="E1314" s="1037"/>
      <c r="R1314" s="1038"/>
      <c r="S1314" s="1038"/>
      <c r="T1314" s="1038"/>
      <c r="U1314" s="1038"/>
      <c r="V1314" s="1038"/>
      <c r="W1314" s="1038"/>
      <c r="X1314" s="1038"/>
      <c r="Y1314" s="1038"/>
    </row>
    <row r="1315" spans="1:25" x14ac:dyDescent="0.2">
      <c r="A1315" s="1037"/>
      <c r="B1315" s="1037"/>
      <c r="C1315" s="1037"/>
      <c r="D1315" s="1037"/>
      <c r="E1315" s="1037"/>
      <c r="R1315" s="1038"/>
      <c r="S1315" s="1038"/>
      <c r="T1315" s="1038"/>
      <c r="U1315" s="1038"/>
      <c r="V1315" s="1038"/>
      <c r="W1315" s="1038"/>
      <c r="X1315" s="1038"/>
      <c r="Y1315" s="1038"/>
    </row>
    <row r="1316" spans="1:25" x14ac:dyDescent="0.2">
      <c r="A1316" s="1037"/>
      <c r="B1316" s="1037"/>
      <c r="C1316" s="1037"/>
      <c r="D1316" s="1037"/>
      <c r="E1316" s="1037"/>
      <c r="R1316" s="1038"/>
      <c r="S1316" s="1038"/>
      <c r="T1316" s="1038"/>
      <c r="U1316" s="1038"/>
      <c r="V1316" s="1038"/>
      <c r="W1316" s="1038"/>
      <c r="X1316" s="1038"/>
      <c r="Y1316" s="1038"/>
    </row>
    <row r="1317" spans="1:25" x14ac:dyDescent="0.2">
      <c r="A1317" s="1037"/>
      <c r="B1317" s="1037"/>
      <c r="C1317" s="1037"/>
      <c r="D1317" s="1037"/>
      <c r="E1317" s="1037"/>
      <c r="R1317" s="1038"/>
      <c r="S1317" s="1038"/>
      <c r="T1317" s="1038"/>
      <c r="U1317" s="1038"/>
      <c r="V1317" s="1038"/>
      <c r="W1317" s="1038"/>
      <c r="X1317" s="1038"/>
      <c r="Y1317" s="1038"/>
    </row>
    <row r="1318" spans="1:25" x14ac:dyDescent="0.2">
      <c r="A1318" s="1037"/>
      <c r="B1318" s="1037"/>
      <c r="C1318" s="1037"/>
      <c r="D1318" s="1037"/>
      <c r="E1318" s="1037"/>
      <c r="R1318" s="1038"/>
      <c r="S1318" s="1038"/>
      <c r="T1318" s="1038"/>
      <c r="U1318" s="1038"/>
      <c r="V1318" s="1038"/>
      <c r="W1318" s="1038"/>
      <c r="X1318" s="1038"/>
      <c r="Y1318" s="1038"/>
    </row>
    <row r="1319" spans="1:25" x14ac:dyDescent="0.2">
      <c r="A1319" s="1037"/>
      <c r="B1319" s="1037"/>
      <c r="C1319" s="1037"/>
      <c r="D1319" s="1037"/>
      <c r="E1319" s="1037"/>
      <c r="R1319" s="1038"/>
      <c r="S1319" s="1038"/>
      <c r="T1319" s="1038"/>
      <c r="U1319" s="1038"/>
      <c r="V1319" s="1038"/>
      <c r="W1319" s="1038"/>
      <c r="X1319" s="1038"/>
      <c r="Y1319" s="1038"/>
    </row>
    <row r="1320" spans="1:25" x14ac:dyDescent="0.2">
      <c r="A1320" s="1037"/>
      <c r="B1320" s="1037"/>
      <c r="C1320" s="1037"/>
      <c r="D1320" s="1037"/>
      <c r="E1320" s="1037"/>
      <c r="R1320" s="1038"/>
      <c r="S1320" s="1038"/>
      <c r="T1320" s="1038"/>
      <c r="U1320" s="1038"/>
      <c r="V1320" s="1038"/>
      <c r="W1320" s="1038"/>
      <c r="X1320" s="1038"/>
      <c r="Y1320" s="1038"/>
    </row>
    <row r="1321" spans="1:25" x14ac:dyDescent="0.2">
      <c r="A1321" s="1037"/>
      <c r="B1321" s="1037"/>
      <c r="C1321" s="1037"/>
      <c r="D1321" s="1037"/>
      <c r="E1321" s="1037"/>
      <c r="R1321" s="1038"/>
      <c r="S1321" s="1038"/>
      <c r="T1321" s="1038"/>
      <c r="U1321" s="1038"/>
      <c r="V1321" s="1038"/>
      <c r="W1321" s="1038"/>
      <c r="X1321" s="1038"/>
      <c r="Y1321" s="1038"/>
    </row>
    <row r="1322" spans="1:25" x14ac:dyDescent="0.2">
      <c r="A1322" s="1037"/>
      <c r="B1322" s="1037"/>
      <c r="C1322" s="1037"/>
      <c r="D1322" s="1037"/>
      <c r="E1322" s="1037"/>
      <c r="R1322" s="1038"/>
      <c r="S1322" s="1038"/>
      <c r="T1322" s="1038"/>
      <c r="U1322" s="1038"/>
      <c r="V1322" s="1038"/>
      <c r="W1322" s="1038"/>
      <c r="X1322" s="1038"/>
      <c r="Y1322" s="1038"/>
    </row>
    <row r="1323" spans="1:25" x14ac:dyDescent="0.2">
      <c r="A1323" s="1037"/>
      <c r="B1323" s="1037"/>
      <c r="C1323" s="1037"/>
      <c r="D1323" s="1037"/>
      <c r="E1323" s="1037"/>
      <c r="R1323" s="1038"/>
      <c r="S1323" s="1038"/>
      <c r="T1323" s="1038"/>
      <c r="U1323" s="1038"/>
      <c r="V1323" s="1038"/>
      <c r="W1323" s="1038"/>
      <c r="X1323" s="1038"/>
      <c r="Y1323" s="1038"/>
    </row>
    <row r="1324" spans="1:25" x14ac:dyDescent="0.2">
      <c r="A1324" s="1037"/>
      <c r="B1324" s="1037"/>
      <c r="C1324" s="1037"/>
      <c r="D1324" s="1037"/>
      <c r="E1324" s="1037"/>
      <c r="R1324" s="1038"/>
      <c r="S1324" s="1038"/>
      <c r="T1324" s="1038"/>
      <c r="U1324" s="1038"/>
      <c r="V1324" s="1038"/>
      <c r="W1324" s="1038"/>
      <c r="X1324" s="1038"/>
      <c r="Y1324" s="1038"/>
    </row>
    <row r="1325" spans="1:25" x14ac:dyDescent="0.2">
      <c r="A1325" s="1037"/>
      <c r="B1325" s="1037"/>
      <c r="C1325" s="1037"/>
      <c r="D1325" s="1037"/>
      <c r="E1325" s="1037"/>
      <c r="R1325" s="1038"/>
      <c r="S1325" s="1038"/>
      <c r="T1325" s="1038"/>
      <c r="U1325" s="1038"/>
      <c r="V1325" s="1038"/>
      <c r="W1325" s="1038"/>
      <c r="X1325" s="1038"/>
      <c r="Y1325" s="1038"/>
    </row>
    <row r="1326" spans="1:25" x14ac:dyDescent="0.2">
      <c r="A1326" s="1037"/>
      <c r="B1326" s="1037"/>
      <c r="C1326" s="1037"/>
      <c r="D1326" s="1037"/>
      <c r="E1326" s="1037"/>
      <c r="R1326" s="1038"/>
      <c r="S1326" s="1038"/>
      <c r="T1326" s="1038"/>
      <c r="U1326" s="1038"/>
      <c r="V1326" s="1038"/>
      <c r="W1326" s="1038"/>
      <c r="X1326" s="1038"/>
      <c r="Y1326" s="1038"/>
    </row>
    <row r="1327" spans="1:25" x14ac:dyDescent="0.2">
      <c r="A1327" s="1037"/>
      <c r="B1327" s="1037"/>
      <c r="C1327" s="1037"/>
      <c r="D1327" s="1037"/>
      <c r="E1327" s="1037"/>
      <c r="R1327" s="1038"/>
      <c r="S1327" s="1038"/>
      <c r="T1327" s="1038"/>
      <c r="U1327" s="1038"/>
      <c r="V1327" s="1038"/>
      <c r="W1327" s="1038"/>
      <c r="X1327" s="1038"/>
      <c r="Y1327" s="1038"/>
    </row>
    <row r="1328" spans="1:25" x14ac:dyDescent="0.2">
      <c r="A1328" s="1037"/>
      <c r="B1328" s="1037"/>
      <c r="C1328" s="1037"/>
      <c r="D1328" s="1037"/>
      <c r="E1328" s="1037"/>
      <c r="R1328" s="1038"/>
      <c r="S1328" s="1038"/>
      <c r="T1328" s="1038"/>
      <c r="U1328" s="1038"/>
      <c r="V1328" s="1038"/>
      <c r="W1328" s="1038"/>
      <c r="X1328" s="1038"/>
      <c r="Y1328" s="1038"/>
    </row>
    <row r="1329" spans="1:25" x14ac:dyDescent="0.2">
      <c r="A1329" s="1037"/>
      <c r="B1329" s="1037"/>
      <c r="C1329" s="1037"/>
      <c r="D1329" s="1037"/>
      <c r="E1329" s="1037"/>
      <c r="R1329" s="1038"/>
      <c r="S1329" s="1038"/>
      <c r="T1329" s="1038"/>
      <c r="U1329" s="1038"/>
      <c r="V1329" s="1038"/>
      <c r="W1329" s="1038"/>
      <c r="X1329" s="1038"/>
      <c r="Y1329" s="1038"/>
    </row>
    <row r="1330" spans="1:25" x14ac:dyDescent="0.2">
      <c r="A1330" s="1037"/>
      <c r="B1330" s="1037"/>
      <c r="C1330" s="1037"/>
      <c r="D1330" s="1037"/>
      <c r="E1330" s="1037"/>
      <c r="R1330" s="1038"/>
      <c r="S1330" s="1038"/>
      <c r="T1330" s="1038"/>
      <c r="U1330" s="1038"/>
      <c r="V1330" s="1038"/>
      <c r="W1330" s="1038"/>
      <c r="X1330" s="1038"/>
      <c r="Y1330" s="1038"/>
    </row>
    <row r="1331" spans="1:25" x14ac:dyDescent="0.2">
      <c r="A1331" s="1037"/>
      <c r="B1331" s="1037"/>
      <c r="C1331" s="1037"/>
      <c r="D1331" s="1037"/>
      <c r="E1331" s="1037"/>
      <c r="R1331" s="1038"/>
      <c r="S1331" s="1038"/>
      <c r="T1331" s="1038"/>
      <c r="U1331" s="1038"/>
      <c r="V1331" s="1038"/>
      <c r="W1331" s="1038"/>
      <c r="X1331" s="1038"/>
      <c r="Y1331" s="1038"/>
    </row>
    <row r="1332" spans="1:25" x14ac:dyDescent="0.2">
      <c r="A1332" s="1037"/>
      <c r="B1332" s="1037"/>
      <c r="C1332" s="1037"/>
      <c r="D1332" s="1037"/>
      <c r="E1332" s="1037"/>
      <c r="R1332" s="1038"/>
      <c r="S1332" s="1038"/>
      <c r="T1332" s="1038"/>
      <c r="U1332" s="1038"/>
      <c r="V1332" s="1038"/>
      <c r="W1332" s="1038"/>
      <c r="X1332" s="1038"/>
      <c r="Y1332" s="1038"/>
    </row>
    <row r="1333" spans="1:25" x14ac:dyDescent="0.2">
      <c r="A1333" s="1037"/>
      <c r="B1333" s="1037"/>
      <c r="C1333" s="1037"/>
      <c r="D1333" s="1037"/>
      <c r="E1333" s="1037"/>
      <c r="R1333" s="1038"/>
      <c r="S1333" s="1038"/>
      <c r="T1333" s="1038"/>
      <c r="U1333" s="1038"/>
      <c r="V1333" s="1038"/>
      <c r="W1333" s="1038"/>
      <c r="X1333" s="1038"/>
      <c r="Y1333" s="1038"/>
    </row>
    <row r="1334" spans="1:25" x14ac:dyDescent="0.2">
      <c r="A1334" s="1037"/>
      <c r="B1334" s="1037"/>
      <c r="C1334" s="1037"/>
      <c r="D1334" s="1037"/>
      <c r="E1334" s="1037"/>
      <c r="R1334" s="1038"/>
      <c r="S1334" s="1038"/>
      <c r="T1334" s="1038"/>
      <c r="U1334" s="1038"/>
      <c r="V1334" s="1038"/>
      <c r="W1334" s="1038"/>
      <c r="X1334" s="1038"/>
      <c r="Y1334" s="1038"/>
    </row>
    <row r="1335" spans="1:25" x14ac:dyDescent="0.2">
      <c r="A1335" s="1037"/>
      <c r="B1335" s="1037"/>
      <c r="C1335" s="1037"/>
      <c r="D1335" s="1037"/>
      <c r="E1335" s="1037"/>
      <c r="R1335" s="1038"/>
      <c r="S1335" s="1038"/>
      <c r="T1335" s="1038"/>
      <c r="U1335" s="1038"/>
      <c r="V1335" s="1038"/>
      <c r="W1335" s="1038"/>
      <c r="X1335" s="1038"/>
      <c r="Y1335" s="1038"/>
    </row>
    <row r="1336" spans="1:25" x14ac:dyDescent="0.2">
      <c r="A1336" s="1037"/>
      <c r="B1336" s="1037"/>
      <c r="C1336" s="1037"/>
      <c r="D1336" s="1037"/>
      <c r="E1336" s="1037"/>
      <c r="R1336" s="1038"/>
      <c r="S1336" s="1038"/>
      <c r="T1336" s="1038"/>
      <c r="U1336" s="1038"/>
      <c r="V1336" s="1038"/>
      <c r="W1336" s="1038"/>
      <c r="X1336" s="1038"/>
      <c r="Y1336" s="1038"/>
    </row>
    <row r="1337" spans="1:25" x14ac:dyDescent="0.2">
      <c r="A1337" s="1037"/>
      <c r="B1337" s="1037"/>
      <c r="C1337" s="1037"/>
      <c r="D1337" s="1037"/>
      <c r="E1337" s="1037"/>
      <c r="R1337" s="1038"/>
      <c r="S1337" s="1038"/>
      <c r="T1337" s="1038"/>
      <c r="U1337" s="1038"/>
      <c r="V1337" s="1038"/>
      <c r="W1337" s="1038"/>
      <c r="X1337" s="1038"/>
      <c r="Y1337" s="1038"/>
    </row>
    <row r="1338" spans="1:25" x14ac:dyDescent="0.2">
      <c r="A1338" s="1037"/>
      <c r="B1338" s="1037"/>
      <c r="C1338" s="1037"/>
      <c r="D1338" s="1037"/>
      <c r="E1338" s="1037"/>
      <c r="R1338" s="1038"/>
      <c r="S1338" s="1038"/>
      <c r="T1338" s="1038"/>
      <c r="U1338" s="1038"/>
      <c r="V1338" s="1038"/>
      <c r="W1338" s="1038"/>
      <c r="X1338" s="1038"/>
      <c r="Y1338" s="1038"/>
    </row>
    <row r="1339" spans="1:25" x14ac:dyDescent="0.2">
      <c r="A1339" s="1037"/>
      <c r="B1339" s="1037"/>
      <c r="C1339" s="1037"/>
      <c r="D1339" s="1037"/>
      <c r="E1339" s="1037"/>
      <c r="R1339" s="1038"/>
      <c r="S1339" s="1038"/>
      <c r="T1339" s="1038"/>
      <c r="U1339" s="1038"/>
      <c r="V1339" s="1038"/>
      <c r="W1339" s="1038"/>
      <c r="X1339" s="1038"/>
      <c r="Y1339" s="1038"/>
    </row>
    <row r="1340" spans="1:25" x14ac:dyDescent="0.2">
      <c r="A1340" s="1037"/>
      <c r="B1340" s="1037"/>
      <c r="C1340" s="1037"/>
      <c r="D1340" s="1037"/>
      <c r="E1340" s="1037"/>
      <c r="R1340" s="1038"/>
      <c r="S1340" s="1038"/>
      <c r="T1340" s="1038"/>
      <c r="U1340" s="1038"/>
      <c r="V1340" s="1038"/>
      <c r="W1340" s="1038"/>
      <c r="X1340" s="1038"/>
      <c r="Y1340" s="1038"/>
    </row>
    <row r="1341" spans="1:25" x14ac:dyDescent="0.2">
      <c r="A1341" s="1037"/>
      <c r="B1341" s="1037"/>
      <c r="C1341" s="1037"/>
      <c r="D1341" s="1037"/>
      <c r="E1341" s="1037"/>
      <c r="R1341" s="1038"/>
      <c r="S1341" s="1038"/>
      <c r="T1341" s="1038"/>
      <c r="U1341" s="1038"/>
      <c r="V1341" s="1038"/>
      <c r="W1341" s="1038"/>
      <c r="X1341" s="1038"/>
      <c r="Y1341" s="1038"/>
    </row>
    <row r="1342" spans="1:25" x14ac:dyDescent="0.2">
      <c r="A1342" s="1037"/>
      <c r="B1342" s="1037"/>
      <c r="C1342" s="1037"/>
      <c r="D1342" s="1037"/>
      <c r="E1342" s="1037"/>
      <c r="R1342" s="1038"/>
      <c r="S1342" s="1038"/>
      <c r="T1342" s="1038"/>
      <c r="U1342" s="1038"/>
      <c r="V1342" s="1038"/>
      <c r="W1342" s="1038"/>
      <c r="X1342" s="1038"/>
      <c r="Y1342" s="1038"/>
    </row>
    <row r="1343" spans="1:25" x14ac:dyDescent="0.2">
      <c r="A1343" s="1037"/>
      <c r="B1343" s="1037"/>
      <c r="C1343" s="1037"/>
      <c r="D1343" s="1037"/>
      <c r="E1343" s="1037"/>
      <c r="R1343" s="1038"/>
      <c r="S1343" s="1038"/>
      <c r="T1343" s="1038"/>
      <c r="U1343" s="1038"/>
      <c r="V1343" s="1038"/>
      <c r="W1343" s="1038"/>
      <c r="X1343" s="1038"/>
      <c r="Y1343" s="1038"/>
    </row>
    <row r="1344" spans="1:25" x14ac:dyDescent="0.2">
      <c r="A1344" s="1037"/>
      <c r="B1344" s="1037"/>
      <c r="C1344" s="1037"/>
      <c r="D1344" s="1037"/>
      <c r="E1344" s="1037"/>
      <c r="R1344" s="1038"/>
      <c r="S1344" s="1038"/>
      <c r="T1344" s="1038"/>
      <c r="U1344" s="1038"/>
      <c r="V1344" s="1038"/>
      <c r="W1344" s="1038"/>
      <c r="X1344" s="1038"/>
      <c r="Y1344" s="1038"/>
    </row>
    <row r="1345" spans="1:25" x14ac:dyDescent="0.2">
      <c r="A1345" s="1037"/>
      <c r="B1345" s="1037"/>
      <c r="C1345" s="1037"/>
      <c r="D1345" s="1037"/>
      <c r="E1345" s="1037"/>
      <c r="R1345" s="1038"/>
      <c r="S1345" s="1038"/>
      <c r="T1345" s="1038"/>
      <c r="U1345" s="1038"/>
      <c r="V1345" s="1038"/>
      <c r="W1345" s="1038"/>
      <c r="X1345" s="1038"/>
      <c r="Y1345" s="1038"/>
    </row>
    <row r="1346" spans="1:25" x14ac:dyDescent="0.2">
      <c r="A1346" s="1037"/>
      <c r="B1346" s="1037"/>
      <c r="C1346" s="1037"/>
      <c r="D1346" s="1037"/>
      <c r="E1346" s="1037"/>
      <c r="R1346" s="1038"/>
      <c r="S1346" s="1038"/>
      <c r="T1346" s="1038"/>
      <c r="U1346" s="1038"/>
      <c r="V1346" s="1038"/>
      <c r="W1346" s="1038"/>
      <c r="X1346" s="1038"/>
      <c r="Y1346" s="1038"/>
    </row>
    <row r="1347" spans="1:25" x14ac:dyDescent="0.2">
      <c r="A1347" s="1037"/>
      <c r="B1347" s="1037"/>
      <c r="C1347" s="1037"/>
      <c r="D1347" s="1037"/>
      <c r="E1347" s="1037"/>
      <c r="R1347" s="1038"/>
      <c r="S1347" s="1038"/>
      <c r="T1347" s="1038"/>
      <c r="U1347" s="1038"/>
      <c r="V1347" s="1038"/>
      <c r="W1347" s="1038"/>
      <c r="X1347" s="1038"/>
      <c r="Y1347" s="1038"/>
    </row>
    <row r="1348" spans="1:25" x14ac:dyDescent="0.2">
      <c r="A1348" s="1037"/>
      <c r="B1348" s="1037"/>
      <c r="C1348" s="1037"/>
      <c r="D1348" s="1037"/>
      <c r="E1348" s="1037"/>
      <c r="R1348" s="1038"/>
      <c r="S1348" s="1038"/>
      <c r="T1348" s="1038"/>
      <c r="U1348" s="1038"/>
      <c r="V1348" s="1038"/>
      <c r="W1348" s="1038"/>
      <c r="X1348" s="1038"/>
      <c r="Y1348" s="1038"/>
    </row>
    <row r="1349" spans="1:25" x14ac:dyDescent="0.2">
      <c r="A1349" s="1037"/>
      <c r="B1349" s="1037"/>
      <c r="C1349" s="1037"/>
      <c r="D1349" s="1037"/>
      <c r="E1349" s="1037"/>
      <c r="R1349" s="1038"/>
      <c r="S1349" s="1038"/>
      <c r="T1349" s="1038"/>
      <c r="U1349" s="1038"/>
      <c r="V1349" s="1038"/>
      <c r="W1349" s="1038"/>
      <c r="X1349" s="1038"/>
      <c r="Y1349" s="1038"/>
    </row>
    <row r="1350" spans="1:25" x14ac:dyDescent="0.2">
      <c r="A1350" s="1037"/>
      <c r="B1350" s="1037"/>
      <c r="C1350" s="1037"/>
      <c r="D1350" s="1037"/>
      <c r="E1350" s="1037"/>
      <c r="R1350" s="1038"/>
      <c r="S1350" s="1038"/>
      <c r="T1350" s="1038"/>
      <c r="U1350" s="1038"/>
      <c r="V1350" s="1038"/>
      <c r="W1350" s="1038"/>
      <c r="X1350" s="1038"/>
      <c r="Y1350" s="1038"/>
    </row>
    <row r="1351" spans="1:25" x14ac:dyDescent="0.2">
      <c r="A1351" s="1037"/>
      <c r="B1351" s="1037"/>
      <c r="C1351" s="1037"/>
      <c r="D1351" s="1037"/>
      <c r="E1351" s="1037"/>
      <c r="R1351" s="1038"/>
      <c r="S1351" s="1038"/>
      <c r="T1351" s="1038"/>
      <c r="U1351" s="1038"/>
      <c r="V1351" s="1038"/>
      <c r="W1351" s="1038"/>
      <c r="X1351" s="1038"/>
      <c r="Y1351" s="1038"/>
    </row>
    <row r="1352" spans="1:25" x14ac:dyDescent="0.2">
      <c r="A1352" s="1037"/>
      <c r="B1352" s="1037"/>
      <c r="C1352" s="1037"/>
      <c r="D1352" s="1037"/>
      <c r="E1352" s="1037"/>
      <c r="R1352" s="1038"/>
      <c r="S1352" s="1038"/>
      <c r="T1352" s="1038"/>
      <c r="U1352" s="1038"/>
      <c r="V1352" s="1038"/>
      <c r="W1352" s="1038"/>
      <c r="X1352" s="1038"/>
      <c r="Y1352" s="1038"/>
    </row>
    <row r="1353" spans="1:25" x14ac:dyDescent="0.2">
      <c r="A1353" s="1037"/>
      <c r="B1353" s="1037"/>
      <c r="C1353" s="1037"/>
      <c r="D1353" s="1037"/>
      <c r="E1353" s="1037"/>
      <c r="R1353" s="1038"/>
      <c r="S1353" s="1038"/>
      <c r="T1353" s="1038"/>
      <c r="U1353" s="1038"/>
      <c r="V1353" s="1038"/>
      <c r="W1353" s="1038"/>
      <c r="X1353" s="1038"/>
      <c r="Y1353" s="1038"/>
    </row>
    <row r="1354" spans="1:25" x14ac:dyDescent="0.2">
      <c r="A1354" s="1037"/>
      <c r="B1354" s="1037"/>
      <c r="C1354" s="1037"/>
      <c r="D1354" s="1037"/>
      <c r="E1354" s="1037"/>
      <c r="R1354" s="1038"/>
      <c r="S1354" s="1038"/>
      <c r="T1354" s="1038"/>
      <c r="U1354" s="1038"/>
      <c r="V1354" s="1038"/>
      <c r="W1354" s="1038"/>
      <c r="X1354" s="1038"/>
      <c r="Y1354" s="1038"/>
    </row>
    <row r="1355" spans="1:25" x14ac:dyDescent="0.2">
      <c r="A1355" s="1037"/>
      <c r="B1355" s="1037"/>
      <c r="C1355" s="1037"/>
      <c r="D1355" s="1037"/>
      <c r="E1355" s="1037"/>
      <c r="R1355" s="1038"/>
      <c r="S1355" s="1038"/>
      <c r="T1355" s="1038"/>
      <c r="U1355" s="1038"/>
      <c r="V1355" s="1038"/>
      <c r="W1355" s="1038"/>
      <c r="X1355" s="1038"/>
      <c r="Y1355" s="1038"/>
    </row>
    <row r="1356" spans="1:25" x14ac:dyDescent="0.2">
      <c r="A1356" s="1037"/>
      <c r="B1356" s="1037"/>
      <c r="C1356" s="1037"/>
      <c r="D1356" s="1037"/>
      <c r="E1356" s="1037"/>
      <c r="R1356" s="1038"/>
      <c r="S1356" s="1038"/>
      <c r="T1356" s="1038"/>
      <c r="U1356" s="1038"/>
      <c r="V1356" s="1038"/>
      <c r="W1356" s="1038"/>
      <c r="X1356" s="1038"/>
      <c r="Y1356" s="1038"/>
    </row>
    <row r="1357" spans="1:25" x14ac:dyDescent="0.2">
      <c r="A1357" s="1037"/>
      <c r="B1357" s="1037"/>
      <c r="C1357" s="1037"/>
      <c r="D1357" s="1037"/>
      <c r="E1357" s="1037"/>
      <c r="R1357" s="1038"/>
      <c r="S1357" s="1038"/>
      <c r="T1357" s="1038"/>
      <c r="U1357" s="1038"/>
      <c r="V1357" s="1038"/>
      <c r="W1357" s="1038"/>
      <c r="X1357" s="1038"/>
      <c r="Y1357" s="1038"/>
    </row>
    <row r="1358" spans="1:25" x14ac:dyDescent="0.2">
      <c r="A1358" s="1037"/>
      <c r="B1358" s="1037"/>
      <c r="C1358" s="1037"/>
      <c r="D1358" s="1037"/>
      <c r="E1358" s="1037"/>
      <c r="R1358" s="1038"/>
      <c r="S1358" s="1038"/>
      <c r="T1358" s="1038"/>
      <c r="U1358" s="1038"/>
      <c r="V1358" s="1038"/>
      <c r="W1358" s="1038"/>
      <c r="X1358" s="1038"/>
      <c r="Y1358" s="1038"/>
    </row>
    <row r="1359" spans="1:25" x14ac:dyDescent="0.2">
      <c r="A1359" s="1037"/>
      <c r="B1359" s="1037"/>
      <c r="C1359" s="1037"/>
      <c r="D1359" s="1037"/>
      <c r="E1359" s="1037"/>
      <c r="R1359" s="1038"/>
      <c r="S1359" s="1038"/>
      <c r="T1359" s="1038"/>
      <c r="U1359" s="1038"/>
      <c r="V1359" s="1038"/>
      <c r="W1359" s="1038"/>
      <c r="X1359" s="1038"/>
      <c r="Y1359" s="1038"/>
    </row>
    <row r="1360" spans="1:25" x14ac:dyDescent="0.2">
      <c r="A1360" s="1037"/>
      <c r="B1360" s="1037"/>
      <c r="C1360" s="1037"/>
      <c r="D1360" s="1037"/>
      <c r="E1360" s="1037"/>
      <c r="R1360" s="1038"/>
      <c r="S1360" s="1038"/>
      <c r="T1360" s="1038"/>
      <c r="U1360" s="1038"/>
      <c r="V1360" s="1038"/>
      <c r="W1360" s="1038"/>
      <c r="X1360" s="1038"/>
      <c r="Y1360" s="1038"/>
    </row>
    <row r="1361" spans="1:25" x14ac:dyDescent="0.2">
      <c r="A1361" s="1037"/>
      <c r="B1361" s="1037"/>
      <c r="C1361" s="1037"/>
      <c r="D1361" s="1037"/>
      <c r="E1361" s="1037"/>
      <c r="R1361" s="1038"/>
      <c r="S1361" s="1038"/>
      <c r="T1361" s="1038"/>
      <c r="U1361" s="1038"/>
      <c r="V1361" s="1038"/>
      <c r="W1361" s="1038"/>
      <c r="X1361" s="1038"/>
      <c r="Y1361" s="1038"/>
    </row>
    <row r="1362" spans="1:25" x14ac:dyDescent="0.2">
      <c r="A1362" s="1037"/>
      <c r="B1362" s="1037"/>
      <c r="C1362" s="1037"/>
      <c r="D1362" s="1037"/>
      <c r="E1362" s="1037"/>
      <c r="R1362" s="1038"/>
      <c r="S1362" s="1038"/>
      <c r="T1362" s="1038"/>
      <c r="U1362" s="1038"/>
      <c r="V1362" s="1038"/>
      <c r="W1362" s="1038"/>
      <c r="X1362" s="1038"/>
      <c r="Y1362" s="1038"/>
    </row>
    <row r="1363" spans="1:25" x14ac:dyDescent="0.2">
      <c r="A1363" s="1037"/>
      <c r="B1363" s="1037"/>
      <c r="C1363" s="1037"/>
      <c r="D1363" s="1037"/>
      <c r="E1363" s="1037"/>
      <c r="R1363" s="1038"/>
      <c r="S1363" s="1038"/>
      <c r="T1363" s="1038"/>
      <c r="U1363" s="1038"/>
      <c r="V1363" s="1038"/>
      <c r="W1363" s="1038"/>
      <c r="X1363" s="1038"/>
      <c r="Y1363" s="1038"/>
    </row>
    <row r="1364" spans="1:25" x14ac:dyDescent="0.2">
      <c r="A1364" s="1037"/>
      <c r="B1364" s="1037"/>
      <c r="C1364" s="1037"/>
      <c r="D1364" s="1037"/>
      <c r="E1364" s="1037"/>
      <c r="R1364" s="1038"/>
      <c r="S1364" s="1038"/>
      <c r="T1364" s="1038"/>
      <c r="U1364" s="1038"/>
      <c r="V1364" s="1038"/>
      <c r="W1364" s="1038"/>
      <c r="X1364" s="1038"/>
      <c r="Y1364" s="1038"/>
    </row>
    <row r="1365" spans="1:25" x14ac:dyDescent="0.2">
      <c r="A1365" s="1037"/>
      <c r="B1365" s="1037"/>
      <c r="C1365" s="1037"/>
      <c r="D1365" s="1037"/>
      <c r="E1365" s="1037"/>
      <c r="R1365" s="1038"/>
      <c r="S1365" s="1038"/>
      <c r="T1365" s="1038"/>
      <c r="U1365" s="1038"/>
      <c r="V1365" s="1038"/>
      <c r="W1365" s="1038"/>
      <c r="X1365" s="1038"/>
      <c r="Y1365" s="1038"/>
    </row>
    <row r="1366" spans="1:25" x14ac:dyDescent="0.2">
      <c r="A1366" s="1037"/>
      <c r="B1366" s="1037"/>
      <c r="C1366" s="1037"/>
      <c r="D1366" s="1037"/>
      <c r="E1366" s="1037"/>
      <c r="R1366" s="1038"/>
      <c r="S1366" s="1038"/>
      <c r="T1366" s="1038"/>
      <c r="U1366" s="1038"/>
      <c r="V1366" s="1038"/>
      <c r="W1366" s="1038"/>
      <c r="X1366" s="1038"/>
      <c r="Y1366" s="1038"/>
    </row>
    <row r="1367" spans="1:25" x14ac:dyDescent="0.2">
      <c r="A1367" s="1037"/>
      <c r="B1367" s="1037"/>
      <c r="C1367" s="1037"/>
      <c r="D1367" s="1037"/>
      <c r="E1367" s="1037"/>
      <c r="R1367" s="1038"/>
      <c r="S1367" s="1038"/>
      <c r="T1367" s="1038"/>
      <c r="U1367" s="1038"/>
      <c r="V1367" s="1038"/>
      <c r="W1367" s="1038"/>
      <c r="X1367" s="1038"/>
      <c r="Y1367" s="1038"/>
    </row>
    <row r="1368" spans="1:25" x14ac:dyDescent="0.2">
      <c r="A1368" s="1037"/>
      <c r="B1368" s="1037"/>
      <c r="C1368" s="1037"/>
      <c r="D1368" s="1037"/>
      <c r="E1368" s="1037"/>
      <c r="R1368" s="1038"/>
      <c r="S1368" s="1038"/>
      <c r="T1368" s="1038"/>
      <c r="U1368" s="1038"/>
      <c r="V1368" s="1038"/>
      <c r="W1368" s="1038"/>
      <c r="X1368" s="1038"/>
      <c r="Y1368" s="1038"/>
    </row>
    <row r="1369" spans="1:25" x14ac:dyDescent="0.2">
      <c r="A1369" s="1037"/>
      <c r="B1369" s="1037"/>
      <c r="C1369" s="1037"/>
      <c r="D1369" s="1037"/>
      <c r="E1369" s="1037"/>
      <c r="R1369" s="1038"/>
      <c r="S1369" s="1038"/>
      <c r="T1369" s="1038"/>
      <c r="U1369" s="1038"/>
      <c r="V1369" s="1038"/>
      <c r="W1369" s="1038"/>
      <c r="X1369" s="1038"/>
      <c r="Y1369" s="1038"/>
    </row>
    <row r="1370" spans="1:25" x14ac:dyDescent="0.2">
      <c r="A1370" s="1037"/>
      <c r="B1370" s="1037"/>
      <c r="C1370" s="1037"/>
      <c r="D1370" s="1037"/>
      <c r="E1370" s="1037"/>
      <c r="R1370" s="1038"/>
      <c r="S1370" s="1038"/>
      <c r="T1370" s="1038"/>
      <c r="U1370" s="1038"/>
      <c r="V1370" s="1038"/>
      <c r="W1370" s="1038"/>
      <c r="X1370" s="1038"/>
      <c r="Y1370" s="1038"/>
    </row>
    <row r="1371" spans="1:25" x14ac:dyDescent="0.2">
      <c r="A1371" s="1037"/>
      <c r="B1371" s="1037"/>
      <c r="C1371" s="1037"/>
      <c r="D1371" s="1037"/>
      <c r="E1371" s="1037"/>
      <c r="R1371" s="1038"/>
      <c r="S1371" s="1038"/>
      <c r="T1371" s="1038"/>
      <c r="U1371" s="1038"/>
      <c r="V1371" s="1038"/>
      <c r="W1371" s="1038"/>
      <c r="X1371" s="1038"/>
      <c r="Y1371" s="1038"/>
    </row>
    <row r="1372" spans="1:25" x14ac:dyDescent="0.2">
      <c r="A1372" s="1037"/>
      <c r="B1372" s="1037"/>
      <c r="C1372" s="1037"/>
      <c r="D1372" s="1037"/>
      <c r="E1372" s="1037"/>
      <c r="R1372" s="1038"/>
      <c r="S1372" s="1038"/>
      <c r="T1372" s="1038"/>
      <c r="U1372" s="1038"/>
      <c r="V1372" s="1038"/>
      <c r="W1372" s="1038"/>
      <c r="X1372" s="1038"/>
      <c r="Y1372" s="1038"/>
    </row>
    <row r="1373" spans="1:25" x14ac:dyDescent="0.2">
      <c r="A1373" s="1037"/>
      <c r="B1373" s="1037"/>
      <c r="C1373" s="1037"/>
      <c r="D1373" s="1037"/>
      <c r="E1373" s="1037"/>
      <c r="R1373" s="1038"/>
      <c r="S1373" s="1038"/>
      <c r="T1373" s="1038"/>
      <c r="U1373" s="1038"/>
      <c r="V1373" s="1038"/>
      <c r="W1373" s="1038"/>
      <c r="X1373" s="1038"/>
      <c r="Y1373" s="1038"/>
    </row>
    <row r="1374" spans="1:25" x14ac:dyDescent="0.2">
      <c r="A1374" s="1037"/>
      <c r="B1374" s="1037"/>
      <c r="C1374" s="1037"/>
      <c r="D1374" s="1037"/>
      <c r="E1374" s="1037"/>
      <c r="R1374" s="1038"/>
      <c r="S1374" s="1038"/>
      <c r="T1374" s="1038"/>
      <c r="U1374" s="1038"/>
      <c r="V1374" s="1038"/>
      <c r="W1374" s="1038"/>
      <c r="X1374" s="1038"/>
      <c r="Y1374" s="1038"/>
    </row>
    <row r="1375" spans="1:25" x14ac:dyDescent="0.2">
      <c r="A1375" s="1037"/>
      <c r="B1375" s="1037"/>
      <c r="C1375" s="1037"/>
      <c r="D1375" s="1037"/>
      <c r="E1375" s="1037"/>
      <c r="R1375" s="1038"/>
      <c r="S1375" s="1038"/>
      <c r="T1375" s="1038"/>
      <c r="U1375" s="1038"/>
      <c r="V1375" s="1038"/>
      <c r="W1375" s="1038"/>
      <c r="X1375" s="1038"/>
      <c r="Y1375" s="1038"/>
    </row>
    <row r="1376" spans="1:25" x14ac:dyDescent="0.2">
      <c r="A1376" s="1037"/>
      <c r="B1376" s="1037"/>
      <c r="C1376" s="1037"/>
      <c r="D1376" s="1037"/>
      <c r="E1376" s="1037"/>
      <c r="R1376" s="1038"/>
      <c r="S1376" s="1038"/>
      <c r="T1376" s="1038"/>
      <c r="U1376" s="1038"/>
      <c r="V1376" s="1038"/>
      <c r="W1376" s="1038"/>
      <c r="X1376" s="1038"/>
      <c r="Y1376" s="1038"/>
    </row>
    <row r="1377" spans="1:25" x14ac:dyDescent="0.2">
      <c r="A1377" s="1037"/>
      <c r="B1377" s="1037"/>
      <c r="C1377" s="1037"/>
      <c r="D1377" s="1037"/>
      <c r="E1377" s="1037"/>
      <c r="R1377" s="1038"/>
      <c r="S1377" s="1038"/>
      <c r="T1377" s="1038"/>
      <c r="U1377" s="1038"/>
      <c r="V1377" s="1038"/>
      <c r="W1377" s="1038"/>
      <c r="X1377" s="1038"/>
      <c r="Y1377" s="1038"/>
    </row>
    <row r="1378" spans="1:25" x14ac:dyDescent="0.2">
      <c r="A1378" s="1037"/>
      <c r="B1378" s="1037"/>
      <c r="C1378" s="1037"/>
      <c r="D1378" s="1037"/>
      <c r="E1378" s="1037"/>
      <c r="R1378" s="1038"/>
      <c r="S1378" s="1038"/>
      <c r="T1378" s="1038"/>
      <c r="U1378" s="1038"/>
      <c r="V1378" s="1038"/>
      <c r="W1378" s="1038"/>
      <c r="X1378" s="1038"/>
      <c r="Y1378" s="1038"/>
    </row>
    <row r="1379" spans="1:25" x14ac:dyDescent="0.2">
      <c r="A1379" s="1037"/>
      <c r="B1379" s="1037"/>
      <c r="C1379" s="1037"/>
      <c r="D1379" s="1037"/>
      <c r="E1379" s="1037"/>
      <c r="R1379" s="1038"/>
      <c r="S1379" s="1038"/>
      <c r="T1379" s="1038"/>
      <c r="U1379" s="1038"/>
      <c r="V1379" s="1038"/>
      <c r="W1379" s="1038"/>
      <c r="X1379" s="1038"/>
      <c r="Y1379" s="1038"/>
    </row>
    <row r="1380" spans="1:25" x14ac:dyDescent="0.2">
      <c r="A1380" s="1037"/>
      <c r="B1380" s="1037"/>
      <c r="C1380" s="1037"/>
      <c r="D1380" s="1037"/>
      <c r="E1380" s="1037"/>
      <c r="R1380" s="1038"/>
      <c r="S1380" s="1038"/>
      <c r="T1380" s="1038"/>
      <c r="U1380" s="1038"/>
      <c r="V1380" s="1038"/>
      <c r="W1380" s="1038"/>
      <c r="X1380" s="1038"/>
      <c r="Y1380" s="1038"/>
    </row>
    <row r="1381" spans="1:25" x14ac:dyDescent="0.2">
      <c r="A1381" s="1037"/>
      <c r="B1381" s="1037"/>
      <c r="C1381" s="1037"/>
      <c r="D1381" s="1037"/>
      <c r="E1381" s="1037"/>
      <c r="R1381" s="1038"/>
      <c r="S1381" s="1038"/>
      <c r="T1381" s="1038"/>
      <c r="U1381" s="1038"/>
      <c r="V1381" s="1038"/>
      <c r="W1381" s="1038"/>
      <c r="X1381" s="1038"/>
      <c r="Y1381" s="1038"/>
    </row>
    <row r="1382" spans="1:25" x14ac:dyDescent="0.2">
      <c r="A1382" s="1037"/>
      <c r="B1382" s="1037"/>
      <c r="C1382" s="1037"/>
      <c r="D1382" s="1037"/>
      <c r="E1382" s="1037"/>
      <c r="R1382" s="1038"/>
      <c r="S1382" s="1038"/>
      <c r="T1382" s="1038"/>
      <c r="U1382" s="1038"/>
      <c r="V1382" s="1038"/>
      <c r="W1382" s="1038"/>
      <c r="X1382" s="1038"/>
      <c r="Y1382" s="1038"/>
    </row>
    <row r="1383" spans="1:25" x14ac:dyDescent="0.2">
      <c r="A1383" s="1037"/>
      <c r="B1383" s="1037"/>
      <c r="C1383" s="1037"/>
      <c r="D1383" s="1037"/>
      <c r="E1383" s="1037"/>
      <c r="R1383" s="1038"/>
      <c r="S1383" s="1038"/>
      <c r="T1383" s="1038"/>
      <c r="U1383" s="1038"/>
      <c r="V1383" s="1038"/>
      <c r="W1383" s="1038"/>
      <c r="X1383" s="1038"/>
      <c r="Y1383" s="1038"/>
    </row>
    <row r="1384" spans="1:25" x14ac:dyDescent="0.2">
      <c r="A1384" s="1037"/>
      <c r="B1384" s="1037"/>
      <c r="C1384" s="1037"/>
      <c r="D1384" s="1037"/>
      <c r="E1384" s="1037"/>
      <c r="R1384" s="1038"/>
      <c r="S1384" s="1038"/>
      <c r="T1384" s="1038"/>
      <c r="U1384" s="1038"/>
      <c r="V1384" s="1038"/>
      <c r="W1384" s="1038"/>
      <c r="X1384" s="1038"/>
      <c r="Y1384" s="1038"/>
    </row>
    <row r="1385" spans="1:25" x14ac:dyDescent="0.2">
      <c r="A1385" s="1037"/>
      <c r="B1385" s="1037"/>
      <c r="C1385" s="1037"/>
      <c r="D1385" s="1037"/>
      <c r="E1385" s="1037"/>
      <c r="R1385" s="1038"/>
      <c r="S1385" s="1038"/>
      <c r="T1385" s="1038"/>
      <c r="U1385" s="1038"/>
      <c r="V1385" s="1038"/>
      <c r="W1385" s="1038"/>
      <c r="X1385" s="1038"/>
      <c r="Y1385" s="1038"/>
    </row>
    <row r="1386" spans="1:25" x14ac:dyDescent="0.2">
      <c r="A1386" s="1037"/>
      <c r="B1386" s="1037"/>
      <c r="C1386" s="1037"/>
      <c r="D1386" s="1037"/>
      <c r="E1386" s="1037"/>
      <c r="R1386" s="1038"/>
      <c r="S1386" s="1038"/>
      <c r="T1386" s="1038"/>
      <c r="U1386" s="1038"/>
      <c r="V1386" s="1038"/>
      <c r="W1386" s="1038"/>
      <c r="X1386" s="1038"/>
      <c r="Y1386" s="1038"/>
    </row>
    <row r="1387" spans="1:25" x14ac:dyDescent="0.2">
      <c r="A1387" s="1037"/>
      <c r="B1387" s="1037"/>
      <c r="C1387" s="1037"/>
      <c r="D1387" s="1037"/>
      <c r="E1387" s="1037"/>
      <c r="R1387" s="1038"/>
      <c r="S1387" s="1038"/>
      <c r="T1387" s="1038"/>
      <c r="U1387" s="1038"/>
      <c r="V1387" s="1038"/>
      <c r="W1387" s="1038"/>
      <c r="X1387" s="1038"/>
      <c r="Y1387" s="1038"/>
    </row>
    <row r="1388" spans="1:25" x14ac:dyDescent="0.2">
      <c r="A1388" s="1037"/>
      <c r="B1388" s="1037"/>
      <c r="C1388" s="1037"/>
      <c r="D1388" s="1037"/>
      <c r="E1388" s="1037"/>
      <c r="R1388" s="1038"/>
      <c r="S1388" s="1038"/>
      <c r="T1388" s="1038"/>
      <c r="U1388" s="1038"/>
      <c r="V1388" s="1038"/>
      <c r="W1388" s="1038"/>
      <c r="X1388" s="1038"/>
      <c r="Y1388" s="1038"/>
    </row>
    <row r="1389" spans="1:25" x14ac:dyDescent="0.2">
      <c r="A1389" s="1037"/>
      <c r="B1389" s="1037"/>
      <c r="C1389" s="1037"/>
      <c r="D1389" s="1037"/>
      <c r="E1389" s="1037"/>
      <c r="R1389" s="1038"/>
      <c r="S1389" s="1038"/>
      <c r="T1389" s="1038"/>
      <c r="U1389" s="1038"/>
      <c r="V1389" s="1038"/>
      <c r="W1389" s="1038"/>
      <c r="X1389" s="1038"/>
      <c r="Y1389" s="1038"/>
    </row>
    <row r="1390" spans="1:25" x14ac:dyDescent="0.2">
      <c r="A1390" s="1037"/>
      <c r="B1390" s="1037"/>
      <c r="C1390" s="1037"/>
      <c r="D1390" s="1037"/>
      <c r="E1390" s="1037"/>
      <c r="R1390" s="1038"/>
      <c r="S1390" s="1038"/>
      <c r="T1390" s="1038"/>
      <c r="U1390" s="1038"/>
      <c r="V1390" s="1038"/>
      <c r="W1390" s="1038"/>
      <c r="X1390" s="1038"/>
      <c r="Y1390" s="1038"/>
    </row>
    <row r="1391" spans="1:25" x14ac:dyDescent="0.2">
      <c r="A1391" s="1037"/>
      <c r="B1391" s="1037"/>
      <c r="C1391" s="1037"/>
      <c r="D1391" s="1037"/>
      <c r="E1391" s="1037"/>
      <c r="R1391" s="1038"/>
      <c r="S1391" s="1038"/>
      <c r="T1391" s="1038"/>
      <c r="U1391" s="1038"/>
      <c r="V1391" s="1038"/>
      <c r="W1391" s="1038"/>
      <c r="X1391" s="1038"/>
      <c r="Y1391" s="1038"/>
    </row>
    <row r="1392" spans="1:25" x14ac:dyDescent="0.2">
      <c r="A1392" s="1037"/>
      <c r="B1392" s="1037"/>
      <c r="C1392" s="1037"/>
      <c r="D1392" s="1037"/>
      <c r="E1392" s="1037"/>
      <c r="R1392" s="1038"/>
      <c r="S1392" s="1038"/>
      <c r="T1392" s="1038"/>
      <c r="U1392" s="1038"/>
      <c r="V1392" s="1038"/>
      <c r="W1392" s="1038"/>
      <c r="X1392" s="1038"/>
      <c r="Y1392" s="1038"/>
    </row>
    <row r="1393" spans="1:25" x14ac:dyDescent="0.2">
      <c r="A1393" s="1037"/>
      <c r="B1393" s="1037"/>
      <c r="C1393" s="1037"/>
      <c r="D1393" s="1037"/>
      <c r="E1393" s="1037"/>
      <c r="R1393" s="1038"/>
      <c r="S1393" s="1038"/>
      <c r="T1393" s="1038"/>
      <c r="U1393" s="1038"/>
      <c r="V1393" s="1038"/>
      <c r="W1393" s="1038"/>
      <c r="X1393" s="1038"/>
      <c r="Y1393" s="1038"/>
    </row>
    <row r="1394" spans="1:25" x14ac:dyDescent="0.2">
      <c r="A1394" s="1037"/>
      <c r="B1394" s="1037"/>
      <c r="C1394" s="1037"/>
      <c r="D1394" s="1037"/>
      <c r="E1394" s="1037"/>
      <c r="R1394" s="1038"/>
      <c r="S1394" s="1038"/>
      <c r="T1394" s="1038"/>
      <c r="U1394" s="1038"/>
      <c r="V1394" s="1038"/>
      <c r="W1394" s="1038"/>
      <c r="X1394" s="1038"/>
      <c r="Y1394" s="1038"/>
    </row>
    <row r="1395" spans="1:25" x14ac:dyDescent="0.2">
      <c r="A1395" s="1037"/>
      <c r="B1395" s="1037"/>
      <c r="C1395" s="1037"/>
      <c r="D1395" s="1037"/>
      <c r="E1395" s="1037"/>
      <c r="R1395" s="1038"/>
      <c r="S1395" s="1038"/>
      <c r="T1395" s="1038"/>
      <c r="U1395" s="1038"/>
      <c r="V1395" s="1038"/>
      <c r="W1395" s="1038"/>
      <c r="X1395" s="1038"/>
      <c r="Y1395" s="1038"/>
    </row>
    <row r="1396" spans="1:25" x14ac:dyDescent="0.2">
      <c r="A1396" s="1037"/>
      <c r="B1396" s="1037"/>
      <c r="C1396" s="1037"/>
      <c r="D1396" s="1037"/>
      <c r="E1396" s="1037"/>
      <c r="R1396" s="1038"/>
      <c r="S1396" s="1038"/>
      <c r="T1396" s="1038"/>
      <c r="U1396" s="1038"/>
      <c r="V1396" s="1038"/>
      <c r="W1396" s="1038"/>
      <c r="X1396" s="1038"/>
      <c r="Y1396" s="1038"/>
    </row>
    <row r="1397" spans="1:25" x14ac:dyDescent="0.2">
      <c r="A1397" s="1037"/>
      <c r="B1397" s="1037"/>
      <c r="C1397" s="1037"/>
      <c r="D1397" s="1037"/>
      <c r="E1397" s="1037"/>
      <c r="R1397" s="1038"/>
      <c r="S1397" s="1038"/>
      <c r="T1397" s="1038"/>
      <c r="U1397" s="1038"/>
      <c r="V1397" s="1038"/>
      <c r="W1397" s="1038"/>
      <c r="X1397" s="1038"/>
      <c r="Y1397" s="1038"/>
    </row>
    <row r="1398" spans="1:25" x14ac:dyDescent="0.2">
      <c r="A1398" s="1037"/>
      <c r="B1398" s="1037"/>
      <c r="C1398" s="1037"/>
      <c r="D1398" s="1037"/>
      <c r="E1398" s="1037"/>
      <c r="R1398" s="1038"/>
      <c r="S1398" s="1038"/>
      <c r="T1398" s="1038"/>
      <c r="U1398" s="1038"/>
      <c r="V1398" s="1038"/>
      <c r="W1398" s="1038"/>
      <c r="X1398" s="1038"/>
      <c r="Y1398" s="1038"/>
    </row>
    <row r="1399" spans="1:25" x14ac:dyDescent="0.2">
      <c r="A1399" s="1037"/>
      <c r="B1399" s="1037"/>
      <c r="C1399" s="1037"/>
      <c r="D1399" s="1037"/>
      <c r="E1399" s="1037"/>
      <c r="R1399" s="1038"/>
      <c r="S1399" s="1038"/>
      <c r="T1399" s="1038"/>
      <c r="U1399" s="1038"/>
      <c r="V1399" s="1038"/>
      <c r="W1399" s="1038"/>
      <c r="X1399" s="1038"/>
      <c r="Y1399" s="1038"/>
    </row>
    <row r="1400" spans="1:25" x14ac:dyDescent="0.2">
      <c r="A1400" s="1037"/>
      <c r="B1400" s="1037"/>
      <c r="C1400" s="1037"/>
      <c r="D1400" s="1037"/>
      <c r="E1400" s="1037"/>
      <c r="R1400" s="1038"/>
      <c r="S1400" s="1038"/>
      <c r="T1400" s="1038"/>
      <c r="U1400" s="1038"/>
      <c r="V1400" s="1038"/>
      <c r="W1400" s="1038"/>
      <c r="X1400" s="1038"/>
      <c r="Y1400" s="1038"/>
    </row>
    <row r="1401" spans="1:25" x14ac:dyDescent="0.2">
      <c r="A1401" s="1037"/>
      <c r="B1401" s="1037"/>
      <c r="C1401" s="1037"/>
      <c r="D1401" s="1037"/>
      <c r="E1401" s="1037"/>
      <c r="R1401" s="1038"/>
      <c r="S1401" s="1038"/>
      <c r="T1401" s="1038"/>
      <c r="U1401" s="1038"/>
      <c r="V1401" s="1038"/>
      <c r="W1401" s="1038"/>
      <c r="X1401" s="1038"/>
      <c r="Y1401" s="1038"/>
    </row>
    <row r="1402" spans="1:25" x14ac:dyDescent="0.2">
      <c r="A1402" s="1037"/>
      <c r="B1402" s="1037"/>
      <c r="C1402" s="1037"/>
      <c r="D1402" s="1037"/>
      <c r="E1402" s="1037"/>
      <c r="R1402" s="1038"/>
      <c r="S1402" s="1038"/>
      <c r="T1402" s="1038"/>
      <c r="U1402" s="1038"/>
      <c r="V1402" s="1038"/>
      <c r="W1402" s="1038"/>
      <c r="X1402" s="1038"/>
      <c r="Y1402" s="1038"/>
    </row>
    <row r="1403" spans="1:25" x14ac:dyDescent="0.2">
      <c r="A1403" s="1037"/>
      <c r="B1403" s="1037"/>
      <c r="C1403" s="1037"/>
      <c r="D1403" s="1037"/>
      <c r="E1403" s="1037"/>
      <c r="R1403" s="1038"/>
      <c r="S1403" s="1038"/>
      <c r="T1403" s="1038"/>
      <c r="U1403" s="1038"/>
      <c r="V1403" s="1038"/>
      <c r="W1403" s="1038"/>
      <c r="X1403" s="1038"/>
      <c r="Y1403" s="1038"/>
    </row>
    <row r="1404" spans="1:25" x14ac:dyDescent="0.2">
      <c r="A1404" s="1037"/>
      <c r="B1404" s="1037"/>
      <c r="C1404" s="1037"/>
      <c r="D1404" s="1037"/>
      <c r="E1404" s="1037"/>
      <c r="R1404" s="1038"/>
      <c r="S1404" s="1038"/>
      <c r="T1404" s="1038"/>
      <c r="U1404" s="1038"/>
      <c r="V1404" s="1038"/>
      <c r="W1404" s="1038"/>
      <c r="X1404" s="1038"/>
      <c r="Y1404" s="1038"/>
    </row>
    <row r="1405" spans="1:25" x14ac:dyDescent="0.2">
      <c r="A1405" s="1037"/>
      <c r="B1405" s="1037"/>
      <c r="C1405" s="1037"/>
      <c r="D1405" s="1037"/>
      <c r="E1405" s="1037"/>
      <c r="R1405" s="1038"/>
      <c r="S1405" s="1038"/>
      <c r="T1405" s="1038"/>
      <c r="U1405" s="1038"/>
      <c r="V1405" s="1038"/>
      <c r="W1405" s="1038"/>
      <c r="X1405" s="1038"/>
      <c r="Y1405" s="1038"/>
    </row>
    <row r="1406" spans="1:25" x14ac:dyDescent="0.2">
      <c r="A1406" s="1037"/>
      <c r="B1406" s="1037"/>
      <c r="C1406" s="1037"/>
      <c r="D1406" s="1037"/>
      <c r="E1406" s="1037"/>
      <c r="R1406" s="1038"/>
      <c r="S1406" s="1038"/>
      <c r="T1406" s="1038"/>
      <c r="U1406" s="1038"/>
      <c r="V1406" s="1038"/>
      <c r="W1406" s="1038"/>
      <c r="X1406" s="1038"/>
      <c r="Y1406" s="1038"/>
    </row>
    <row r="1407" spans="1:25" x14ac:dyDescent="0.2">
      <c r="A1407" s="1037"/>
      <c r="B1407" s="1037"/>
      <c r="C1407" s="1037"/>
      <c r="D1407" s="1037"/>
      <c r="E1407" s="1037"/>
      <c r="R1407" s="1038"/>
      <c r="S1407" s="1038"/>
      <c r="T1407" s="1038"/>
      <c r="U1407" s="1038"/>
      <c r="V1407" s="1038"/>
      <c r="W1407" s="1038"/>
      <c r="X1407" s="1038"/>
      <c r="Y1407" s="1038"/>
    </row>
    <row r="1408" spans="1:25" x14ac:dyDescent="0.2">
      <c r="A1408" s="1037"/>
      <c r="B1408" s="1037"/>
      <c r="C1408" s="1037"/>
      <c r="D1408" s="1037"/>
      <c r="E1408" s="1037"/>
      <c r="R1408" s="1038"/>
      <c r="S1408" s="1038"/>
      <c r="T1408" s="1038"/>
      <c r="U1408" s="1038"/>
      <c r="V1408" s="1038"/>
      <c r="W1408" s="1038"/>
      <c r="X1408" s="1038"/>
      <c r="Y1408" s="1038"/>
    </row>
    <row r="1409" spans="1:25" x14ac:dyDescent="0.2">
      <c r="A1409" s="1037"/>
      <c r="B1409" s="1037"/>
      <c r="C1409" s="1037"/>
      <c r="D1409" s="1037"/>
      <c r="E1409" s="1037"/>
      <c r="R1409" s="1038"/>
      <c r="S1409" s="1038"/>
      <c r="T1409" s="1038"/>
      <c r="U1409" s="1038"/>
      <c r="V1409" s="1038"/>
      <c r="W1409" s="1038"/>
      <c r="X1409" s="1038"/>
      <c r="Y1409" s="1038"/>
    </row>
    <row r="1410" spans="1:25" x14ac:dyDescent="0.2">
      <c r="A1410" s="1037"/>
      <c r="B1410" s="1037"/>
      <c r="C1410" s="1037"/>
      <c r="D1410" s="1037"/>
      <c r="E1410" s="1037"/>
      <c r="R1410" s="1038"/>
      <c r="S1410" s="1038"/>
      <c r="T1410" s="1038"/>
      <c r="U1410" s="1038"/>
      <c r="V1410" s="1038"/>
      <c r="W1410" s="1038"/>
      <c r="X1410" s="1038"/>
      <c r="Y1410" s="1038"/>
    </row>
    <row r="1411" spans="1:25" x14ac:dyDescent="0.2">
      <c r="A1411" s="1037"/>
      <c r="B1411" s="1037"/>
      <c r="C1411" s="1037"/>
      <c r="D1411" s="1037"/>
      <c r="E1411" s="1037"/>
      <c r="R1411" s="1038"/>
      <c r="S1411" s="1038"/>
      <c r="T1411" s="1038"/>
      <c r="U1411" s="1038"/>
      <c r="V1411" s="1038"/>
      <c r="W1411" s="1038"/>
      <c r="X1411" s="1038"/>
      <c r="Y1411" s="1038"/>
    </row>
    <row r="1412" spans="1:25" x14ac:dyDescent="0.2">
      <c r="A1412" s="1037"/>
      <c r="B1412" s="1037"/>
      <c r="C1412" s="1037"/>
      <c r="D1412" s="1037"/>
      <c r="E1412" s="1037"/>
      <c r="R1412" s="1038"/>
      <c r="S1412" s="1038"/>
      <c r="T1412" s="1038"/>
      <c r="U1412" s="1038"/>
      <c r="V1412" s="1038"/>
      <c r="W1412" s="1038"/>
      <c r="X1412" s="1038"/>
      <c r="Y1412" s="1038"/>
    </row>
    <row r="1413" spans="1:25" x14ac:dyDescent="0.2">
      <c r="A1413" s="1037"/>
      <c r="B1413" s="1037"/>
      <c r="C1413" s="1037"/>
      <c r="D1413" s="1037"/>
      <c r="E1413" s="1037"/>
      <c r="R1413" s="1038"/>
      <c r="S1413" s="1038"/>
      <c r="T1413" s="1038"/>
      <c r="U1413" s="1038"/>
      <c r="V1413" s="1038"/>
      <c r="W1413" s="1038"/>
      <c r="X1413" s="1038"/>
      <c r="Y1413" s="1038"/>
    </row>
    <row r="1414" spans="1:25" x14ac:dyDescent="0.2">
      <c r="A1414" s="1037"/>
      <c r="B1414" s="1037"/>
      <c r="C1414" s="1037"/>
      <c r="D1414" s="1037"/>
      <c r="E1414" s="1037"/>
      <c r="R1414" s="1038"/>
      <c r="S1414" s="1038"/>
      <c r="T1414" s="1038"/>
      <c r="U1414" s="1038"/>
      <c r="V1414" s="1038"/>
      <c r="W1414" s="1038"/>
      <c r="X1414" s="1038"/>
      <c r="Y1414" s="1038"/>
    </row>
    <row r="1415" spans="1:25" x14ac:dyDescent="0.2">
      <c r="A1415" s="1037"/>
      <c r="B1415" s="1037"/>
      <c r="C1415" s="1037"/>
      <c r="D1415" s="1037"/>
      <c r="E1415" s="1037"/>
      <c r="R1415" s="1038"/>
      <c r="S1415" s="1038"/>
      <c r="T1415" s="1038"/>
      <c r="U1415" s="1038"/>
      <c r="V1415" s="1038"/>
      <c r="W1415" s="1038"/>
      <c r="X1415" s="1038"/>
      <c r="Y1415" s="1038"/>
    </row>
    <row r="1416" spans="1:25" x14ac:dyDescent="0.2">
      <c r="A1416" s="1037"/>
      <c r="B1416" s="1037"/>
      <c r="C1416" s="1037"/>
      <c r="D1416" s="1037"/>
      <c r="E1416" s="1037"/>
      <c r="R1416" s="1038"/>
      <c r="S1416" s="1038"/>
      <c r="T1416" s="1038"/>
      <c r="U1416" s="1038"/>
      <c r="V1416" s="1038"/>
      <c r="W1416" s="1038"/>
      <c r="X1416" s="1038"/>
      <c r="Y1416" s="1038"/>
    </row>
    <row r="1417" spans="1:25" x14ac:dyDescent="0.2">
      <c r="A1417" s="1037"/>
      <c r="B1417" s="1037"/>
      <c r="C1417" s="1037"/>
      <c r="D1417" s="1037"/>
      <c r="E1417" s="1037"/>
      <c r="R1417" s="1038"/>
      <c r="S1417" s="1038"/>
      <c r="T1417" s="1038"/>
      <c r="U1417" s="1038"/>
      <c r="V1417" s="1038"/>
      <c r="W1417" s="1038"/>
      <c r="X1417" s="1038"/>
      <c r="Y1417" s="1038"/>
    </row>
    <row r="1418" spans="1:25" x14ac:dyDescent="0.2">
      <c r="A1418" s="1037"/>
      <c r="B1418" s="1037"/>
      <c r="C1418" s="1037"/>
      <c r="D1418" s="1037"/>
      <c r="E1418" s="1037"/>
      <c r="R1418" s="1038"/>
      <c r="S1418" s="1038"/>
      <c r="T1418" s="1038"/>
      <c r="U1418" s="1038"/>
      <c r="V1418" s="1038"/>
      <c r="W1418" s="1038"/>
      <c r="X1418" s="1038"/>
      <c r="Y1418" s="1038"/>
    </row>
    <row r="1419" spans="1:25" x14ac:dyDescent="0.2">
      <c r="A1419" s="1037"/>
      <c r="B1419" s="1037"/>
      <c r="C1419" s="1037"/>
      <c r="D1419" s="1037"/>
      <c r="E1419" s="1037"/>
      <c r="R1419" s="1038"/>
      <c r="S1419" s="1038"/>
      <c r="T1419" s="1038"/>
      <c r="U1419" s="1038"/>
      <c r="V1419" s="1038"/>
      <c r="W1419" s="1038"/>
      <c r="X1419" s="1038"/>
      <c r="Y1419" s="1038"/>
    </row>
    <row r="1420" spans="1:25" x14ac:dyDescent="0.2">
      <c r="A1420" s="1037"/>
      <c r="B1420" s="1037"/>
      <c r="C1420" s="1037"/>
      <c r="D1420" s="1037"/>
      <c r="E1420" s="1037"/>
      <c r="R1420" s="1038"/>
      <c r="S1420" s="1038"/>
      <c r="T1420" s="1038"/>
      <c r="U1420" s="1038"/>
      <c r="V1420" s="1038"/>
      <c r="W1420" s="1038"/>
      <c r="X1420" s="1038"/>
      <c r="Y1420" s="1038"/>
    </row>
    <row r="1421" spans="1:25" x14ac:dyDescent="0.2">
      <c r="A1421" s="1037"/>
      <c r="B1421" s="1037"/>
      <c r="C1421" s="1037"/>
      <c r="D1421" s="1037"/>
      <c r="E1421" s="1037"/>
      <c r="R1421" s="1038"/>
      <c r="S1421" s="1038"/>
      <c r="T1421" s="1038"/>
      <c r="U1421" s="1038"/>
      <c r="V1421" s="1038"/>
      <c r="W1421" s="1038"/>
      <c r="X1421" s="1038"/>
      <c r="Y1421" s="1038"/>
    </row>
    <row r="1422" spans="1:25" x14ac:dyDescent="0.2">
      <c r="A1422" s="1037"/>
      <c r="B1422" s="1037"/>
      <c r="C1422" s="1037"/>
      <c r="D1422" s="1037"/>
      <c r="E1422" s="1037"/>
      <c r="R1422" s="1038"/>
      <c r="S1422" s="1038"/>
      <c r="T1422" s="1038"/>
      <c r="U1422" s="1038"/>
      <c r="V1422" s="1038"/>
      <c r="W1422" s="1038"/>
      <c r="X1422" s="1038"/>
      <c r="Y1422" s="1038"/>
    </row>
    <row r="1423" spans="1:25" x14ac:dyDescent="0.2">
      <c r="A1423" s="1037"/>
      <c r="B1423" s="1037"/>
      <c r="C1423" s="1037"/>
      <c r="D1423" s="1037"/>
      <c r="E1423" s="1037"/>
      <c r="R1423" s="1038"/>
      <c r="S1423" s="1038"/>
      <c r="T1423" s="1038"/>
      <c r="U1423" s="1038"/>
      <c r="V1423" s="1038"/>
      <c r="W1423" s="1038"/>
      <c r="X1423" s="1038"/>
      <c r="Y1423" s="1038"/>
    </row>
    <row r="1424" spans="1:25" x14ac:dyDescent="0.2">
      <c r="A1424" s="1037"/>
      <c r="B1424" s="1037"/>
      <c r="C1424" s="1037"/>
      <c r="D1424" s="1037"/>
      <c r="E1424" s="1037"/>
      <c r="R1424" s="1038"/>
      <c r="S1424" s="1038"/>
      <c r="T1424" s="1038"/>
      <c r="U1424" s="1038"/>
      <c r="V1424" s="1038"/>
      <c r="W1424" s="1038"/>
      <c r="X1424" s="1038"/>
      <c r="Y1424" s="1038"/>
    </row>
    <row r="1425" spans="1:25" x14ac:dyDescent="0.2">
      <c r="A1425" s="1037"/>
      <c r="B1425" s="1037"/>
      <c r="C1425" s="1037"/>
      <c r="D1425" s="1037"/>
      <c r="E1425" s="1037"/>
      <c r="R1425" s="1038"/>
      <c r="S1425" s="1038"/>
      <c r="T1425" s="1038"/>
      <c r="U1425" s="1038"/>
      <c r="V1425" s="1038"/>
      <c r="W1425" s="1038"/>
      <c r="X1425" s="1038"/>
      <c r="Y1425" s="1038"/>
    </row>
    <row r="1426" spans="1:25" x14ac:dyDescent="0.2">
      <c r="A1426" s="1037"/>
      <c r="B1426" s="1037"/>
      <c r="C1426" s="1037"/>
      <c r="D1426" s="1037"/>
      <c r="E1426" s="1037"/>
      <c r="R1426" s="1038"/>
      <c r="S1426" s="1038"/>
      <c r="T1426" s="1038"/>
      <c r="U1426" s="1038"/>
      <c r="V1426" s="1038"/>
      <c r="W1426" s="1038"/>
      <c r="X1426" s="1038"/>
      <c r="Y1426" s="1038"/>
    </row>
    <row r="1427" spans="1:25" x14ac:dyDescent="0.2">
      <c r="A1427" s="1037"/>
      <c r="B1427" s="1037"/>
      <c r="C1427" s="1037"/>
      <c r="D1427" s="1037"/>
      <c r="E1427" s="1037"/>
      <c r="R1427" s="1038"/>
      <c r="S1427" s="1038"/>
      <c r="T1427" s="1038"/>
      <c r="U1427" s="1038"/>
      <c r="V1427" s="1038"/>
      <c r="W1427" s="1038"/>
      <c r="X1427" s="1038"/>
      <c r="Y1427" s="1038"/>
    </row>
    <row r="1428" spans="1:25" x14ac:dyDescent="0.2">
      <c r="A1428" s="1037"/>
      <c r="B1428" s="1037"/>
      <c r="C1428" s="1037"/>
      <c r="D1428" s="1037"/>
      <c r="E1428" s="1037"/>
      <c r="R1428" s="1038"/>
      <c r="S1428" s="1038"/>
      <c r="T1428" s="1038"/>
      <c r="U1428" s="1038"/>
      <c r="V1428" s="1038"/>
      <c r="W1428" s="1038"/>
      <c r="X1428" s="1038"/>
      <c r="Y1428" s="1038"/>
    </row>
    <row r="1429" spans="1:25" x14ac:dyDescent="0.2">
      <c r="A1429" s="1037"/>
      <c r="B1429" s="1037"/>
      <c r="C1429" s="1037"/>
      <c r="D1429" s="1037"/>
      <c r="E1429" s="1037"/>
      <c r="R1429" s="1038"/>
      <c r="S1429" s="1038"/>
      <c r="T1429" s="1038"/>
      <c r="U1429" s="1038"/>
      <c r="V1429" s="1038"/>
      <c r="W1429" s="1038"/>
      <c r="X1429" s="1038"/>
      <c r="Y1429" s="1038"/>
    </row>
    <row r="1430" spans="1:25" x14ac:dyDescent="0.2">
      <c r="A1430" s="1037"/>
      <c r="B1430" s="1037"/>
      <c r="C1430" s="1037"/>
      <c r="D1430" s="1037"/>
      <c r="E1430" s="1037"/>
      <c r="R1430" s="1038"/>
      <c r="S1430" s="1038"/>
      <c r="T1430" s="1038"/>
      <c r="U1430" s="1038"/>
      <c r="V1430" s="1038"/>
      <c r="W1430" s="1038"/>
      <c r="X1430" s="1038"/>
      <c r="Y1430" s="1038"/>
    </row>
    <row r="1431" spans="1:25" x14ac:dyDescent="0.2">
      <c r="A1431" s="1037"/>
      <c r="B1431" s="1037"/>
      <c r="C1431" s="1037"/>
      <c r="D1431" s="1037"/>
      <c r="E1431" s="1037"/>
      <c r="R1431" s="1038"/>
      <c r="S1431" s="1038"/>
      <c r="T1431" s="1038"/>
      <c r="U1431" s="1038"/>
      <c r="V1431" s="1038"/>
      <c r="W1431" s="1038"/>
      <c r="X1431" s="1038"/>
      <c r="Y1431" s="1038"/>
    </row>
    <row r="1432" spans="1:25" x14ac:dyDescent="0.2">
      <c r="A1432" s="1037"/>
      <c r="B1432" s="1037"/>
      <c r="C1432" s="1037"/>
      <c r="D1432" s="1037"/>
      <c r="E1432" s="1037"/>
      <c r="R1432" s="1038"/>
      <c r="S1432" s="1038"/>
      <c r="T1432" s="1038"/>
      <c r="U1432" s="1038"/>
      <c r="V1432" s="1038"/>
      <c r="W1432" s="1038"/>
      <c r="X1432" s="1038"/>
      <c r="Y1432" s="1038"/>
    </row>
    <row r="1433" spans="1:25" x14ac:dyDescent="0.2">
      <c r="A1433" s="1037"/>
      <c r="B1433" s="1037"/>
      <c r="C1433" s="1037"/>
      <c r="D1433" s="1037"/>
      <c r="E1433" s="1037"/>
      <c r="R1433" s="1038"/>
      <c r="S1433" s="1038"/>
      <c r="T1433" s="1038"/>
      <c r="U1433" s="1038"/>
      <c r="V1433" s="1038"/>
      <c r="W1433" s="1038"/>
      <c r="X1433" s="1038"/>
      <c r="Y1433" s="1038"/>
    </row>
    <row r="1434" spans="1:25" x14ac:dyDescent="0.2">
      <c r="A1434" s="1037"/>
      <c r="B1434" s="1037"/>
      <c r="C1434" s="1037"/>
      <c r="D1434" s="1037"/>
      <c r="E1434" s="1037"/>
      <c r="R1434" s="1038"/>
      <c r="S1434" s="1038"/>
      <c r="T1434" s="1038"/>
      <c r="U1434" s="1038"/>
      <c r="V1434" s="1038"/>
      <c r="W1434" s="1038"/>
      <c r="X1434" s="1038"/>
      <c r="Y1434" s="1038"/>
    </row>
    <row r="1435" spans="1:25" x14ac:dyDescent="0.2">
      <c r="A1435" s="1037"/>
      <c r="B1435" s="1037"/>
      <c r="C1435" s="1037"/>
      <c r="D1435" s="1037"/>
      <c r="E1435" s="1037"/>
      <c r="R1435" s="1038"/>
      <c r="S1435" s="1038"/>
      <c r="T1435" s="1038"/>
      <c r="U1435" s="1038"/>
      <c r="V1435" s="1038"/>
      <c r="W1435" s="1038"/>
      <c r="X1435" s="1038"/>
      <c r="Y1435" s="1038"/>
    </row>
    <row r="1436" spans="1:25" x14ac:dyDescent="0.2">
      <c r="A1436" s="1037"/>
      <c r="B1436" s="1037"/>
      <c r="C1436" s="1037"/>
      <c r="D1436" s="1037"/>
      <c r="E1436" s="1037"/>
      <c r="R1436" s="1038"/>
      <c r="S1436" s="1038"/>
      <c r="T1436" s="1038"/>
      <c r="U1436" s="1038"/>
      <c r="V1436" s="1038"/>
      <c r="W1436" s="1038"/>
      <c r="X1436" s="1038"/>
      <c r="Y1436" s="1038"/>
    </row>
    <row r="1437" spans="1:25" x14ac:dyDescent="0.2">
      <c r="A1437" s="1037"/>
      <c r="B1437" s="1037"/>
      <c r="C1437" s="1037"/>
      <c r="D1437" s="1037"/>
      <c r="E1437" s="1037"/>
      <c r="R1437" s="1038"/>
      <c r="S1437" s="1038"/>
      <c r="T1437" s="1038"/>
      <c r="U1437" s="1038"/>
      <c r="V1437" s="1038"/>
      <c r="W1437" s="1038"/>
      <c r="X1437" s="1038"/>
      <c r="Y1437" s="1038"/>
    </row>
    <row r="1438" spans="1:25" x14ac:dyDescent="0.2">
      <c r="A1438" s="1037"/>
      <c r="B1438" s="1037"/>
      <c r="C1438" s="1037"/>
      <c r="D1438" s="1037"/>
      <c r="E1438" s="1037"/>
      <c r="R1438" s="1038"/>
      <c r="S1438" s="1038"/>
      <c r="T1438" s="1038"/>
      <c r="U1438" s="1038"/>
      <c r="V1438" s="1038"/>
      <c r="W1438" s="1038"/>
      <c r="X1438" s="1038"/>
      <c r="Y1438" s="1038"/>
    </row>
    <row r="1439" spans="1:25" x14ac:dyDescent="0.2">
      <c r="A1439" s="1037"/>
      <c r="B1439" s="1037"/>
      <c r="C1439" s="1037"/>
      <c r="D1439" s="1037"/>
      <c r="E1439" s="1037"/>
      <c r="R1439" s="1038"/>
      <c r="S1439" s="1038"/>
      <c r="T1439" s="1038"/>
      <c r="U1439" s="1038"/>
      <c r="V1439" s="1038"/>
      <c r="W1439" s="1038"/>
      <c r="X1439" s="1038"/>
      <c r="Y1439" s="1038"/>
    </row>
    <row r="1440" spans="1:25" x14ac:dyDescent="0.2">
      <c r="A1440" s="1037"/>
      <c r="B1440" s="1037"/>
      <c r="C1440" s="1037"/>
      <c r="D1440" s="1037"/>
      <c r="E1440" s="1037"/>
      <c r="R1440" s="1038"/>
      <c r="S1440" s="1038"/>
      <c r="T1440" s="1038"/>
      <c r="U1440" s="1038"/>
      <c r="V1440" s="1038"/>
      <c r="W1440" s="1038"/>
      <c r="X1440" s="1038"/>
      <c r="Y1440" s="1038"/>
    </row>
    <row r="1441" spans="1:25" x14ac:dyDescent="0.2">
      <c r="A1441" s="1037"/>
      <c r="B1441" s="1037"/>
      <c r="C1441" s="1037"/>
      <c r="D1441" s="1037"/>
      <c r="E1441" s="1037"/>
      <c r="R1441" s="1038"/>
      <c r="S1441" s="1038"/>
      <c r="T1441" s="1038"/>
      <c r="U1441" s="1038"/>
      <c r="V1441" s="1038"/>
      <c r="W1441" s="1038"/>
      <c r="X1441" s="1038"/>
      <c r="Y1441" s="1038"/>
    </row>
    <row r="1442" spans="1:25" x14ac:dyDescent="0.2">
      <c r="A1442" s="1037"/>
      <c r="B1442" s="1037"/>
      <c r="C1442" s="1037"/>
      <c r="D1442" s="1037"/>
      <c r="E1442" s="1037"/>
      <c r="R1442" s="1038"/>
      <c r="S1442" s="1038"/>
      <c r="T1442" s="1038"/>
      <c r="U1442" s="1038"/>
      <c r="V1442" s="1038"/>
      <c r="W1442" s="1038"/>
      <c r="X1442" s="1038"/>
      <c r="Y1442" s="1038"/>
    </row>
    <row r="1443" spans="1:25" x14ac:dyDescent="0.2">
      <c r="A1443" s="1037"/>
      <c r="B1443" s="1037"/>
      <c r="C1443" s="1037"/>
      <c r="D1443" s="1037"/>
      <c r="E1443" s="1037"/>
      <c r="R1443" s="1038"/>
      <c r="S1443" s="1038"/>
      <c r="T1443" s="1038"/>
      <c r="U1443" s="1038"/>
      <c r="V1443" s="1038"/>
      <c r="W1443" s="1038"/>
      <c r="X1443" s="1038"/>
      <c r="Y1443" s="1038"/>
    </row>
    <row r="1444" spans="1:25" x14ac:dyDescent="0.2">
      <c r="A1444" s="1037"/>
      <c r="B1444" s="1037"/>
      <c r="C1444" s="1037"/>
      <c r="D1444" s="1037"/>
      <c r="E1444" s="1037"/>
      <c r="R1444" s="1038"/>
      <c r="S1444" s="1038"/>
      <c r="T1444" s="1038"/>
      <c r="U1444" s="1038"/>
      <c r="V1444" s="1038"/>
      <c r="W1444" s="1038"/>
      <c r="X1444" s="1038"/>
      <c r="Y1444" s="1038"/>
    </row>
    <row r="1445" spans="1:25" x14ac:dyDescent="0.2">
      <c r="A1445" s="1037"/>
      <c r="B1445" s="1037"/>
      <c r="C1445" s="1037"/>
      <c r="D1445" s="1037"/>
      <c r="E1445" s="1037"/>
      <c r="R1445" s="1038"/>
      <c r="S1445" s="1038"/>
      <c r="T1445" s="1038"/>
      <c r="U1445" s="1038"/>
      <c r="V1445" s="1038"/>
      <c r="W1445" s="1038"/>
      <c r="X1445" s="1038"/>
      <c r="Y1445" s="1038"/>
    </row>
    <row r="1446" spans="1:25" x14ac:dyDescent="0.2">
      <c r="A1446" s="1037"/>
      <c r="B1446" s="1037"/>
      <c r="C1446" s="1037"/>
      <c r="D1446" s="1037"/>
      <c r="E1446" s="1037"/>
      <c r="R1446" s="1038"/>
      <c r="S1446" s="1038"/>
      <c r="T1446" s="1038"/>
      <c r="U1446" s="1038"/>
      <c r="V1446" s="1038"/>
      <c r="W1446" s="1038"/>
      <c r="X1446" s="1038"/>
      <c r="Y1446" s="1038"/>
    </row>
    <row r="1447" spans="1:25" x14ac:dyDescent="0.2">
      <c r="A1447" s="1037"/>
      <c r="B1447" s="1037"/>
      <c r="C1447" s="1037"/>
      <c r="D1447" s="1037"/>
      <c r="E1447" s="1037"/>
      <c r="R1447" s="1038"/>
      <c r="S1447" s="1038"/>
      <c r="T1447" s="1038"/>
      <c r="U1447" s="1038"/>
      <c r="V1447" s="1038"/>
      <c r="W1447" s="1038"/>
      <c r="X1447" s="1038"/>
      <c r="Y1447" s="1038"/>
    </row>
    <row r="1448" spans="1:25" x14ac:dyDescent="0.2">
      <c r="A1448" s="1037"/>
      <c r="B1448" s="1037"/>
      <c r="C1448" s="1037"/>
      <c r="D1448" s="1037"/>
      <c r="E1448" s="1037"/>
      <c r="R1448" s="1038"/>
      <c r="S1448" s="1038"/>
      <c r="T1448" s="1038"/>
      <c r="U1448" s="1038"/>
      <c r="V1448" s="1038"/>
      <c r="W1448" s="1038"/>
      <c r="X1448" s="1038"/>
      <c r="Y1448" s="1038"/>
    </row>
    <row r="1449" spans="1:25" x14ac:dyDescent="0.2">
      <c r="A1449" s="1037"/>
      <c r="B1449" s="1037"/>
      <c r="C1449" s="1037"/>
      <c r="D1449" s="1037"/>
      <c r="E1449" s="1037"/>
      <c r="R1449" s="1038"/>
      <c r="S1449" s="1038"/>
      <c r="T1449" s="1038"/>
      <c r="U1449" s="1038"/>
      <c r="V1449" s="1038"/>
      <c r="W1449" s="1038"/>
      <c r="X1449" s="1038"/>
      <c r="Y1449" s="1038"/>
    </row>
    <row r="1450" spans="1:25" x14ac:dyDescent="0.2">
      <c r="A1450" s="1037"/>
      <c r="B1450" s="1037"/>
      <c r="C1450" s="1037"/>
      <c r="D1450" s="1037"/>
      <c r="E1450" s="1037"/>
      <c r="R1450" s="1038"/>
      <c r="S1450" s="1038"/>
      <c r="T1450" s="1038"/>
      <c r="U1450" s="1038"/>
      <c r="V1450" s="1038"/>
      <c r="W1450" s="1038"/>
      <c r="X1450" s="1038"/>
      <c r="Y1450" s="1038"/>
    </row>
    <row r="1451" spans="1:25" x14ac:dyDescent="0.2">
      <c r="A1451" s="1037"/>
      <c r="B1451" s="1037"/>
      <c r="C1451" s="1037"/>
      <c r="D1451" s="1037"/>
      <c r="E1451" s="1037"/>
      <c r="R1451" s="1038"/>
      <c r="S1451" s="1038"/>
      <c r="T1451" s="1038"/>
      <c r="U1451" s="1038"/>
      <c r="V1451" s="1038"/>
      <c r="W1451" s="1038"/>
      <c r="X1451" s="1038"/>
      <c r="Y1451" s="1038"/>
    </row>
    <row r="1452" spans="1:25" x14ac:dyDescent="0.2">
      <c r="A1452" s="1037"/>
      <c r="B1452" s="1037"/>
      <c r="C1452" s="1037"/>
      <c r="D1452" s="1037"/>
      <c r="E1452" s="1037"/>
      <c r="R1452" s="1038"/>
      <c r="S1452" s="1038"/>
      <c r="T1452" s="1038"/>
      <c r="U1452" s="1038"/>
      <c r="V1452" s="1038"/>
      <c r="W1452" s="1038"/>
      <c r="X1452" s="1038"/>
      <c r="Y1452" s="1038"/>
    </row>
    <row r="1453" spans="1:25" x14ac:dyDescent="0.2">
      <c r="A1453" s="1037"/>
      <c r="B1453" s="1037"/>
      <c r="C1453" s="1037"/>
      <c r="D1453" s="1037"/>
      <c r="E1453" s="1037"/>
      <c r="R1453" s="1038"/>
      <c r="S1453" s="1038"/>
      <c r="T1453" s="1038"/>
      <c r="U1453" s="1038"/>
      <c r="V1453" s="1038"/>
      <c r="W1453" s="1038"/>
      <c r="X1453" s="1038"/>
      <c r="Y1453" s="1038"/>
    </row>
    <row r="1454" spans="1:25" x14ac:dyDescent="0.2">
      <c r="A1454" s="1037"/>
      <c r="B1454" s="1037"/>
      <c r="C1454" s="1037"/>
      <c r="D1454" s="1037"/>
      <c r="E1454" s="1037"/>
      <c r="R1454" s="1038"/>
      <c r="S1454" s="1038"/>
      <c r="T1454" s="1038"/>
      <c r="U1454" s="1038"/>
      <c r="V1454" s="1038"/>
      <c r="W1454" s="1038"/>
      <c r="X1454" s="1038"/>
      <c r="Y1454" s="1038"/>
    </row>
    <row r="1455" spans="1:25" x14ac:dyDescent="0.2">
      <c r="A1455" s="1037"/>
      <c r="B1455" s="1037"/>
      <c r="C1455" s="1037"/>
      <c r="D1455" s="1037"/>
      <c r="E1455" s="1037"/>
      <c r="R1455" s="1038"/>
      <c r="S1455" s="1038"/>
      <c r="T1455" s="1038"/>
      <c r="U1455" s="1038"/>
      <c r="V1455" s="1038"/>
      <c r="W1455" s="1038"/>
      <c r="X1455" s="1038"/>
      <c r="Y1455" s="1038"/>
    </row>
    <row r="1456" spans="1:25" x14ac:dyDescent="0.2">
      <c r="A1456" s="1037"/>
      <c r="B1456" s="1037"/>
      <c r="C1456" s="1037"/>
      <c r="D1456" s="1037"/>
      <c r="E1456" s="1037"/>
      <c r="R1456" s="1038"/>
      <c r="S1456" s="1038"/>
      <c r="T1456" s="1038"/>
      <c r="U1456" s="1038"/>
      <c r="V1456" s="1038"/>
      <c r="W1456" s="1038"/>
      <c r="X1456" s="1038"/>
      <c r="Y1456" s="1038"/>
    </row>
    <row r="1457" spans="1:25" x14ac:dyDescent="0.2">
      <c r="A1457" s="1037"/>
      <c r="B1457" s="1037"/>
      <c r="C1457" s="1037"/>
      <c r="D1457" s="1037"/>
      <c r="E1457" s="1037"/>
      <c r="R1457" s="1038"/>
      <c r="S1457" s="1038"/>
      <c r="T1457" s="1038"/>
      <c r="U1457" s="1038"/>
      <c r="V1457" s="1038"/>
      <c r="W1457" s="1038"/>
      <c r="X1457" s="1038"/>
      <c r="Y1457" s="1038"/>
    </row>
    <row r="1458" spans="1:25" x14ac:dyDescent="0.2">
      <c r="A1458" s="1037"/>
      <c r="B1458" s="1037"/>
      <c r="C1458" s="1037"/>
      <c r="D1458" s="1037"/>
      <c r="E1458" s="1037"/>
      <c r="R1458" s="1038"/>
      <c r="S1458" s="1038"/>
      <c r="T1458" s="1038"/>
      <c r="U1458" s="1038"/>
      <c r="V1458" s="1038"/>
      <c r="W1458" s="1038"/>
      <c r="X1458" s="1038"/>
      <c r="Y1458" s="1038"/>
    </row>
    <row r="1459" spans="1:25" x14ac:dyDescent="0.2">
      <c r="A1459" s="1037"/>
      <c r="B1459" s="1037"/>
      <c r="C1459" s="1037"/>
      <c r="D1459" s="1037"/>
      <c r="E1459" s="1037"/>
      <c r="R1459" s="1038"/>
      <c r="S1459" s="1038"/>
      <c r="T1459" s="1038"/>
      <c r="U1459" s="1038"/>
      <c r="V1459" s="1038"/>
      <c r="W1459" s="1038"/>
      <c r="X1459" s="1038"/>
      <c r="Y1459" s="1038"/>
    </row>
    <row r="1460" spans="1:25" x14ac:dyDescent="0.2">
      <c r="A1460" s="1037"/>
      <c r="B1460" s="1037"/>
      <c r="C1460" s="1037"/>
      <c r="D1460" s="1037"/>
      <c r="E1460" s="1037"/>
      <c r="R1460" s="1038"/>
      <c r="S1460" s="1038"/>
      <c r="T1460" s="1038"/>
      <c r="U1460" s="1038"/>
      <c r="V1460" s="1038"/>
      <c r="W1460" s="1038"/>
      <c r="X1460" s="1038"/>
      <c r="Y1460" s="1038"/>
    </row>
    <row r="1461" spans="1:25" x14ac:dyDescent="0.2">
      <c r="A1461" s="1037"/>
      <c r="B1461" s="1037"/>
      <c r="C1461" s="1037"/>
      <c r="D1461" s="1037"/>
      <c r="E1461" s="1037"/>
      <c r="R1461" s="1038"/>
      <c r="S1461" s="1038"/>
      <c r="T1461" s="1038"/>
      <c r="U1461" s="1038"/>
      <c r="V1461" s="1038"/>
      <c r="W1461" s="1038"/>
      <c r="X1461" s="1038"/>
      <c r="Y1461" s="1038"/>
    </row>
    <row r="1462" spans="1:25" x14ac:dyDescent="0.2">
      <c r="A1462" s="1037"/>
      <c r="B1462" s="1037"/>
      <c r="C1462" s="1037"/>
      <c r="D1462" s="1037"/>
      <c r="E1462" s="1037"/>
      <c r="R1462" s="1038"/>
      <c r="S1462" s="1038"/>
      <c r="T1462" s="1038"/>
      <c r="U1462" s="1038"/>
      <c r="V1462" s="1038"/>
      <c r="W1462" s="1038"/>
      <c r="X1462" s="1038"/>
      <c r="Y1462" s="1038"/>
    </row>
    <row r="1463" spans="1:25" x14ac:dyDescent="0.2">
      <c r="A1463" s="1037"/>
      <c r="B1463" s="1037"/>
      <c r="C1463" s="1037"/>
      <c r="D1463" s="1037"/>
      <c r="E1463" s="1037"/>
      <c r="R1463" s="1038"/>
      <c r="S1463" s="1038"/>
      <c r="T1463" s="1038"/>
      <c r="U1463" s="1038"/>
      <c r="V1463" s="1038"/>
      <c r="W1463" s="1038"/>
      <c r="X1463" s="1038"/>
      <c r="Y1463" s="1038"/>
    </row>
    <row r="1464" spans="1:25" x14ac:dyDescent="0.2">
      <c r="A1464" s="1037"/>
      <c r="B1464" s="1037"/>
      <c r="C1464" s="1037"/>
      <c r="D1464" s="1037"/>
      <c r="E1464" s="1037"/>
      <c r="R1464" s="1038"/>
      <c r="S1464" s="1038"/>
      <c r="T1464" s="1038"/>
      <c r="U1464" s="1038"/>
      <c r="V1464" s="1038"/>
      <c r="W1464" s="1038"/>
      <c r="X1464" s="1038"/>
      <c r="Y1464" s="1038"/>
    </row>
    <row r="1465" spans="1:25" x14ac:dyDescent="0.2">
      <c r="A1465" s="1037"/>
      <c r="B1465" s="1037"/>
      <c r="C1465" s="1037"/>
      <c r="D1465" s="1037"/>
      <c r="E1465" s="1037"/>
      <c r="R1465" s="1038"/>
      <c r="S1465" s="1038"/>
      <c r="T1465" s="1038"/>
      <c r="U1465" s="1038"/>
      <c r="V1465" s="1038"/>
      <c r="W1465" s="1038"/>
      <c r="X1465" s="1038"/>
      <c r="Y1465" s="1038"/>
    </row>
    <row r="1466" spans="1:25" x14ac:dyDescent="0.2">
      <c r="A1466" s="1037"/>
      <c r="B1466" s="1037"/>
      <c r="C1466" s="1037"/>
      <c r="D1466" s="1037"/>
      <c r="E1466" s="1037"/>
      <c r="R1466" s="1038"/>
      <c r="S1466" s="1038"/>
      <c r="T1466" s="1038"/>
      <c r="U1466" s="1038"/>
      <c r="V1466" s="1038"/>
      <c r="W1466" s="1038"/>
      <c r="X1466" s="1038"/>
      <c r="Y1466" s="1038"/>
    </row>
    <row r="1467" spans="1:25" x14ac:dyDescent="0.2">
      <c r="A1467" s="1037"/>
      <c r="B1467" s="1037"/>
      <c r="C1467" s="1037"/>
      <c r="D1467" s="1037"/>
      <c r="E1467" s="1037"/>
      <c r="R1467" s="1038"/>
      <c r="S1467" s="1038"/>
      <c r="T1467" s="1038"/>
      <c r="U1467" s="1038"/>
      <c r="V1467" s="1038"/>
      <c r="W1467" s="1038"/>
      <c r="X1467" s="1038"/>
      <c r="Y1467" s="1038"/>
    </row>
    <row r="1468" spans="1:25" x14ac:dyDescent="0.2">
      <c r="A1468" s="1037"/>
      <c r="B1468" s="1037"/>
      <c r="C1468" s="1037"/>
      <c r="D1468" s="1037"/>
      <c r="E1468" s="1037"/>
      <c r="R1468" s="1038"/>
      <c r="S1468" s="1038"/>
      <c r="T1468" s="1038"/>
      <c r="U1468" s="1038"/>
      <c r="V1468" s="1038"/>
      <c r="W1468" s="1038"/>
      <c r="X1468" s="1038"/>
      <c r="Y1468" s="1038"/>
    </row>
    <row r="1469" spans="1:25" x14ac:dyDescent="0.2">
      <c r="A1469" s="1037"/>
      <c r="B1469" s="1037"/>
      <c r="C1469" s="1037"/>
      <c r="D1469" s="1037"/>
      <c r="E1469" s="1037"/>
      <c r="R1469" s="1038"/>
      <c r="S1469" s="1038"/>
      <c r="T1469" s="1038"/>
      <c r="U1469" s="1038"/>
      <c r="V1469" s="1038"/>
      <c r="W1469" s="1038"/>
      <c r="X1469" s="1038"/>
      <c r="Y1469" s="1038"/>
    </row>
    <row r="1470" spans="1:25" x14ac:dyDescent="0.2">
      <c r="A1470" s="1037"/>
      <c r="B1470" s="1037"/>
      <c r="C1470" s="1037"/>
      <c r="D1470" s="1037"/>
      <c r="E1470" s="1037"/>
      <c r="R1470" s="1038"/>
      <c r="S1470" s="1038"/>
      <c r="T1470" s="1038"/>
      <c r="U1470" s="1038"/>
      <c r="V1470" s="1038"/>
      <c r="W1470" s="1038"/>
      <c r="X1470" s="1038"/>
      <c r="Y1470" s="1038"/>
    </row>
    <row r="1471" spans="1:25" x14ac:dyDescent="0.2">
      <c r="A1471" s="1037"/>
      <c r="B1471" s="1037"/>
      <c r="C1471" s="1037"/>
      <c r="D1471" s="1037"/>
      <c r="E1471" s="1037"/>
      <c r="R1471" s="1038"/>
      <c r="S1471" s="1038"/>
      <c r="T1471" s="1038"/>
      <c r="U1471" s="1038"/>
      <c r="V1471" s="1038"/>
      <c r="W1471" s="1038"/>
      <c r="X1471" s="1038"/>
      <c r="Y1471" s="1038"/>
    </row>
    <row r="1472" spans="1:25" x14ac:dyDescent="0.2">
      <c r="A1472" s="1037"/>
      <c r="B1472" s="1037"/>
      <c r="C1472" s="1037"/>
      <c r="D1472" s="1037"/>
      <c r="E1472" s="1037"/>
      <c r="R1472" s="1038"/>
      <c r="S1472" s="1038"/>
      <c r="T1472" s="1038"/>
      <c r="U1472" s="1038"/>
      <c r="V1472" s="1038"/>
      <c r="W1472" s="1038"/>
      <c r="X1472" s="1038"/>
      <c r="Y1472" s="1038"/>
    </row>
    <row r="1473" spans="1:25" x14ac:dyDescent="0.2">
      <c r="A1473" s="1037"/>
      <c r="B1473" s="1037"/>
      <c r="C1473" s="1037"/>
      <c r="D1473" s="1037"/>
      <c r="E1473" s="1037"/>
      <c r="R1473" s="1038"/>
      <c r="S1473" s="1038"/>
      <c r="T1473" s="1038"/>
      <c r="U1473" s="1038"/>
      <c r="V1473" s="1038"/>
      <c r="W1473" s="1038"/>
      <c r="X1473" s="1038"/>
      <c r="Y1473" s="1038"/>
    </row>
    <row r="1474" spans="1:25" x14ac:dyDescent="0.2">
      <c r="A1474" s="1037"/>
      <c r="B1474" s="1037"/>
      <c r="C1474" s="1037"/>
      <c r="D1474" s="1037"/>
      <c r="E1474" s="1037"/>
      <c r="R1474" s="1038"/>
      <c r="S1474" s="1038"/>
      <c r="T1474" s="1038"/>
      <c r="U1474" s="1038"/>
      <c r="V1474" s="1038"/>
      <c r="W1474" s="1038"/>
      <c r="X1474" s="1038"/>
      <c r="Y1474" s="1038"/>
    </row>
    <row r="1475" spans="1:25" x14ac:dyDescent="0.2">
      <c r="A1475" s="1037"/>
      <c r="B1475" s="1037"/>
      <c r="C1475" s="1037"/>
      <c r="D1475" s="1037"/>
      <c r="E1475" s="1037"/>
      <c r="R1475" s="1038"/>
      <c r="S1475" s="1038"/>
      <c r="T1475" s="1038"/>
      <c r="U1475" s="1038"/>
      <c r="V1475" s="1038"/>
      <c r="W1475" s="1038"/>
      <c r="X1475" s="1038"/>
      <c r="Y1475" s="1038"/>
    </row>
    <row r="1476" spans="1:25" x14ac:dyDescent="0.2">
      <c r="A1476" s="1037"/>
      <c r="B1476" s="1037"/>
      <c r="C1476" s="1037"/>
      <c r="D1476" s="1037"/>
      <c r="E1476" s="1037"/>
      <c r="R1476" s="1038"/>
      <c r="S1476" s="1038"/>
      <c r="T1476" s="1038"/>
      <c r="U1476" s="1038"/>
      <c r="V1476" s="1038"/>
      <c r="W1476" s="1038"/>
      <c r="X1476" s="1038"/>
      <c r="Y1476" s="1038"/>
    </row>
    <row r="1477" spans="1:25" x14ac:dyDescent="0.2">
      <c r="A1477" s="1037"/>
      <c r="B1477" s="1037"/>
      <c r="C1477" s="1037"/>
      <c r="D1477" s="1037"/>
      <c r="E1477" s="1037"/>
      <c r="R1477" s="1038"/>
      <c r="S1477" s="1038"/>
      <c r="T1477" s="1038"/>
      <c r="U1477" s="1038"/>
      <c r="V1477" s="1038"/>
      <c r="W1477" s="1038"/>
      <c r="X1477" s="1038"/>
      <c r="Y1477" s="1038"/>
    </row>
    <row r="1478" spans="1:25" x14ac:dyDescent="0.2">
      <c r="A1478" s="1037"/>
      <c r="B1478" s="1037"/>
      <c r="C1478" s="1037"/>
      <c r="D1478" s="1037"/>
      <c r="E1478" s="1037"/>
      <c r="R1478" s="1038"/>
      <c r="S1478" s="1038"/>
      <c r="T1478" s="1038"/>
      <c r="U1478" s="1038"/>
      <c r="V1478" s="1038"/>
      <c r="W1478" s="1038"/>
      <c r="X1478" s="1038"/>
      <c r="Y1478" s="1038"/>
    </row>
    <row r="1479" spans="1:25" x14ac:dyDescent="0.2">
      <c r="A1479" s="1037"/>
      <c r="B1479" s="1037"/>
      <c r="C1479" s="1037"/>
      <c r="D1479" s="1037"/>
      <c r="E1479" s="1037"/>
      <c r="R1479" s="1038"/>
      <c r="S1479" s="1038"/>
      <c r="T1479" s="1038"/>
      <c r="U1479" s="1038"/>
      <c r="V1479" s="1038"/>
      <c r="W1479" s="1038"/>
      <c r="X1479" s="1038"/>
      <c r="Y1479" s="1038"/>
    </row>
    <row r="1480" spans="1:25" x14ac:dyDescent="0.2">
      <c r="A1480" s="1037"/>
      <c r="B1480" s="1037"/>
      <c r="C1480" s="1037"/>
      <c r="D1480" s="1037"/>
      <c r="E1480" s="1037"/>
      <c r="R1480" s="1038"/>
      <c r="S1480" s="1038"/>
      <c r="T1480" s="1038"/>
      <c r="U1480" s="1038"/>
      <c r="V1480" s="1038"/>
      <c r="W1480" s="1038"/>
      <c r="X1480" s="1038"/>
      <c r="Y1480" s="1038"/>
    </row>
    <row r="1481" spans="1:25" x14ac:dyDescent="0.2">
      <c r="A1481" s="1037"/>
      <c r="B1481" s="1037"/>
      <c r="C1481" s="1037"/>
      <c r="D1481" s="1037"/>
      <c r="E1481" s="1037"/>
      <c r="R1481" s="1038"/>
      <c r="S1481" s="1038"/>
      <c r="T1481" s="1038"/>
      <c r="U1481" s="1038"/>
      <c r="V1481" s="1038"/>
      <c r="W1481" s="1038"/>
      <c r="X1481" s="1038"/>
      <c r="Y1481" s="1038"/>
    </row>
    <row r="1482" spans="1:25" x14ac:dyDescent="0.2">
      <c r="A1482" s="1037"/>
      <c r="B1482" s="1037"/>
      <c r="C1482" s="1037"/>
      <c r="D1482" s="1037"/>
      <c r="E1482" s="1037"/>
      <c r="R1482" s="1038"/>
      <c r="S1482" s="1038"/>
      <c r="T1482" s="1038"/>
      <c r="U1482" s="1038"/>
      <c r="V1482" s="1038"/>
      <c r="W1482" s="1038"/>
      <c r="X1482" s="1038"/>
      <c r="Y1482" s="1038"/>
    </row>
    <row r="1483" spans="1:25" x14ac:dyDescent="0.2">
      <c r="A1483" s="1037"/>
      <c r="B1483" s="1037"/>
      <c r="C1483" s="1037"/>
      <c r="D1483" s="1037"/>
      <c r="E1483" s="1037"/>
      <c r="R1483" s="1038"/>
      <c r="S1483" s="1038"/>
      <c r="T1483" s="1038"/>
      <c r="U1483" s="1038"/>
      <c r="V1483" s="1038"/>
      <c r="W1483" s="1038"/>
      <c r="X1483" s="1038"/>
      <c r="Y1483" s="1038"/>
    </row>
    <row r="1484" spans="1:25" x14ac:dyDescent="0.2">
      <c r="A1484" s="1037"/>
      <c r="B1484" s="1037"/>
      <c r="C1484" s="1037"/>
      <c r="D1484" s="1037"/>
      <c r="E1484" s="1037"/>
      <c r="R1484" s="1038"/>
      <c r="S1484" s="1038"/>
      <c r="T1484" s="1038"/>
      <c r="U1484" s="1038"/>
      <c r="V1484" s="1038"/>
      <c r="W1484" s="1038"/>
      <c r="X1484" s="1038"/>
      <c r="Y1484" s="1038"/>
    </row>
    <row r="1485" spans="1:25" x14ac:dyDescent="0.2">
      <c r="A1485" s="1037"/>
      <c r="B1485" s="1037"/>
      <c r="C1485" s="1037"/>
      <c r="D1485" s="1037"/>
      <c r="E1485" s="1037"/>
      <c r="R1485" s="1038"/>
      <c r="S1485" s="1038"/>
      <c r="T1485" s="1038"/>
      <c r="U1485" s="1038"/>
      <c r="V1485" s="1038"/>
      <c r="W1485" s="1038"/>
      <c r="X1485" s="1038"/>
      <c r="Y1485" s="1038"/>
    </row>
    <row r="1486" spans="1:25" x14ac:dyDescent="0.2">
      <c r="A1486" s="1037"/>
      <c r="B1486" s="1037"/>
      <c r="C1486" s="1037"/>
      <c r="D1486" s="1037"/>
      <c r="E1486" s="1037"/>
      <c r="R1486" s="1038"/>
      <c r="S1486" s="1038"/>
      <c r="T1486" s="1038"/>
      <c r="U1486" s="1038"/>
      <c r="V1486" s="1038"/>
      <c r="W1486" s="1038"/>
      <c r="X1486" s="1038"/>
      <c r="Y1486" s="1038"/>
    </row>
    <row r="1487" spans="1:25" x14ac:dyDescent="0.2">
      <c r="A1487" s="1037"/>
      <c r="B1487" s="1037"/>
      <c r="C1487" s="1037"/>
      <c r="D1487" s="1037"/>
      <c r="E1487" s="1037"/>
      <c r="R1487" s="1038"/>
      <c r="S1487" s="1038"/>
      <c r="T1487" s="1038"/>
      <c r="U1487" s="1038"/>
      <c r="V1487" s="1038"/>
      <c r="W1487" s="1038"/>
      <c r="X1487" s="1038"/>
      <c r="Y1487" s="1038"/>
    </row>
    <row r="1488" spans="1:25" x14ac:dyDescent="0.2">
      <c r="A1488" s="1037"/>
      <c r="B1488" s="1037"/>
      <c r="C1488" s="1037"/>
      <c r="D1488" s="1037"/>
      <c r="E1488" s="1037"/>
      <c r="R1488" s="1038"/>
      <c r="S1488" s="1038"/>
      <c r="T1488" s="1038"/>
      <c r="U1488" s="1038"/>
      <c r="V1488" s="1038"/>
      <c r="W1488" s="1038"/>
      <c r="X1488" s="1038"/>
      <c r="Y1488" s="1038"/>
    </row>
    <row r="1489" spans="1:25" x14ac:dyDescent="0.2">
      <c r="A1489" s="1037"/>
      <c r="B1489" s="1037"/>
      <c r="C1489" s="1037"/>
      <c r="D1489" s="1037"/>
      <c r="E1489" s="1037"/>
      <c r="R1489" s="1038"/>
      <c r="S1489" s="1038"/>
      <c r="T1489" s="1038"/>
      <c r="U1489" s="1038"/>
      <c r="V1489" s="1038"/>
      <c r="W1489" s="1038"/>
      <c r="X1489" s="1038"/>
      <c r="Y1489" s="1038"/>
    </row>
    <row r="1490" spans="1:25" x14ac:dyDescent="0.2">
      <c r="A1490" s="1037"/>
      <c r="B1490" s="1037"/>
      <c r="C1490" s="1037"/>
      <c r="D1490" s="1037"/>
      <c r="E1490" s="1037"/>
      <c r="R1490" s="1038"/>
      <c r="S1490" s="1038"/>
      <c r="T1490" s="1038"/>
      <c r="U1490" s="1038"/>
      <c r="V1490" s="1038"/>
      <c r="W1490" s="1038"/>
      <c r="X1490" s="1038"/>
      <c r="Y1490" s="1038"/>
    </row>
    <row r="1491" spans="1:25" x14ac:dyDescent="0.2">
      <c r="A1491" s="1037"/>
      <c r="B1491" s="1037"/>
      <c r="C1491" s="1037"/>
      <c r="D1491" s="1037"/>
      <c r="E1491" s="1037"/>
      <c r="R1491" s="1038"/>
      <c r="S1491" s="1038"/>
      <c r="T1491" s="1038"/>
      <c r="U1491" s="1038"/>
      <c r="V1491" s="1038"/>
      <c r="W1491" s="1038"/>
      <c r="X1491" s="1038"/>
      <c r="Y1491" s="1038"/>
    </row>
    <row r="1492" spans="1:25" x14ac:dyDescent="0.2">
      <c r="A1492" s="1037"/>
      <c r="B1492" s="1037"/>
      <c r="C1492" s="1037"/>
      <c r="D1492" s="1037"/>
      <c r="E1492" s="1037"/>
      <c r="R1492" s="1038"/>
      <c r="S1492" s="1038"/>
      <c r="T1492" s="1038"/>
      <c r="U1492" s="1038"/>
      <c r="V1492" s="1038"/>
      <c r="W1492" s="1038"/>
      <c r="X1492" s="1038"/>
      <c r="Y1492" s="1038"/>
    </row>
    <row r="1493" spans="1:25" x14ac:dyDescent="0.2">
      <c r="A1493" s="1037"/>
      <c r="B1493" s="1037"/>
      <c r="C1493" s="1037"/>
      <c r="D1493" s="1037"/>
      <c r="E1493" s="1037"/>
      <c r="R1493" s="1038"/>
      <c r="S1493" s="1038"/>
      <c r="T1493" s="1038"/>
      <c r="U1493" s="1038"/>
      <c r="V1493" s="1038"/>
      <c r="W1493" s="1038"/>
      <c r="X1493" s="1038"/>
      <c r="Y1493" s="1038"/>
    </row>
    <row r="1494" spans="1:25" x14ac:dyDescent="0.2">
      <c r="A1494" s="1037"/>
      <c r="B1494" s="1037"/>
      <c r="C1494" s="1037"/>
      <c r="D1494" s="1037"/>
      <c r="E1494" s="1037"/>
      <c r="R1494" s="1038"/>
      <c r="S1494" s="1038"/>
      <c r="T1494" s="1038"/>
      <c r="U1494" s="1038"/>
      <c r="V1494" s="1038"/>
      <c r="W1494" s="1038"/>
      <c r="X1494" s="1038"/>
      <c r="Y1494" s="1038"/>
    </row>
    <row r="1495" spans="1:25" x14ac:dyDescent="0.2">
      <c r="A1495" s="1037"/>
      <c r="B1495" s="1037"/>
      <c r="C1495" s="1037"/>
      <c r="D1495" s="1037"/>
      <c r="E1495" s="1037"/>
      <c r="R1495" s="1038"/>
      <c r="S1495" s="1038"/>
      <c r="T1495" s="1038"/>
      <c r="U1495" s="1038"/>
      <c r="V1495" s="1038"/>
      <c r="W1495" s="1038"/>
      <c r="X1495" s="1038"/>
      <c r="Y1495" s="1038"/>
    </row>
    <row r="1496" spans="1:25" x14ac:dyDescent="0.2">
      <c r="A1496" s="1037"/>
      <c r="B1496" s="1037"/>
      <c r="C1496" s="1037"/>
      <c r="D1496" s="1037"/>
      <c r="E1496" s="1037"/>
      <c r="R1496" s="1038"/>
      <c r="S1496" s="1038"/>
      <c r="T1496" s="1038"/>
      <c r="U1496" s="1038"/>
      <c r="V1496" s="1038"/>
      <c r="W1496" s="1038"/>
      <c r="X1496" s="1038"/>
      <c r="Y1496" s="1038"/>
    </row>
    <row r="1497" spans="1:25" x14ac:dyDescent="0.2">
      <c r="A1497" s="1037"/>
      <c r="B1497" s="1037"/>
      <c r="C1497" s="1037"/>
      <c r="D1497" s="1037"/>
      <c r="E1497" s="1037"/>
      <c r="R1497" s="1038"/>
      <c r="S1497" s="1038"/>
      <c r="T1497" s="1038"/>
      <c r="U1497" s="1038"/>
      <c r="V1497" s="1038"/>
      <c r="W1497" s="1038"/>
      <c r="X1497" s="1038"/>
      <c r="Y1497" s="1038"/>
    </row>
    <row r="1498" spans="1:25" x14ac:dyDescent="0.2">
      <c r="A1498" s="1037"/>
      <c r="B1498" s="1037"/>
      <c r="C1498" s="1037"/>
      <c r="D1498" s="1037"/>
      <c r="E1498" s="1037"/>
      <c r="R1498" s="1038"/>
      <c r="S1498" s="1038"/>
      <c r="T1498" s="1038"/>
      <c r="U1498" s="1038"/>
      <c r="V1498" s="1038"/>
      <c r="W1498" s="1038"/>
      <c r="X1498" s="1038"/>
      <c r="Y1498" s="1038"/>
    </row>
    <row r="1499" spans="1:25" x14ac:dyDescent="0.2">
      <c r="A1499" s="1037"/>
      <c r="B1499" s="1037"/>
      <c r="C1499" s="1037"/>
      <c r="D1499" s="1037"/>
      <c r="E1499" s="1037"/>
      <c r="R1499" s="1038"/>
      <c r="S1499" s="1038"/>
      <c r="T1499" s="1038"/>
      <c r="U1499" s="1038"/>
      <c r="V1499" s="1038"/>
      <c r="W1499" s="1038"/>
      <c r="X1499" s="1038"/>
      <c r="Y1499" s="1038"/>
    </row>
    <row r="1500" spans="1:25" x14ac:dyDescent="0.2">
      <c r="A1500" s="1037"/>
      <c r="B1500" s="1037"/>
      <c r="C1500" s="1037"/>
      <c r="D1500" s="1037"/>
      <c r="E1500" s="1037"/>
      <c r="R1500" s="1038"/>
      <c r="S1500" s="1038"/>
      <c r="T1500" s="1038"/>
      <c r="U1500" s="1038"/>
      <c r="V1500" s="1038"/>
      <c r="W1500" s="1038"/>
      <c r="X1500" s="1038"/>
      <c r="Y1500" s="1038"/>
    </row>
    <row r="1501" spans="1:25" x14ac:dyDescent="0.2">
      <c r="A1501" s="1037"/>
      <c r="B1501" s="1037"/>
      <c r="C1501" s="1037"/>
      <c r="D1501" s="1037"/>
      <c r="E1501" s="1037"/>
      <c r="R1501" s="1038"/>
      <c r="S1501" s="1038"/>
      <c r="T1501" s="1038"/>
      <c r="U1501" s="1038"/>
      <c r="V1501" s="1038"/>
      <c r="W1501" s="1038"/>
      <c r="X1501" s="1038"/>
      <c r="Y1501" s="1038"/>
    </row>
    <row r="1502" spans="1:25" x14ac:dyDescent="0.2">
      <c r="A1502" s="1037"/>
      <c r="B1502" s="1037"/>
      <c r="C1502" s="1037"/>
      <c r="D1502" s="1037"/>
      <c r="E1502" s="1037"/>
      <c r="R1502" s="1038"/>
      <c r="S1502" s="1038"/>
      <c r="T1502" s="1038"/>
      <c r="U1502" s="1038"/>
      <c r="V1502" s="1038"/>
      <c r="W1502" s="1038"/>
      <c r="X1502" s="1038"/>
      <c r="Y1502" s="1038"/>
    </row>
    <row r="1503" spans="1:25" x14ac:dyDescent="0.2">
      <c r="A1503" s="1037"/>
      <c r="B1503" s="1037"/>
      <c r="C1503" s="1037"/>
      <c r="D1503" s="1037"/>
      <c r="E1503" s="1037"/>
      <c r="R1503" s="1038"/>
      <c r="S1503" s="1038"/>
      <c r="T1503" s="1038"/>
      <c r="U1503" s="1038"/>
      <c r="V1503" s="1038"/>
      <c r="W1503" s="1038"/>
      <c r="X1503" s="1038"/>
      <c r="Y1503" s="1038"/>
    </row>
    <row r="1504" spans="1:25" x14ac:dyDescent="0.2">
      <c r="A1504" s="1037"/>
      <c r="B1504" s="1037"/>
      <c r="C1504" s="1037"/>
      <c r="D1504" s="1037"/>
      <c r="E1504" s="1037"/>
      <c r="R1504" s="1038"/>
      <c r="S1504" s="1038"/>
      <c r="T1504" s="1038"/>
      <c r="U1504" s="1038"/>
      <c r="V1504" s="1038"/>
      <c r="W1504" s="1038"/>
      <c r="X1504" s="1038"/>
      <c r="Y1504" s="1038"/>
    </row>
    <row r="1505" spans="1:25" x14ac:dyDescent="0.2">
      <c r="A1505" s="1037"/>
      <c r="B1505" s="1037"/>
      <c r="C1505" s="1037"/>
      <c r="D1505" s="1037"/>
      <c r="E1505" s="1037"/>
      <c r="R1505" s="1038"/>
      <c r="S1505" s="1038"/>
      <c r="T1505" s="1038"/>
      <c r="U1505" s="1038"/>
      <c r="V1505" s="1038"/>
      <c r="W1505" s="1038"/>
      <c r="X1505" s="1038"/>
      <c r="Y1505" s="1038"/>
    </row>
    <row r="1506" spans="1:25" x14ac:dyDescent="0.2">
      <c r="A1506" s="1037"/>
      <c r="B1506" s="1037"/>
      <c r="C1506" s="1037"/>
      <c r="D1506" s="1037"/>
      <c r="E1506" s="1037"/>
      <c r="R1506" s="1038"/>
      <c r="S1506" s="1038"/>
      <c r="T1506" s="1038"/>
      <c r="U1506" s="1038"/>
      <c r="V1506" s="1038"/>
      <c r="W1506" s="1038"/>
      <c r="X1506" s="1038"/>
      <c r="Y1506" s="1038"/>
    </row>
    <row r="1507" spans="1:25" x14ac:dyDescent="0.2">
      <c r="A1507" s="1037"/>
      <c r="B1507" s="1037"/>
      <c r="C1507" s="1037"/>
      <c r="D1507" s="1037"/>
      <c r="E1507" s="1037"/>
      <c r="R1507" s="1038"/>
      <c r="S1507" s="1038"/>
      <c r="T1507" s="1038"/>
      <c r="U1507" s="1038"/>
      <c r="V1507" s="1038"/>
      <c r="W1507" s="1038"/>
      <c r="X1507" s="1038"/>
      <c r="Y1507" s="1038"/>
    </row>
    <row r="1508" spans="1:25" x14ac:dyDescent="0.2">
      <c r="A1508" s="1037"/>
      <c r="B1508" s="1037"/>
      <c r="C1508" s="1037"/>
      <c r="D1508" s="1037"/>
      <c r="E1508" s="1037"/>
      <c r="R1508" s="1038"/>
      <c r="S1508" s="1038"/>
      <c r="T1508" s="1038"/>
      <c r="U1508" s="1038"/>
      <c r="V1508" s="1038"/>
      <c r="W1508" s="1038"/>
      <c r="X1508" s="1038"/>
      <c r="Y1508" s="1038"/>
    </row>
    <row r="1509" spans="1:25" x14ac:dyDescent="0.2">
      <c r="A1509" s="1037"/>
      <c r="B1509" s="1037"/>
      <c r="C1509" s="1037"/>
      <c r="D1509" s="1037"/>
      <c r="E1509" s="1037"/>
      <c r="R1509" s="1038"/>
      <c r="S1509" s="1038"/>
      <c r="T1509" s="1038"/>
      <c r="U1509" s="1038"/>
      <c r="V1509" s="1038"/>
      <c r="W1509" s="1038"/>
      <c r="X1509" s="1038"/>
      <c r="Y1509" s="1038"/>
    </row>
    <row r="1510" spans="1:25" x14ac:dyDescent="0.2">
      <c r="A1510" s="1037"/>
      <c r="B1510" s="1037"/>
      <c r="C1510" s="1037"/>
      <c r="D1510" s="1037"/>
      <c r="E1510" s="1037"/>
      <c r="R1510" s="1038"/>
      <c r="S1510" s="1038"/>
      <c r="T1510" s="1038"/>
      <c r="U1510" s="1038"/>
      <c r="V1510" s="1038"/>
      <c r="W1510" s="1038"/>
      <c r="X1510" s="1038"/>
      <c r="Y1510" s="1038"/>
    </row>
    <row r="1511" spans="1:25" x14ac:dyDescent="0.2">
      <c r="A1511" s="1037"/>
      <c r="B1511" s="1037"/>
      <c r="C1511" s="1037"/>
      <c r="D1511" s="1037"/>
      <c r="E1511" s="1037"/>
      <c r="R1511" s="1038"/>
      <c r="S1511" s="1038"/>
      <c r="T1511" s="1038"/>
      <c r="U1511" s="1038"/>
      <c r="V1511" s="1038"/>
      <c r="W1511" s="1038"/>
      <c r="X1511" s="1038"/>
      <c r="Y1511" s="1038"/>
    </row>
    <row r="1512" spans="1:25" x14ac:dyDescent="0.2">
      <c r="A1512" s="1037"/>
      <c r="B1512" s="1037"/>
      <c r="C1512" s="1037"/>
      <c r="D1512" s="1037"/>
      <c r="E1512" s="1037"/>
      <c r="R1512" s="1038"/>
      <c r="S1512" s="1038"/>
      <c r="T1512" s="1038"/>
      <c r="U1512" s="1038"/>
      <c r="V1512" s="1038"/>
      <c r="W1512" s="1038"/>
      <c r="X1512" s="1038"/>
      <c r="Y1512" s="1038"/>
    </row>
    <row r="1513" spans="1:25" x14ac:dyDescent="0.2">
      <c r="A1513" s="1037"/>
      <c r="B1513" s="1037"/>
      <c r="C1513" s="1037"/>
      <c r="D1513" s="1037"/>
      <c r="E1513" s="1037"/>
      <c r="R1513" s="1038"/>
      <c r="S1513" s="1038"/>
      <c r="T1513" s="1038"/>
      <c r="U1513" s="1038"/>
      <c r="V1513" s="1038"/>
      <c r="W1513" s="1038"/>
      <c r="X1513" s="1038"/>
      <c r="Y1513" s="1038"/>
    </row>
    <row r="1514" spans="1:25" x14ac:dyDescent="0.2">
      <c r="A1514" s="1037"/>
      <c r="B1514" s="1037"/>
      <c r="C1514" s="1037"/>
      <c r="D1514" s="1037"/>
      <c r="E1514" s="1037"/>
      <c r="R1514" s="1038"/>
      <c r="S1514" s="1038"/>
      <c r="T1514" s="1038"/>
      <c r="U1514" s="1038"/>
      <c r="V1514" s="1038"/>
      <c r="W1514" s="1038"/>
      <c r="X1514" s="1038"/>
      <c r="Y1514" s="1038"/>
    </row>
    <row r="1515" spans="1:25" x14ac:dyDescent="0.2">
      <c r="A1515" s="1037"/>
      <c r="B1515" s="1037"/>
      <c r="C1515" s="1037"/>
      <c r="D1515" s="1037"/>
      <c r="E1515" s="1037"/>
      <c r="R1515" s="1038"/>
      <c r="S1515" s="1038"/>
      <c r="T1515" s="1038"/>
      <c r="U1515" s="1038"/>
      <c r="V1515" s="1038"/>
      <c r="W1515" s="1038"/>
      <c r="X1515" s="1038"/>
      <c r="Y1515" s="1038"/>
    </row>
    <row r="1516" spans="1:25" x14ac:dyDescent="0.2">
      <c r="A1516" s="1037"/>
      <c r="B1516" s="1037"/>
      <c r="C1516" s="1037"/>
      <c r="D1516" s="1037"/>
      <c r="E1516" s="1037"/>
      <c r="R1516" s="1038"/>
      <c r="S1516" s="1038"/>
      <c r="T1516" s="1038"/>
      <c r="U1516" s="1038"/>
      <c r="V1516" s="1038"/>
      <c r="W1516" s="1038"/>
      <c r="X1516" s="1038"/>
      <c r="Y1516" s="1038"/>
    </row>
    <row r="1517" spans="1:25" x14ac:dyDescent="0.2">
      <c r="A1517" s="1037"/>
      <c r="B1517" s="1037"/>
      <c r="C1517" s="1037"/>
      <c r="D1517" s="1037"/>
      <c r="E1517" s="1037"/>
      <c r="R1517" s="1038"/>
      <c r="S1517" s="1038"/>
      <c r="T1517" s="1038"/>
      <c r="U1517" s="1038"/>
      <c r="V1517" s="1038"/>
      <c r="W1517" s="1038"/>
      <c r="X1517" s="1038"/>
      <c r="Y1517" s="1038"/>
    </row>
    <row r="1518" spans="1:25" x14ac:dyDescent="0.2">
      <c r="A1518" s="1037"/>
      <c r="B1518" s="1037"/>
      <c r="C1518" s="1037"/>
      <c r="D1518" s="1037"/>
      <c r="E1518" s="1037"/>
      <c r="R1518" s="1038"/>
      <c r="S1518" s="1038"/>
      <c r="T1518" s="1038"/>
      <c r="U1518" s="1038"/>
      <c r="V1518" s="1038"/>
      <c r="W1518" s="1038"/>
      <c r="X1518" s="1038"/>
      <c r="Y1518" s="1038"/>
    </row>
    <row r="1519" spans="1:25" x14ac:dyDescent="0.2">
      <c r="A1519" s="1037"/>
      <c r="B1519" s="1037"/>
      <c r="C1519" s="1037"/>
      <c r="D1519" s="1037"/>
      <c r="E1519" s="1037"/>
      <c r="R1519" s="1038"/>
      <c r="S1519" s="1038"/>
      <c r="T1519" s="1038"/>
      <c r="U1519" s="1038"/>
      <c r="V1519" s="1038"/>
      <c r="W1519" s="1038"/>
      <c r="X1519" s="1038"/>
      <c r="Y1519" s="1038"/>
    </row>
    <row r="1520" spans="1:25" x14ac:dyDescent="0.2">
      <c r="A1520" s="1037"/>
      <c r="B1520" s="1037"/>
      <c r="C1520" s="1037"/>
      <c r="D1520" s="1037"/>
      <c r="E1520" s="1037"/>
      <c r="R1520" s="1038"/>
      <c r="S1520" s="1038"/>
      <c r="T1520" s="1038"/>
      <c r="U1520" s="1038"/>
      <c r="V1520" s="1038"/>
      <c r="W1520" s="1038"/>
      <c r="X1520" s="1038"/>
      <c r="Y1520" s="1038"/>
    </row>
    <row r="1521" spans="1:25" x14ac:dyDescent="0.2">
      <c r="A1521" s="1037"/>
      <c r="B1521" s="1037"/>
      <c r="C1521" s="1037"/>
      <c r="D1521" s="1037"/>
      <c r="E1521" s="1037"/>
      <c r="R1521" s="1038"/>
      <c r="S1521" s="1038"/>
      <c r="T1521" s="1038"/>
      <c r="U1521" s="1038"/>
      <c r="V1521" s="1038"/>
      <c r="W1521" s="1038"/>
      <c r="X1521" s="1038"/>
      <c r="Y1521" s="1038"/>
    </row>
    <row r="1522" spans="1:25" x14ac:dyDescent="0.2">
      <c r="A1522" s="1037"/>
      <c r="B1522" s="1037"/>
      <c r="C1522" s="1037"/>
      <c r="D1522" s="1037"/>
      <c r="E1522" s="1037"/>
      <c r="R1522" s="1038"/>
      <c r="S1522" s="1038"/>
      <c r="T1522" s="1038"/>
      <c r="U1522" s="1038"/>
      <c r="V1522" s="1038"/>
      <c r="W1522" s="1038"/>
      <c r="X1522" s="1038"/>
      <c r="Y1522" s="1038"/>
    </row>
    <row r="1523" spans="1:25" x14ac:dyDescent="0.2">
      <c r="A1523" s="1037"/>
      <c r="B1523" s="1037"/>
      <c r="C1523" s="1037"/>
      <c r="D1523" s="1037"/>
      <c r="E1523" s="1037"/>
      <c r="R1523" s="1038"/>
      <c r="S1523" s="1038"/>
      <c r="T1523" s="1038"/>
      <c r="U1523" s="1038"/>
      <c r="V1523" s="1038"/>
      <c r="W1523" s="1038"/>
      <c r="X1523" s="1038"/>
      <c r="Y1523" s="1038"/>
    </row>
    <row r="1524" spans="1:25" x14ac:dyDescent="0.2">
      <c r="A1524" s="1037"/>
      <c r="B1524" s="1037"/>
      <c r="C1524" s="1037"/>
      <c r="D1524" s="1037"/>
      <c r="E1524" s="1037"/>
      <c r="R1524" s="1038"/>
      <c r="S1524" s="1038"/>
      <c r="T1524" s="1038"/>
      <c r="U1524" s="1038"/>
      <c r="V1524" s="1038"/>
      <c r="W1524" s="1038"/>
      <c r="X1524" s="1038"/>
      <c r="Y1524" s="1038"/>
    </row>
    <row r="1525" spans="1:25" x14ac:dyDescent="0.2">
      <c r="A1525" s="1037"/>
      <c r="B1525" s="1037"/>
      <c r="C1525" s="1037"/>
      <c r="D1525" s="1037"/>
      <c r="E1525" s="1037"/>
      <c r="R1525" s="1038"/>
      <c r="S1525" s="1038"/>
      <c r="T1525" s="1038"/>
      <c r="U1525" s="1038"/>
      <c r="V1525" s="1038"/>
      <c r="W1525" s="1038"/>
      <c r="X1525" s="1038"/>
      <c r="Y1525" s="1038"/>
    </row>
    <row r="1526" spans="1:25" x14ac:dyDescent="0.2">
      <c r="A1526" s="1037"/>
      <c r="B1526" s="1037"/>
      <c r="C1526" s="1037"/>
      <c r="D1526" s="1037"/>
      <c r="E1526" s="1037"/>
      <c r="R1526" s="1038"/>
      <c r="S1526" s="1038"/>
      <c r="T1526" s="1038"/>
      <c r="U1526" s="1038"/>
      <c r="V1526" s="1038"/>
      <c r="W1526" s="1038"/>
      <c r="X1526" s="1038"/>
      <c r="Y1526" s="1038"/>
    </row>
    <row r="1527" spans="1:25" x14ac:dyDescent="0.2">
      <c r="E1527" s="1037"/>
      <c r="R1527" s="1038"/>
      <c r="S1527" s="1038"/>
      <c r="T1527" s="1038"/>
      <c r="U1527" s="1038"/>
      <c r="V1527" s="1038"/>
      <c r="W1527" s="1038"/>
      <c r="X1527" s="1038"/>
      <c r="Y1527" s="1038"/>
    </row>
    <row r="1528" spans="1:25" x14ac:dyDescent="0.2">
      <c r="E1528" s="1037"/>
      <c r="R1528" s="1038"/>
      <c r="S1528" s="1038"/>
      <c r="T1528" s="1038"/>
      <c r="U1528" s="1038"/>
      <c r="V1528" s="1038"/>
      <c r="W1528" s="1038"/>
      <c r="X1528" s="1038"/>
      <c r="Y1528" s="1038"/>
    </row>
  </sheetData>
  <dataConsolidate/>
  <mergeCells count="21">
    <mergeCell ref="A52:B52"/>
    <mergeCell ref="C52:D52"/>
    <mergeCell ref="C8:D8"/>
    <mergeCell ref="C11:D11"/>
    <mergeCell ref="C13:D13"/>
    <mergeCell ref="A14:B14"/>
    <mergeCell ref="A30:B30"/>
    <mergeCell ref="C30:D30"/>
    <mergeCell ref="C31:D31"/>
    <mergeCell ref="A38:B38"/>
    <mergeCell ref="C38:D38"/>
    <mergeCell ref="A45:B45"/>
    <mergeCell ref="C45:D45"/>
    <mergeCell ref="A79:B79"/>
    <mergeCell ref="C79:D79"/>
    <mergeCell ref="C53:D53"/>
    <mergeCell ref="C60:D60"/>
    <mergeCell ref="A67:B67"/>
    <mergeCell ref="C67:D67"/>
    <mergeCell ref="A73:B73"/>
    <mergeCell ref="C73:D73"/>
  </mergeCells>
  <dataValidations count="2">
    <dataValidation type="list" allowBlank="1" showInputMessage="1" showErrorMessage="1" sqref="B5">
      <formula1>$P$4:$P$338</formula1>
    </dataValidation>
    <dataValidation type="whole" allowBlank="1" showInputMessage="1" showErrorMessage="1" sqref="B18:B19 B24:B25">
      <formula1>0</formula1>
      <formula2>9999</formula2>
    </dataValidation>
  </dataValidations>
  <hyperlinks>
    <hyperlink ref="C6" location="_ftn1" display="¹  Grade in terms of the Remuneration of Public Office Bearers Act."/>
    <hyperlink ref="B36" r:id="rId1"/>
    <hyperlink ref="B84" r:id="rId2"/>
    <hyperlink ref="B72" r:id="rId3"/>
  </hyperlinks>
  <pageMargins left="0.75" right="0.27" top="1" bottom="1" header="0.5" footer="0.5"/>
  <pageSetup scale="70" orientation="portrait" r:id="rId4"/>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6" activePane="bottomRight" state="frozen"/>
      <selection activeCell="C6" sqref="C6"/>
      <selection pane="topRight" activeCell="C6" sqref="C6"/>
      <selection pane="bottomLeft" activeCell="C6" sqref="C6"/>
      <selection pane="bottomRight" activeCell="J67" sqref="B7:J67"/>
    </sheetView>
  </sheetViews>
  <sheetFormatPr defaultRowHeight="12.75" x14ac:dyDescent="0.25"/>
  <cols>
    <col min="1" max="1" width="30.7109375" style="5" customWidth="1"/>
    <col min="2" max="13" width="8.7109375" style="5" customWidth="1"/>
    <col min="14" max="16" width="7.7109375" style="5" customWidth="1"/>
    <col min="17" max="16384" width="9.140625" style="5"/>
  </cols>
  <sheetData>
    <row r="1" spans="1:12" ht="13.5" x14ac:dyDescent="0.25">
      <c r="A1" s="3" t="str">
        <f>muni&amp;" - "&amp;adjsum&amp;" - "&amp;Date</f>
        <v>LIM354 Polokwane - Table B1 Adjustments Budget Summary - 25 February 2016</v>
      </c>
      <c r="B1" s="4"/>
      <c r="C1" s="4"/>
      <c r="D1" s="4"/>
      <c r="E1" s="4"/>
      <c r="F1" s="4"/>
      <c r="G1" s="4"/>
      <c r="H1" s="4"/>
      <c r="I1" s="4"/>
      <c r="J1" s="4"/>
      <c r="K1" s="4"/>
      <c r="L1" s="4"/>
    </row>
    <row r="2" spans="1:12" ht="38.25" customHeight="1" x14ac:dyDescent="0.25">
      <c r="A2" s="1318" t="str">
        <f>desc</f>
        <v>Description</v>
      </c>
      <c r="B2" s="1315" t="str">
        <f>Head2</f>
        <v>Budget Year 2015/16</v>
      </c>
      <c r="C2" s="1316"/>
      <c r="D2" s="1316"/>
      <c r="E2" s="1316"/>
      <c r="F2" s="1316"/>
      <c r="G2" s="1316"/>
      <c r="H2" s="1316"/>
      <c r="I2" s="1316"/>
      <c r="J2" s="1317"/>
      <c r="K2" s="6" t="str">
        <f>Head10</f>
        <v>Budget Year +1 2016/17</v>
      </c>
      <c r="L2" s="7" t="str">
        <f>Head11</f>
        <v>Budget Year +2 2017/18</v>
      </c>
    </row>
    <row r="3" spans="1:12" ht="25.5" x14ac:dyDescent="0.25">
      <c r="A3" s="1319"/>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319"/>
      <c r="B4" s="14"/>
      <c r="C4" s="15">
        <v>1</v>
      </c>
      <c r="D4" s="15">
        <v>2</v>
      </c>
      <c r="E4" s="15">
        <v>3</v>
      </c>
      <c r="F4" s="15">
        <v>4</v>
      </c>
      <c r="G4" s="15">
        <v>5</v>
      </c>
      <c r="H4" s="15">
        <v>6</v>
      </c>
      <c r="I4" s="15">
        <v>7</v>
      </c>
      <c r="J4" s="15">
        <v>8</v>
      </c>
      <c r="K4" s="16"/>
      <c r="L4" s="17"/>
    </row>
    <row r="5" spans="1:12" x14ac:dyDescent="0.25">
      <c r="A5" s="18" t="s">
        <v>641</v>
      </c>
      <c r="B5" s="19" t="s">
        <v>581</v>
      </c>
      <c r="C5" s="20" t="s">
        <v>582</v>
      </c>
      <c r="D5" s="20" t="s">
        <v>583</v>
      </c>
      <c r="E5" s="21" t="s">
        <v>584</v>
      </c>
      <c r="F5" s="21" t="s">
        <v>585</v>
      </c>
      <c r="G5" s="21" t="s">
        <v>586</v>
      </c>
      <c r="H5" s="22" t="s">
        <v>587</v>
      </c>
      <c r="I5" s="22" t="s">
        <v>588</v>
      </c>
      <c r="J5" s="21" t="s">
        <v>589</v>
      </c>
      <c r="K5" s="23"/>
      <c r="L5" s="24"/>
    </row>
    <row r="6" spans="1:12" ht="12.75" customHeight="1" x14ac:dyDescent="0.25">
      <c r="A6" s="25" t="s">
        <v>590</v>
      </c>
      <c r="B6" s="26"/>
      <c r="C6" s="27"/>
      <c r="D6" s="27"/>
      <c r="E6" s="27"/>
      <c r="F6" s="27"/>
      <c r="G6" s="27"/>
      <c r="H6" s="27"/>
      <c r="I6" s="27"/>
      <c r="J6" s="27"/>
      <c r="K6" s="28"/>
      <c r="L6" s="29"/>
    </row>
    <row r="7" spans="1:12" ht="12.75" customHeight="1" x14ac:dyDescent="0.25">
      <c r="A7" s="30" t="s">
        <v>591</v>
      </c>
      <c r="B7" s="75">
        <f>SUM('B4-FinPerf RE'!C7:C8)</f>
        <v>332477244</v>
      </c>
      <c r="C7" s="75">
        <f>SUM('B4-FinPerf RE'!D7:D8)</f>
        <v>0</v>
      </c>
      <c r="D7" s="75">
        <f>SUM('B4-FinPerf RE'!E7:E8)</f>
        <v>0</v>
      </c>
      <c r="E7" s="75">
        <f>SUM('B4-FinPerf RE'!F7:F8)</f>
        <v>0</v>
      </c>
      <c r="F7" s="75">
        <f>SUM('B4-FinPerf RE'!G7:G8)</f>
        <v>0</v>
      </c>
      <c r="G7" s="75">
        <f>SUM('B4-FinPerf RE'!H7:H8)</f>
        <v>0</v>
      </c>
      <c r="H7" s="75">
        <f>SUM('B4-FinPerf RE'!I7:I8)</f>
        <v>-18477000</v>
      </c>
      <c r="I7" s="75">
        <f t="shared" ref="I7:I12" si="0">SUM(D7:H7)</f>
        <v>-18477000</v>
      </c>
      <c r="J7" s="75">
        <f t="shared" ref="J7:J12" si="1">IF(C7=0,B7+I7,C7+I7)</f>
        <v>314000244</v>
      </c>
      <c r="K7" s="75">
        <f>SUM('B4-FinPerf RE'!L7:L8)</f>
        <v>362400195.96000004</v>
      </c>
      <c r="L7" s="76">
        <f>SUM('B4-FinPerf RE'!M7:M8)</f>
        <v>393204212.61660004</v>
      </c>
    </row>
    <row r="8" spans="1:12" ht="12.75" customHeight="1" x14ac:dyDescent="0.25">
      <c r="A8" s="30" t="s">
        <v>592</v>
      </c>
      <c r="B8" s="75">
        <f>SUM('B4-FinPerf RE'!C9:C13)</f>
        <v>1171106021.006</v>
      </c>
      <c r="C8" s="75">
        <f>SUM('B4-FinPerf RE'!D9:D13)</f>
        <v>0</v>
      </c>
      <c r="D8" s="75">
        <f>SUM('B4-FinPerf RE'!E9:E13)</f>
        <v>0</v>
      </c>
      <c r="E8" s="75">
        <f>SUM('B4-FinPerf RE'!F9:F13)</f>
        <v>0</v>
      </c>
      <c r="F8" s="75">
        <f>SUM('B4-FinPerf RE'!G9:G13)</f>
        <v>0</v>
      </c>
      <c r="G8" s="75">
        <f>SUM('B4-FinPerf RE'!H9:H13)</f>
        <v>0</v>
      </c>
      <c r="H8" s="75">
        <f>SUM('B4-FinPerf RE'!I9:I13)</f>
        <v>0</v>
      </c>
      <c r="I8" s="75">
        <f t="shared" si="0"/>
        <v>0</v>
      </c>
      <c r="J8" s="75">
        <f t="shared" si="1"/>
        <v>1171106021.006</v>
      </c>
      <c r="K8" s="75">
        <f>SUM('B4-FinPerf RE'!L9:L13)</f>
        <v>1308246485.0163798</v>
      </c>
      <c r="L8" s="76">
        <f>SUM('B4-FinPerf RE'!M9:M13)</f>
        <v>1464281502.9090459</v>
      </c>
    </row>
    <row r="9" spans="1:12" ht="12.75" customHeight="1" x14ac:dyDescent="0.25">
      <c r="A9" s="30" t="s">
        <v>593</v>
      </c>
      <c r="B9" s="75">
        <f>'B4-FinPerf RE'!C15</f>
        <v>31000000</v>
      </c>
      <c r="C9" s="75">
        <f>'B4-FinPerf RE'!D15</f>
        <v>0</v>
      </c>
      <c r="D9" s="75">
        <f>'B4-FinPerf RE'!E15</f>
        <v>0</v>
      </c>
      <c r="E9" s="75">
        <f>'B4-FinPerf RE'!F15</f>
        <v>0</v>
      </c>
      <c r="F9" s="75">
        <f>'B4-FinPerf RE'!G15</f>
        <v>0</v>
      </c>
      <c r="G9" s="75">
        <f>'B4-FinPerf RE'!H15</f>
        <v>0</v>
      </c>
      <c r="H9" s="75">
        <f>'B4-FinPerf RE'!I15</f>
        <v>6000000</v>
      </c>
      <c r="I9" s="75">
        <f t="shared" si="0"/>
        <v>6000000</v>
      </c>
      <c r="J9" s="75">
        <f t="shared" si="1"/>
        <v>37000000</v>
      </c>
      <c r="K9" s="75">
        <f>'B4-FinPerf RE'!L15</f>
        <v>33015000</v>
      </c>
      <c r="L9" s="76">
        <f>'B4-FinPerf RE'!M15</f>
        <v>35094945</v>
      </c>
    </row>
    <row r="10" spans="1:12" ht="12.75" customHeight="1" x14ac:dyDescent="0.25">
      <c r="A10" s="644" t="s">
        <v>1243</v>
      </c>
      <c r="B10" s="75">
        <f>'B4-FinPerf RE'!C21</f>
        <v>678860000</v>
      </c>
      <c r="C10" s="75">
        <f>'B4-FinPerf RE'!D21</f>
        <v>0</v>
      </c>
      <c r="D10" s="75">
        <f>'B4-FinPerf RE'!E21</f>
        <v>0</v>
      </c>
      <c r="E10" s="75">
        <f>'B4-FinPerf RE'!F21</f>
        <v>0</v>
      </c>
      <c r="F10" s="75">
        <f>'B4-FinPerf RE'!G21</f>
        <v>0</v>
      </c>
      <c r="G10" s="75">
        <f>'B4-FinPerf RE'!H21</f>
        <v>0</v>
      </c>
      <c r="H10" s="75">
        <f>'B4-FinPerf RE'!I21</f>
        <v>0</v>
      </c>
      <c r="I10" s="75">
        <f t="shared" si="0"/>
        <v>0</v>
      </c>
      <c r="J10" s="75">
        <f t="shared" si="1"/>
        <v>678860000</v>
      </c>
      <c r="K10" s="75">
        <f>'B4-FinPerf RE'!L21</f>
        <v>662093004.60000002</v>
      </c>
      <c r="L10" s="76">
        <f>'B4-FinPerf RE'!M21</f>
        <v>685589059.3398</v>
      </c>
    </row>
    <row r="11" spans="1:12" ht="12.75" customHeight="1" x14ac:dyDescent="0.25">
      <c r="A11" s="36" t="s">
        <v>594</v>
      </c>
      <c r="B11" s="75">
        <f>'B4-FinPerf RE'!C14+'B4-FinPerf RE'!C16+'B4-FinPerf RE'!C17+'B4-FinPerf RE'!C18+'B4-FinPerf RE'!C19+'B4-FinPerf RE'!C20+'B4-FinPerf RE'!C22+'B4-FinPerf RE'!C23</f>
        <v>191019735</v>
      </c>
      <c r="C11" s="75">
        <f>'B4-FinPerf RE'!D14+'B4-FinPerf RE'!D16+'B4-FinPerf RE'!D17+'B4-FinPerf RE'!D18+'B4-FinPerf RE'!D19+'B4-FinPerf RE'!D20+'B4-FinPerf RE'!D22+'B4-FinPerf RE'!D23</f>
        <v>0</v>
      </c>
      <c r="D11" s="75">
        <f>'B4-FinPerf RE'!E14+'B4-FinPerf RE'!E16+'B4-FinPerf RE'!E17+'B4-FinPerf RE'!E18+'B4-FinPerf RE'!E19+'B4-FinPerf RE'!E20+'B4-FinPerf RE'!E22+'B4-FinPerf RE'!E23</f>
        <v>0</v>
      </c>
      <c r="E11" s="75">
        <f>'B4-FinPerf RE'!F14+'B4-FinPerf RE'!F16+'B4-FinPerf RE'!F17+'B4-FinPerf RE'!F18+'B4-FinPerf RE'!F19+'B4-FinPerf RE'!F20+'B4-FinPerf RE'!F22+'B4-FinPerf RE'!F23</f>
        <v>0</v>
      </c>
      <c r="F11" s="75">
        <f>'B4-FinPerf RE'!G14+'B4-FinPerf RE'!G16+'B4-FinPerf RE'!G17+'B4-FinPerf RE'!G18+'B4-FinPerf RE'!G19+'B4-FinPerf RE'!G20+'B4-FinPerf RE'!G22+'B4-FinPerf RE'!G23</f>
        <v>0</v>
      </c>
      <c r="G11" s="75">
        <f>'B4-FinPerf RE'!H14+'B4-FinPerf RE'!H16+'B4-FinPerf RE'!H17+'B4-FinPerf RE'!H18+'B4-FinPerf RE'!H19+'B4-FinPerf RE'!H20+'B4-FinPerf RE'!H22+'B4-FinPerf RE'!H23</f>
        <v>0</v>
      </c>
      <c r="H11" s="75">
        <f>'B4-FinPerf RE'!I14+'B4-FinPerf RE'!I16+'B4-FinPerf RE'!I17+'B4-FinPerf RE'!I18+'B4-FinPerf RE'!I19+'B4-FinPerf RE'!I20+'B4-FinPerf RE'!I22+'B4-FinPerf RE'!I23</f>
        <v>86629962</v>
      </c>
      <c r="I11" s="75">
        <f t="shared" si="0"/>
        <v>86629962</v>
      </c>
      <c r="J11" s="75">
        <f t="shared" si="1"/>
        <v>277649697</v>
      </c>
      <c r="K11" s="75">
        <f>'B4-FinPerf RE'!L14+'B4-FinPerf RE'!L16+'B4-FinPerf RE'!L17+'B4-FinPerf RE'!L18+'B4-FinPerf RE'!L19+'B4-FinPerf RE'!L20+'B4-FinPerf RE'!L22+'B4-FinPerf RE'!L23</f>
        <v>162928229.02500001</v>
      </c>
      <c r="L11" s="76">
        <f>'B4-FinPerf RE'!M14+'B4-FinPerf RE'!M16+'B4-FinPerf RE'!M17+'B4-FinPerf RE'!M18+'B4-FinPerf RE'!M19+'B4-FinPerf RE'!M20+'B4-FinPerf RE'!M22+'B4-FinPerf RE'!M23</f>
        <v>173172153.00457498</v>
      </c>
    </row>
    <row r="12" spans="1:12" ht="23.25" customHeight="1" x14ac:dyDescent="0.25">
      <c r="A12" s="645" t="s">
        <v>595</v>
      </c>
      <c r="B12" s="690">
        <f t="shared" ref="B12:L12" si="2">SUM(B7:B11)</f>
        <v>2404463000.006</v>
      </c>
      <c r="C12" s="648">
        <f t="shared" si="2"/>
        <v>0</v>
      </c>
      <c r="D12" s="648">
        <f t="shared" si="2"/>
        <v>0</v>
      </c>
      <c r="E12" s="648">
        <f t="shared" si="2"/>
        <v>0</v>
      </c>
      <c r="F12" s="648">
        <f t="shared" si="2"/>
        <v>0</v>
      </c>
      <c r="G12" s="648">
        <f t="shared" si="2"/>
        <v>0</v>
      </c>
      <c r="H12" s="648">
        <f t="shared" si="2"/>
        <v>74152962</v>
      </c>
      <c r="I12" s="648">
        <f t="shared" si="0"/>
        <v>74152962</v>
      </c>
      <c r="J12" s="648">
        <f t="shared" si="1"/>
        <v>2478615962.006</v>
      </c>
      <c r="K12" s="648">
        <f t="shared" si="2"/>
        <v>2528682914.6013799</v>
      </c>
      <c r="L12" s="649">
        <f t="shared" si="2"/>
        <v>2751341872.8700209</v>
      </c>
    </row>
    <row r="13" spans="1:12" ht="12.75" customHeight="1" x14ac:dyDescent="0.25">
      <c r="A13" s="36" t="s">
        <v>596</v>
      </c>
      <c r="B13" s="75">
        <f>'B4-FinPerf RE'!C27</f>
        <v>571451009</v>
      </c>
      <c r="C13" s="75">
        <f>'B4-FinPerf RE'!D27</f>
        <v>0</v>
      </c>
      <c r="D13" s="75">
        <f>'B4-FinPerf RE'!E27</f>
        <v>0</v>
      </c>
      <c r="E13" s="75">
        <f>'B4-FinPerf RE'!F27</f>
        <v>0</v>
      </c>
      <c r="F13" s="75">
        <f>'B4-FinPerf RE'!G27</f>
        <v>0</v>
      </c>
      <c r="G13" s="75">
        <f>'B4-FinPerf RE'!H27</f>
        <v>0</v>
      </c>
      <c r="H13" s="75">
        <f>'B4-FinPerf RE'!I27</f>
        <v>-20000</v>
      </c>
      <c r="I13" s="75">
        <f t="shared" ref="I13:I19" si="3">SUM(D13:H13)</f>
        <v>-20000</v>
      </c>
      <c r="J13" s="75">
        <f t="shared" ref="J13:J19" si="4">IF(C13=0,B13+I13,C13+I13)</f>
        <v>571431009</v>
      </c>
      <c r="K13" s="75">
        <f>'B4-FinPerf RE'!L27</f>
        <v>608585193.01499963</v>
      </c>
      <c r="L13" s="76">
        <f>'B4-FinPerf RE'!M27</f>
        <v>646915368.00494802</v>
      </c>
    </row>
    <row r="14" spans="1:12" ht="12.75" customHeight="1" x14ac:dyDescent="0.25">
      <c r="A14" s="36" t="s">
        <v>597</v>
      </c>
      <c r="B14" s="75">
        <f>'B4-FinPerf RE'!C28</f>
        <v>25779550</v>
      </c>
      <c r="C14" s="75">
        <f>'B4-FinPerf RE'!D28</f>
        <v>0</v>
      </c>
      <c r="D14" s="75">
        <f>'B4-FinPerf RE'!E28</f>
        <v>0</v>
      </c>
      <c r="E14" s="75">
        <f>'B4-FinPerf RE'!F28</f>
        <v>0</v>
      </c>
      <c r="F14" s="75">
        <f>'B4-FinPerf RE'!G28</f>
        <v>0</v>
      </c>
      <c r="G14" s="75">
        <f>'B4-FinPerf RE'!H28</f>
        <v>0</v>
      </c>
      <c r="H14" s="75">
        <f>'B4-FinPerf RE'!I28</f>
        <v>0</v>
      </c>
      <c r="I14" s="75">
        <f t="shared" si="3"/>
        <v>0</v>
      </c>
      <c r="J14" s="75">
        <f t="shared" si="4"/>
        <v>25779550</v>
      </c>
      <c r="K14" s="75">
        <f>'B4-FinPerf RE'!L28</f>
        <v>27455220.75</v>
      </c>
      <c r="L14" s="76">
        <f>'B4-FinPerf RE'!M28</f>
        <v>29184899.657249998</v>
      </c>
    </row>
    <row r="15" spans="1:12" ht="12.75" customHeight="1" x14ac:dyDescent="0.25">
      <c r="A15" s="36" t="s">
        <v>598</v>
      </c>
      <c r="B15" s="75">
        <f>'B4-FinPerf RE'!C30</f>
        <v>205000000</v>
      </c>
      <c r="C15" s="75">
        <f>'B4-FinPerf RE'!D30</f>
        <v>0</v>
      </c>
      <c r="D15" s="75">
        <f>'B4-FinPerf RE'!E30</f>
        <v>0</v>
      </c>
      <c r="E15" s="75">
        <f>'B4-FinPerf RE'!F30</f>
        <v>0</v>
      </c>
      <c r="F15" s="75">
        <f>'B4-FinPerf RE'!G30</f>
        <v>0</v>
      </c>
      <c r="G15" s="75">
        <f>'B4-FinPerf RE'!H30</f>
        <v>0</v>
      </c>
      <c r="H15" s="75">
        <f>'B4-FinPerf RE'!I30</f>
        <v>0</v>
      </c>
      <c r="I15" s="75">
        <f t="shared" si="3"/>
        <v>0</v>
      </c>
      <c r="J15" s="75">
        <f t="shared" si="4"/>
        <v>205000000</v>
      </c>
      <c r="K15" s="75">
        <f>'B4-FinPerf RE'!L30</f>
        <v>218325000</v>
      </c>
      <c r="L15" s="76">
        <f>'B4-FinPerf RE'!M30</f>
        <v>232079475</v>
      </c>
    </row>
    <row r="16" spans="1:12" ht="12.75" customHeight="1" x14ac:dyDescent="0.25">
      <c r="A16" s="36" t="s">
        <v>599</v>
      </c>
      <c r="B16" s="75">
        <f>'B4-FinPerf RE'!C31</f>
        <v>37000000</v>
      </c>
      <c r="C16" s="75">
        <f>'B4-FinPerf RE'!D31</f>
        <v>0</v>
      </c>
      <c r="D16" s="75">
        <f>'B4-FinPerf RE'!E31</f>
        <v>0</v>
      </c>
      <c r="E16" s="75">
        <f>'B4-FinPerf RE'!F31</f>
        <v>0</v>
      </c>
      <c r="F16" s="75">
        <f>'B4-FinPerf RE'!G31</f>
        <v>0</v>
      </c>
      <c r="G16" s="75">
        <f>'B4-FinPerf RE'!H31</f>
        <v>0</v>
      </c>
      <c r="H16" s="75">
        <f>'B4-FinPerf RE'!I31</f>
        <v>0</v>
      </c>
      <c r="I16" s="75">
        <f t="shared" si="3"/>
        <v>0</v>
      </c>
      <c r="J16" s="75">
        <f t="shared" si="4"/>
        <v>37000000</v>
      </c>
      <c r="K16" s="75">
        <f>'B4-FinPerf RE'!L31</f>
        <v>43689000</v>
      </c>
      <c r="L16" s="76">
        <f>'B4-FinPerf RE'!M31</f>
        <v>41887515</v>
      </c>
    </row>
    <row r="17" spans="1:13" ht="12.75" customHeight="1" x14ac:dyDescent="0.25">
      <c r="A17" s="36" t="s">
        <v>600</v>
      </c>
      <c r="B17" s="75">
        <f>SUM('B4-FinPerf RE'!C32:C33)</f>
        <v>944520393.60000002</v>
      </c>
      <c r="C17" s="75">
        <f>SUM('B4-FinPerf RE'!D32:D33)</f>
        <v>0</v>
      </c>
      <c r="D17" s="75">
        <f>SUM('B4-FinPerf RE'!E32:E33)</f>
        <v>0</v>
      </c>
      <c r="E17" s="75">
        <f>SUM('B4-FinPerf RE'!F32:F33)</f>
        <v>0</v>
      </c>
      <c r="F17" s="75">
        <f>SUM('B4-FinPerf RE'!G32:G33)</f>
        <v>0</v>
      </c>
      <c r="G17" s="75">
        <f>SUM('B4-FinPerf RE'!H32:H33)</f>
        <v>0</v>
      </c>
      <c r="H17" s="75">
        <f>SUM('B4-FinPerf RE'!I32:I33)</f>
        <v>12332162</v>
      </c>
      <c r="I17" s="75">
        <f t="shared" si="3"/>
        <v>12332162</v>
      </c>
      <c r="J17" s="75">
        <f t="shared" si="4"/>
        <v>956852555.60000002</v>
      </c>
      <c r="K17" s="75">
        <f>SUM('B4-FinPerf RE'!L32:L33)</f>
        <v>1005492432.4340003</v>
      </c>
      <c r="L17" s="76">
        <f>SUM('B4-FinPerf RE'!M32:M33)</f>
        <v>1068838404.7173421</v>
      </c>
      <c r="M17" s="128"/>
    </row>
    <row r="18" spans="1:13" ht="12.75" customHeight="1" x14ac:dyDescent="0.25">
      <c r="A18" s="36" t="s">
        <v>703</v>
      </c>
      <c r="B18" s="75">
        <f>'B4-FinPerf RE'!C35</f>
        <v>6480000</v>
      </c>
      <c r="C18" s="75">
        <f>'B4-FinPerf RE'!D35</f>
        <v>0</v>
      </c>
      <c r="D18" s="75">
        <f>'B4-FinPerf RE'!E35</f>
        <v>0</v>
      </c>
      <c r="E18" s="75">
        <f>'B4-FinPerf RE'!F35</f>
        <v>0</v>
      </c>
      <c r="F18" s="75">
        <f>'B4-FinPerf RE'!G35</f>
        <v>0</v>
      </c>
      <c r="G18" s="75">
        <f>'B4-FinPerf RE'!H35</f>
        <v>0</v>
      </c>
      <c r="H18" s="75">
        <f>'B4-FinPerf RE'!I35</f>
        <v>10700000</v>
      </c>
      <c r="I18" s="75">
        <f t="shared" si="3"/>
        <v>10700000</v>
      </c>
      <c r="J18" s="75">
        <f t="shared" si="4"/>
        <v>17180000</v>
      </c>
      <c r="K18" s="75">
        <f>'B4-FinPerf RE'!L35</f>
        <v>6901200</v>
      </c>
      <c r="L18" s="76">
        <f>'B4-FinPerf RE'!M35</f>
        <v>7335975.5999999996</v>
      </c>
      <c r="M18" s="128"/>
    </row>
    <row r="19" spans="1:13" ht="12.75" customHeight="1" x14ac:dyDescent="0.25">
      <c r="A19" s="36" t="s">
        <v>602</v>
      </c>
      <c r="B19" s="75">
        <f>'B4-FinPerf RE'!C38-SUM('B1-Sum'!B13:B18)</f>
        <v>498329047.84200001</v>
      </c>
      <c r="C19" s="75">
        <f>'B4-FinPerf RE'!D38-SUM('B1-Sum'!C13:C18)</f>
        <v>0</v>
      </c>
      <c r="D19" s="75">
        <f>'B4-FinPerf RE'!E38-SUM('B1-Sum'!D13:D18)</f>
        <v>0</v>
      </c>
      <c r="E19" s="75">
        <f>'B4-FinPerf RE'!F38-SUM('B1-Sum'!E13:E18)</f>
        <v>0</v>
      </c>
      <c r="F19" s="75">
        <f>'B4-FinPerf RE'!G38-SUM('B1-Sum'!F13:F18)</f>
        <v>0</v>
      </c>
      <c r="G19" s="75">
        <f>'B4-FinPerf RE'!H38-SUM('B1-Sum'!G13:G18)</f>
        <v>0</v>
      </c>
      <c r="H19" s="75">
        <f>'B4-FinPerf RE'!I38-SUM('B1-Sum'!H13:H18)</f>
        <v>10397838</v>
      </c>
      <c r="I19" s="75">
        <f t="shared" si="3"/>
        <v>10397838</v>
      </c>
      <c r="J19" s="75">
        <f t="shared" si="4"/>
        <v>508726885.84200001</v>
      </c>
      <c r="K19" s="75">
        <f>'B4-FinPerf RE'!L38-SUM('B1-Sum'!K13:K18)</f>
        <v>451958968.5003686</v>
      </c>
      <c r="L19" s="76">
        <f>'B4-FinPerf RE'!M38-SUM('B1-Sum'!L13:L18)</f>
        <v>450667392.71424794</v>
      </c>
      <c r="M19" s="128"/>
    </row>
    <row r="20" spans="1:13" ht="12.75" customHeight="1" x14ac:dyDescent="0.25">
      <c r="A20" s="37" t="s">
        <v>603</v>
      </c>
      <c r="B20" s="690">
        <f t="shared" ref="B20:L20" si="5">SUM(B13:B19)</f>
        <v>2288560000.4419999</v>
      </c>
      <c r="C20" s="648">
        <f t="shared" si="5"/>
        <v>0</v>
      </c>
      <c r="D20" s="648">
        <f t="shared" si="5"/>
        <v>0</v>
      </c>
      <c r="E20" s="648">
        <f t="shared" si="5"/>
        <v>0</v>
      </c>
      <c r="F20" s="648">
        <f t="shared" si="5"/>
        <v>0</v>
      </c>
      <c r="G20" s="648">
        <f t="shared" si="5"/>
        <v>0</v>
      </c>
      <c r="H20" s="648">
        <f t="shared" si="5"/>
        <v>33410000</v>
      </c>
      <c r="I20" s="648">
        <f t="shared" si="5"/>
        <v>33410000</v>
      </c>
      <c r="J20" s="648">
        <f t="shared" si="5"/>
        <v>2321970000.4419999</v>
      </c>
      <c r="K20" s="648">
        <f t="shared" si="5"/>
        <v>2362407014.6993685</v>
      </c>
      <c r="L20" s="649">
        <f t="shared" si="5"/>
        <v>2476909030.6937881</v>
      </c>
      <c r="M20" s="128"/>
    </row>
    <row r="21" spans="1:13" ht="12.75" customHeight="1" x14ac:dyDescent="0.25">
      <c r="A21" s="38" t="s">
        <v>604</v>
      </c>
      <c r="B21" s="75">
        <f t="shared" ref="B21:L21" si="6">B12-B20</f>
        <v>115902999.56400013</v>
      </c>
      <c r="C21" s="75">
        <f t="shared" si="6"/>
        <v>0</v>
      </c>
      <c r="D21" s="75">
        <f t="shared" si="6"/>
        <v>0</v>
      </c>
      <c r="E21" s="75">
        <f t="shared" si="6"/>
        <v>0</v>
      </c>
      <c r="F21" s="75">
        <f t="shared" si="6"/>
        <v>0</v>
      </c>
      <c r="G21" s="75">
        <f t="shared" si="6"/>
        <v>0</v>
      </c>
      <c r="H21" s="75">
        <f t="shared" si="6"/>
        <v>40742962</v>
      </c>
      <c r="I21" s="75">
        <f t="shared" si="6"/>
        <v>40742962</v>
      </c>
      <c r="J21" s="75">
        <f t="shared" si="6"/>
        <v>156645961.56400013</v>
      </c>
      <c r="K21" s="75">
        <f t="shared" si="6"/>
        <v>166275899.90201139</v>
      </c>
      <c r="L21" s="76">
        <f t="shared" si="6"/>
        <v>274432842.17623281</v>
      </c>
      <c r="M21" s="128"/>
    </row>
    <row r="22" spans="1:13" ht="12.75" customHeight="1" x14ac:dyDescent="0.25">
      <c r="A22" s="644" t="s">
        <v>605</v>
      </c>
      <c r="B22" s="75">
        <f>'B4-FinPerf RE'!C41</f>
        <v>466288000</v>
      </c>
      <c r="C22" s="75">
        <f>'B4-FinPerf RE'!D41</f>
        <v>0</v>
      </c>
      <c r="D22" s="75">
        <f>'B4-FinPerf RE'!E41</f>
        <v>0</v>
      </c>
      <c r="E22" s="75">
        <f>'B4-FinPerf RE'!F41</f>
        <v>0</v>
      </c>
      <c r="F22" s="75">
        <f>'B4-FinPerf RE'!G41</f>
        <v>0</v>
      </c>
      <c r="G22" s="75">
        <f>'B4-FinPerf RE'!H41</f>
        <v>42808657</v>
      </c>
      <c r="H22" s="75">
        <f>'B4-FinPerf RE'!I41</f>
        <v>-38243000</v>
      </c>
      <c r="I22" s="75">
        <f>SUM(D22:H22)</f>
        <v>4565657</v>
      </c>
      <c r="J22" s="75">
        <f>IF(C22=0,B22+I22,C22+I22)</f>
        <v>470853657</v>
      </c>
      <c r="K22" s="75">
        <f>'B4-FinPerf RE'!L41</f>
        <v>425198041.39999998</v>
      </c>
      <c r="L22" s="76">
        <f>'B4-FinPerf RE'!M41</f>
        <v>437608034.0582</v>
      </c>
      <c r="M22" s="128"/>
    </row>
    <row r="23" spans="1:13" ht="12.75" customHeight="1" x14ac:dyDescent="0.25">
      <c r="A23" s="644" t="s">
        <v>172</v>
      </c>
      <c r="B23" s="75">
        <f>SUM('B4-FinPerf RE'!C42:C43)</f>
        <v>0</v>
      </c>
      <c r="C23" s="75">
        <f>SUM('B4-FinPerf RE'!D42:D43)</f>
        <v>0</v>
      </c>
      <c r="D23" s="75">
        <f>SUM('B4-FinPerf RE'!E42:E43)</f>
        <v>0</v>
      </c>
      <c r="E23" s="75">
        <f>SUM('B4-FinPerf RE'!F42:F43)</f>
        <v>0</v>
      </c>
      <c r="F23" s="75">
        <f>SUM('B4-FinPerf RE'!G42:G43)</f>
        <v>0</v>
      </c>
      <c r="G23" s="75">
        <f>SUM('B4-FinPerf RE'!H42:H43)</f>
        <v>0</v>
      </c>
      <c r="H23" s="75">
        <f>SUM('B4-FinPerf RE'!I42:I43)</f>
        <v>0</v>
      </c>
      <c r="I23" s="75">
        <f>SUM(D23:H23)</f>
        <v>0</v>
      </c>
      <c r="J23" s="75">
        <f>IF(C23=0,B23+I23,C23+I23)</f>
        <v>0</v>
      </c>
      <c r="K23" s="75">
        <f>SUM('B4-FinPerf RE'!L42:L43)</f>
        <v>0</v>
      </c>
      <c r="L23" s="76">
        <f>SUM('B4-FinPerf RE'!M42:M43)</f>
        <v>0</v>
      </c>
      <c r="M23" s="128"/>
    </row>
    <row r="24" spans="1:13" ht="25.5" x14ac:dyDescent="0.25">
      <c r="A24" s="40" t="s">
        <v>607</v>
      </c>
      <c r="B24" s="690">
        <f t="shared" ref="B24:L24" si="7">B21+SUM(B22:B23)</f>
        <v>582190999.56400013</v>
      </c>
      <c r="C24" s="648">
        <f t="shared" si="7"/>
        <v>0</v>
      </c>
      <c r="D24" s="648">
        <f t="shared" si="7"/>
        <v>0</v>
      </c>
      <c r="E24" s="648">
        <f t="shared" si="7"/>
        <v>0</v>
      </c>
      <c r="F24" s="648">
        <f t="shared" si="7"/>
        <v>0</v>
      </c>
      <c r="G24" s="648">
        <f t="shared" si="7"/>
        <v>42808657</v>
      </c>
      <c r="H24" s="648">
        <f t="shared" si="7"/>
        <v>2499962</v>
      </c>
      <c r="I24" s="648">
        <f>SUM(D24:H24)</f>
        <v>45308619</v>
      </c>
      <c r="J24" s="648">
        <f>IF(C24=0,B24+I24,C24+I24)</f>
        <v>627499618.56400013</v>
      </c>
      <c r="K24" s="648">
        <f t="shared" si="7"/>
        <v>591473941.30201137</v>
      </c>
      <c r="L24" s="649">
        <f t="shared" si="7"/>
        <v>712040876.23443282</v>
      </c>
      <c r="M24" s="128"/>
    </row>
    <row r="25" spans="1:13" ht="12.75" customHeight="1" x14ac:dyDescent="0.25">
      <c r="A25" s="41" t="s">
        <v>608</v>
      </c>
      <c r="B25" s="75">
        <f>'B4-FinPerf RE'!C49</f>
        <v>0</v>
      </c>
      <c r="C25" s="75">
        <f>'B4-FinPerf RE'!D49</f>
        <v>0</v>
      </c>
      <c r="D25" s="75">
        <f>'B4-FinPerf RE'!E49</f>
        <v>0</v>
      </c>
      <c r="E25" s="75">
        <f>'B4-FinPerf RE'!F49</f>
        <v>0</v>
      </c>
      <c r="F25" s="75">
        <f>'B4-FinPerf RE'!G49</f>
        <v>0</v>
      </c>
      <c r="G25" s="75">
        <f>'B4-FinPerf RE'!H49</f>
        <v>0</v>
      </c>
      <c r="H25" s="75">
        <f>'B4-FinPerf RE'!I49</f>
        <v>0</v>
      </c>
      <c r="I25" s="75">
        <f>SUM(D25:H25)</f>
        <v>0</v>
      </c>
      <c r="J25" s="75">
        <f>IF(C25=0,B25+I25,C25+I25)</f>
        <v>0</v>
      </c>
      <c r="K25" s="75">
        <f>'B4-FinPerf RE'!L49</f>
        <v>0</v>
      </c>
      <c r="L25" s="76">
        <f>'B4-FinPerf RE'!M49</f>
        <v>0</v>
      </c>
      <c r="M25" s="128"/>
    </row>
    <row r="26" spans="1:13" ht="12.75" customHeight="1" x14ac:dyDescent="0.25">
      <c r="A26" s="38" t="s">
        <v>609</v>
      </c>
      <c r="B26" s="1141">
        <f t="shared" ref="B26:L26" si="8">B24+B25</f>
        <v>582190999.56400013</v>
      </c>
      <c r="C26" s="1142">
        <f t="shared" si="8"/>
        <v>0</v>
      </c>
      <c r="D26" s="1142">
        <f t="shared" si="8"/>
        <v>0</v>
      </c>
      <c r="E26" s="1142">
        <f t="shared" si="8"/>
        <v>0</v>
      </c>
      <c r="F26" s="1142">
        <f t="shared" si="8"/>
        <v>0</v>
      </c>
      <c r="G26" s="1142">
        <f t="shared" si="8"/>
        <v>42808657</v>
      </c>
      <c r="H26" s="1142">
        <f t="shared" si="8"/>
        <v>2499962</v>
      </c>
      <c r="I26" s="1142">
        <f t="shared" si="8"/>
        <v>45308619</v>
      </c>
      <c r="J26" s="1142">
        <f t="shared" si="8"/>
        <v>627499618.56400013</v>
      </c>
      <c r="K26" s="1142">
        <f t="shared" si="8"/>
        <v>591473941.30201137</v>
      </c>
      <c r="L26" s="1143">
        <f t="shared" si="8"/>
        <v>712040876.23443282</v>
      </c>
      <c r="M26" s="128"/>
    </row>
    <row r="27" spans="1:13" ht="5.0999999999999996" customHeight="1" x14ac:dyDescent="0.25">
      <c r="A27" s="42"/>
      <c r="B27" s="43"/>
      <c r="C27" s="44"/>
      <c r="D27" s="44"/>
      <c r="E27" s="44"/>
      <c r="F27" s="44"/>
      <c r="G27" s="44"/>
      <c r="H27" s="44"/>
      <c r="I27" s="44"/>
      <c r="J27" s="44"/>
      <c r="K27" s="45"/>
      <c r="L27" s="46"/>
      <c r="M27" s="128"/>
    </row>
    <row r="28" spans="1:13" ht="12.75" customHeight="1" x14ac:dyDescent="0.25">
      <c r="A28" s="25" t="s">
        <v>610</v>
      </c>
      <c r="B28" s="47"/>
      <c r="C28" s="27"/>
      <c r="D28" s="27"/>
      <c r="E28" s="27"/>
      <c r="F28" s="27"/>
      <c r="G28" s="27"/>
      <c r="H28" s="27"/>
      <c r="I28" s="27"/>
      <c r="J28" s="27"/>
      <c r="K28" s="28"/>
      <c r="L28" s="29"/>
      <c r="M28" s="128"/>
    </row>
    <row r="29" spans="1:13" ht="12.75" customHeight="1" x14ac:dyDescent="0.25">
      <c r="A29" s="51" t="s">
        <v>611</v>
      </c>
      <c r="B29" s="75">
        <f>'B5-Capex'!C42</f>
        <v>580121000</v>
      </c>
      <c r="C29" s="75">
        <f>'B5-Capex'!D42</f>
        <v>0</v>
      </c>
      <c r="D29" s="75">
        <f>'B5-Capex'!E42</f>
        <v>0</v>
      </c>
      <c r="E29" s="75">
        <f>'B5-Capex'!F42</f>
        <v>0</v>
      </c>
      <c r="F29" s="75">
        <f>'B5-Capex'!G42</f>
        <v>0</v>
      </c>
      <c r="G29" s="75">
        <f>'B5-Capex'!H42</f>
        <v>42808656.599999979</v>
      </c>
      <c r="H29" s="75">
        <f>'B5-Capex'!I42</f>
        <v>3355679.4000000954</v>
      </c>
      <c r="I29" s="75">
        <f>SUM(D29:H29)</f>
        <v>46164336.000000075</v>
      </c>
      <c r="J29" s="75">
        <f>IF(C29=0,B29+I29,C29+I29)</f>
        <v>626285336.00000012</v>
      </c>
      <c r="K29" s="75">
        <f>'B5-Capex'!L42</f>
        <v>595848000</v>
      </c>
      <c r="L29" s="76">
        <f>'B5-Capex'!M42</f>
        <v>637695950</v>
      </c>
      <c r="M29" s="128"/>
    </row>
    <row r="30" spans="1:13" ht="12.75" customHeight="1" x14ac:dyDescent="0.25">
      <c r="A30" s="30" t="s">
        <v>605</v>
      </c>
      <c r="B30" s="75">
        <f>'B5-Capex'!C72</f>
        <v>466288000</v>
      </c>
      <c r="C30" s="75">
        <f>'B5-Capex'!D72</f>
        <v>0</v>
      </c>
      <c r="D30" s="75">
        <f>'B5-Capex'!E72</f>
        <v>0</v>
      </c>
      <c r="E30" s="75">
        <f>'B5-Capex'!F72</f>
        <v>0</v>
      </c>
      <c r="F30" s="75">
        <f>'B5-Capex'!G72</f>
        <v>0</v>
      </c>
      <c r="G30" s="75">
        <f>'B5-Capex'!H72</f>
        <v>42808656</v>
      </c>
      <c r="H30" s="75">
        <f>'B5-Capex'!I72</f>
        <v>-38243000</v>
      </c>
      <c r="I30" s="75">
        <f>SUM(D30:H30)</f>
        <v>4565656</v>
      </c>
      <c r="J30" s="75">
        <f>IF(C30=0,B30+I30,C30+I30)</f>
        <v>470853656</v>
      </c>
      <c r="K30" s="75">
        <f>'B5-Capex'!L72</f>
        <v>417198000</v>
      </c>
      <c r="L30" s="76">
        <f>'B5-Capex'!M72</f>
        <v>437607950</v>
      </c>
      <c r="M30" s="128"/>
    </row>
    <row r="31" spans="1:13" ht="12.75" customHeight="1" x14ac:dyDescent="0.25">
      <c r="A31" s="30" t="s">
        <v>612</v>
      </c>
      <c r="B31" s="75">
        <f>'B5-Capex'!C73</f>
        <v>0</v>
      </c>
      <c r="C31" s="75">
        <f>'B5-Capex'!D73</f>
        <v>0</v>
      </c>
      <c r="D31" s="75">
        <f>'B5-Capex'!E73</f>
        <v>0</v>
      </c>
      <c r="E31" s="75">
        <f>'B5-Capex'!F73</f>
        <v>0</v>
      </c>
      <c r="F31" s="75">
        <f>'B5-Capex'!G73</f>
        <v>0</v>
      </c>
      <c r="G31" s="75">
        <f>'B5-Capex'!H73</f>
        <v>0</v>
      </c>
      <c r="H31" s="75">
        <f>'B5-Capex'!I73</f>
        <v>3355680</v>
      </c>
      <c r="I31" s="75">
        <f>SUM(D31:H31)</f>
        <v>3355680</v>
      </c>
      <c r="J31" s="75">
        <f>IF(C31=0,B31+I31,C31+I31)</f>
        <v>3355680</v>
      </c>
      <c r="K31" s="75">
        <f>'B5-Capex'!L73</f>
        <v>0</v>
      </c>
      <c r="L31" s="76">
        <f>'B5-Capex'!M73</f>
        <v>0</v>
      </c>
      <c r="M31" s="128"/>
    </row>
    <row r="32" spans="1:13" ht="12.75" customHeight="1" x14ac:dyDescent="0.25">
      <c r="A32" s="30" t="s">
        <v>613</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5">
      <c r="A33" s="30" t="s">
        <v>614</v>
      </c>
      <c r="B33" s="75">
        <f>'B5-Capex'!C75</f>
        <v>113833000</v>
      </c>
      <c r="C33" s="75">
        <f>'B5-Capex'!D75</f>
        <v>0</v>
      </c>
      <c r="D33" s="75">
        <f>'B5-Capex'!E75</f>
        <v>0</v>
      </c>
      <c r="E33" s="75">
        <f>'B5-Capex'!F75</f>
        <v>0</v>
      </c>
      <c r="F33" s="75">
        <f>'B5-Capex'!G75</f>
        <v>0</v>
      </c>
      <c r="G33" s="75">
        <f>'B5-Capex'!H75</f>
        <v>0</v>
      </c>
      <c r="H33" s="75">
        <f>'B5-Capex'!I75</f>
        <v>38243000</v>
      </c>
      <c r="I33" s="75">
        <f>SUM(D33:H33)</f>
        <v>38243000</v>
      </c>
      <c r="J33" s="75">
        <f>IF(C33=0,B33+I33,C33+I33)</f>
        <v>152076000</v>
      </c>
      <c r="K33" s="75">
        <f>'B5-Capex'!L75</f>
        <v>178650000</v>
      </c>
      <c r="L33" s="76">
        <f>'B5-Capex'!M75</f>
        <v>200088000</v>
      </c>
      <c r="M33" s="128"/>
    </row>
    <row r="34" spans="1:13" s="48" customFormat="1" ht="12.75" customHeight="1" x14ac:dyDescent="0.25">
      <c r="A34" s="51" t="s">
        <v>615</v>
      </c>
      <c r="B34" s="141">
        <f t="shared" ref="B34:L34" si="9">SUM(B30:B33)</f>
        <v>580121000</v>
      </c>
      <c r="C34" s="141">
        <f t="shared" si="9"/>
        <v>0</v>
      </c>
      <c r="D34" s="141">
        <f t="shared" si="9"/>
        <v>0</v>
      </c>
      <c r="E34" s="141">
        <f t="shared" si="9"/>
        <v>0</v>
      </c>
      <c r="F34" s="141">
        <f t="shared" si="9"/>
        <v>0</v>
      </c>
      <c r="G34" s="141">
        <f t="shared" si="9"/>
        <v>42808656</v>
      </c>
      <c r="H34" s="141">
        <f t="shared" si="9"/>
        <v>3355680</v>
      </c>
      <c r="I34" s="141">
        <f t="shared" si="9"/>
        <v>46164336</v>
      </c>
      <c r="J34" s="141">
        <f t="shared" si="9"/>
        <v>626285336</v>
      </c>
      <c r="K34" s="141">
        <f t="shared" si="9"/>
        <v>595848000</v>
      </c>
      <c r="L34" s="142">
        <f t="shared" si="9"/>
        <v>637695950</v>
      </c>
      <c r="M34" s="347"/>
    </row>
    <row r="35" spans="1:13" ht="5.0999999999999996" customHeight="1" x14ac:dyDescent="0.25">
      <c r="A35" s="49"/>
      <c r="B35" s="43"/>
      <c r="C35" s="44"/>
      <c r="D35" s="44"/>
      <c r="E35" s="44"/>
      <c r="F35" s="44"/>
      <c r="G35" s="44"/>
      <c r="H35" s="44"/>
      <c r="I35" s="44"/>
      <c r="J35" s="44"/>
      <c r="K35" s="45"/>
      <c r="L35" s="46"/>
      <c r="M35" s="128"/>
    </row>
    <row r="36" spans="1:13" ht="12.75" customHeight="1" x14ac:dyDescent="0.25">
      <c r="A36" s="25" t="s">
        <v>616</v>
      </c>
      <c r="B36" s="47"/>
      <c r="C36" s="27"/>
      <c r="D36" s="27"/>
      <c r="E36" s="27"/>
      <c r="F36" s="27"/>
      <c r="G36" s="27"/>
      <c r="H36" s="27"/>
      <c r="I36" s="27"/>
      <c r="J36" s="27"/>
      <c r="K36" s="28"/>
      <c r="L36" s="29"/>
      <c r="M36" s="128"/>
    </row>
    <row r="37" spans="1:13" ht="12.75" customHeight="1" x14ac:dyDescent="0.25">
      <c r="A37" s="30" t="s">
        <v>617</v>
      </c>
      <c r="B37" s="75">
        <f>'B6-FinPos'!C14</f>
        <v>887577069</v>
      </c>
      <c r="C37" s="75">
        <f>'B6-FinPos'!D14</f>
        <v>0</v>
      </c>
      <c r="D37" s="75">
        <f>'B6-FinPos'!E14</f>
        <v>0</v>
      </c>
      <c r="E37" s="75">
        <f>'B6-FinPos'!F14</f>
        <v>0</v>
      </c>
      <c r="F37" s="75">
        <f>'B6-FinPos'!G14</f>
        <v>0</v>
      </c>
      <c r="G37" s="75">
        <f>'B6-FinPos'!H14</f>
        <v>0</v>
      </c>
      <c r="H37" s="75">
        <f>'B6-FinPos'!I14</f>
        <v>-491028069</v>
      </c>
      <c r="I37" s="75">
        <f>SUM(D37:H37)</f>
        <v>-491028069</v>
      </c>
      <c r="J37" s="75">
        <f>IF(C37=0,B37+I37,C37+I37)</f>
        <v>396549000</v>
      </c>
      <c r="K37" s="75">
        <f>'B6-FinPos'!L14</f>
        <v>573261796</v>
      </c>
      <c r="L37" s="76">
        <f>'B6-FinPos'!M14</f>
        <v>543403796</v>
      </c>
      <c r="M37" s="128"/>
    </row>
    <row r="38" spans="1:13" ht="12.75" customHeight="1" x14ac:dyDescent="0.25">
      <c r="A38" s="30" t="s">
        <v>618</v>
      </c>
      <c r="B38" s="75">
        <f>'B6-FinPos'!C26</f>
        <v>8290495189.4100008</v>
      </c>
      <c r="C38" s="75">
        <f>'B6-FinPos'!D26</f>
        <v>0</v>
      </c>
      <c r="D38" s="75">
        <f>'B6-FinPos'!E26</f>
        <v>0</v>
      </c>
      <c r="E38" s="75">
        <f>'B6-FinPos'!F26</f>
        <v>0</v>
      </c>
      <c r="F38" s="75">
        <f>'B6-FinPos'!G26</f>
        <v>0</v>
      </c>
      <c r="G38" s="75">
        <f>'B6-FinPos'!H26</f>
        <v>42808656</v>
      </c>
      <c r="H38" s="75">
        <f>'B6-FinPos'!I26</f>
        <v>3355681</v>
      </c>
      <c r="I38" s="75">
        <f>SUM(D38:H38)</f>
        <v>46164337</v>
      </c>
      <c r="J38" s="75">
        <f>IF(C38=0,B38+I38,C38+I38)</f>
        <v>8336659526.4100008</v>
      </c>
      <c r="K38" s="75">
        <f>'B6-FinPos'!L26</f>
        <v>8666410189.4099998</v>
      </c>
      <c r="L38" s="76">
        <f>'B6-FinPos'!M26</f>
        <v>9069918664.4099998</v>
      </c>
      <c r="M38" s="128"/>
    </row>
    <row r="39" spans="1:13" ht="12.75" customHeight="1" x14ac:dyDescent="0.25">
      <c r="A39" s="30" t="s">
        <v>619</v>
      </c>
      <c r="B39" s="75">
        <f>'B6-FinPos'!C36</f>
        <v>857080266</v>
      </c>
      <c r="C39" s="75">
        <f>'B6-FinPos'!D36</f>
        <v>0</v>
      </c>
      <c r="D39" s="75">
        <f>'B6-FinPos'!E36</f>
        <v>0</v>
      </c>
      <c r="E39" s="75">
        <f>'B6-FinPos'!F36</f>
        <v>0</v>
      </c>
      <c r="F39" s="75">
        <f>'B6-FinPos'!G36</f>
        <v>0</v>
      </c>
      <c r="G39" s="75">
        <f>'B6-FinPos'!H36</f>
        <v>0</v>
      </c>
      <c r="H39" s="75">
        <f>'B6-FinPos'!I36</f>
        <v>-202691000</v>
      </c>
      <c r="I39" s="75">
        <f>SUM(D39:H39)</f>
        <v>-202691000</v>
      </c>
      <c r="J39" s="75">
        <f>IF(C39=0,B39+I39,C39+I39)</f>
        <v>654389266</v>
      </c>
      <c r="K39" s="75">
        <f>'B6-FinPos'!L36</f>
        <v>798030266</v>
      </c>
      <c r="L39" s="76">
        <f>'B6-FinPos'!M36</f>
        <v>804485266</v>
      </c>
      <c r="M39" s="128"/>
    </row>
    <row r="40" spans="1:13" ht="12.75" customHeight="1" x14ac:dyDescent="0.25">
      <c r="A40" s="30" t="s">
        <v>620</v>
      </c>
      <c r="B40" s="75">
        <f>'B6-FinPos'!C41</f>
        <v>442134691</v>
      </c>
      <c r="C40" s="75">
        <f>'B6-FinPos'!D41</f>
        <v>0</v>
      </c>
      <c r="D40" s="75">
        <f>'B6-FinPos'!E41</f>
        <v>0</v>
      </c>
      <c r="E40" s="75">
        <f>'B6-FinPos'!F41</f>
        <v>0</v>
      </c>
      <c r="F40" s="75">
        <f>'B6-FinPos'!G41</f>
        <v>0</v>
      </c>
      <c r="G40" s="75">
        <f>'B6-FinPos'!H41</f>
        <v>0</v>
      </c>
      <c r="H40" s="75">
        <f>'B6-FinPos'!I41</f>
        <v>0</v>
      </c>
      <c r="I40" s="75">
        <f>SUM(D40:H40)</f>
        <v>0</v>
      </c>
      <c r="J40" s="75">
        <f>IF(C40=0,B40+I40,C40+I40)</f>
        <v>442134691</v>
      </c>
      <c r="K40" s="75">
        <f>'B6-FinPos'!L41</f>
        <v>412075075</v>
      </c>
      <c r="L40" s="76">
        <f>'B6-FinPos'!M41</f>
        <v>386177509</v>
      </c>
      <c r="M40" s="128"/>
    </row>
    <row r="41" spans="1:13" ht="12.75" customHeight="1" x14ac:dyDescent="0.25">
      <c r="A41" s="51" t="s">
        <v>1289</v>
      </c>
      <c r="B41" s="141">
        <f>'B6-FinPos'!C50</f>
        <v>7878857301.4099998</v>
      </c>
      <c r="C41" s="141">
        <f>'B6-FinPos'!D50</f>
        <v>0</v>
      </c>
      <c r="D41" s="141">
        <f>'B6-FinPos'!E50</f>
        <v>0</v>
      </c>
      <c r="E41" s="141">
        <f>'B6-FinPos'!F50</f>
        <v>0</v>
      </c>
      <c r="F41" s="141">
        <f>'B6-FinPos'!G50</f>
        <v>0</v>
      </c>
      <c r="G41" s="141">
        <f>'B6-FinPos'!H50</f>
        <v>42808656</v>
      </c>
      <c r="H41" s="141">
        <f>'B6-FinPos'!I50</f>
        <v>-284981388</v>
      </c>
      <c r="I41" s="141">
        <f>SUM(D41:H41)</f>
        <v>-242172732</v>
      </c>
      <c r="J41" s="141">
        <f>IF(C41=0,B41+I41,C41+I41)</f>
        <v>7636684569.4099998</v>
      </c>
      <c r="K41" s="141">
        <f>'B6-FinPos'!L50</f>
        <v>8029566644.4099998</v>
      </c>
      <c r="L41" s="142">
        <f>'B6-FinPos'!M50</f>
        <v>8422659685.4099998</v>
      </c>
      <c r="M41" s="128"/>
    </row>
    <row r="42" spans="1:13" ht="5.0999999999999996" customHeight="1" x14ac:dyDescent="0.25">
      <c r="A42" s="42"/>
      <c r="B42" s="43"/>
      <c r="C42" s="44"/>
      <c r="D42" s="44"/>
      <c r="E42" s="44"/>
      <c r="F42" s="44"/>
      <c r="G42" s="44"/>
      <c r="H42" s="44"/>
      <c r="I42" s="44"/>
      <c r="J42" s="44"/>
      <c r="K42" s="45"/>
      <c r="L42" s="46"/>
      <c r="M42" s="128"/>
    </row>
    <row r="43" spans="1:13" ht="12.75" customHeight="1" x14ac:dyDescent="0.25">
      <c r="A43" s="25" t="s">
        <v>621</v>
      </c>
      <c r="B43" s="47"/>
      <c r="C43" s="27"/>
      <c r="D43" s="27"/>
      <c r="E43" s="27"/>
      <c r="F43" s="27"/>
      <c r="G43" s="27"/>
      <c r="H43" s="27"/>
      <c r="I43" s="27"/>
      <c r="J43" s="27"/>
      <c r="K43" s="28"/>
      <c r="L43" s="29"/>
      <c r="M43" s="128"/>
    </row>
    <row r="44" spans="1:13" ht="12.75" customHeight="1" x14ac:dyDescent="0.25">
      <c r="A44" s="30" t="s">
        <v>622</v>
      </c>
      <c r="B44" s="75">
        <f>'B7-CFlow'!C19</f>
        <v>692942152.74122</v>
      </c>
      <c r="C44" s="75">
        <f>'B7-CFlow'!D19</f>
        <v>0</v>
      </c>
      <c r="D44" s="75">
        <f>'B7-CFlow'!E19</f>
        <v>0</v>
      </c>
      <c r="E44" s="75">
        <f>'B7-CFlow'!F19</f>
        <v>0</v>
      </c>
      <c r="F44" s="75">
        <f>'B7-CFlow'!G19</f>
        <v>0</v>
      </c>
      <c r="G44" s="75">
        <f>'B7-CFlow'!H19</f>
        <v>-151333700</v>
      </c>
      <c r="H44" s="75">
        <f>'B7-CFlow'!I19</f>
        <v>-64338656.517480001</v>
      </c>
      <c r="I44" s="75">
        <f>SUM(D44:H44)</f>
        <v>-215672356.51748002</v>
      </c>
      <c r="J44" s="75">
        <f>IF(C44=0,B44+I44,C44+I44)</f>
        <v>477269796.22373998</v>
      </c>
      <c r="K44" s="75">
        <f>'B7-CFlow'!L19</f>
        <v>752778844.9722662</v>
      </c>
      <c r="L44" s="76">
        <f>'B7-CFlow'!M19</f>
        <v>847636469.82482409</v>
      </c>
      <c r="M44" s="128"/>
    </row>
    <row r="45" spans="1:13" ht="12.75" customHeight="1" x14ac:dyDescent="0.25">
      <c r="A45" s="30" t="s">
        <v>623</v>
      </c>
      <c r="B45" s="75">
        <f>'B7-CFlow'!C29</f>
        <v>-558581000</v>
      </c>
      <c r="C45" s="75">
        <f>'B7-CFlow'!D29</f>
        <v>0</v>
      </c>
      <c r="D45" s="75">
        <f>'B7-CFlow'!E29</f>
        <v>0</v>
      </c>
      <c r="E45" s="75">
        <f>'B7-CFlow'!F29</f>
        <v>0</v>
      </c>
      <c r="F45" s="75">
        <f>'B7-CFlow'!G29</f>
        <v>0</v>
      </c>
      <c r="G45" s="75">
        <f>'B7-CFlow'!H29</f>
        <v>-42677088.57</v>
      </c>
      <c r="H45" s="75">
        <f>'B7-CFlow'!I29</f>
        <v>0</v>
      </c>
      <c r="I45" s="75">
        <f>SUM(D45:H45)</f>
        <v>-42677088.57</v>
      </c>
      <c r="J45" s="75">
        <f>IF(C45=0,B45+I45,C45+I45)</f>
        <v>-601258088.57000005</v>
      </c>
      <c r="K45" s="75">
        <f>'B7-CFlow'!L29</f>
        <v>-632213000</v>
      </c>
      <c r="L45" s="76">
        <f>'B7-CFlow'!M29</f>
        <v>-679321000</v>
      </c>
      <c r="M45" s="128"/>
    </row>
    <row r="46" spans="1:13" ht="12.75" customHeight="1" x14ac:dyDescent="0.25">
      <c r="A46" s="30" t="s">
        <v>624</v>
      </c>
      <c r="B46" s="75">
        <f>'B7-CFlow'!C38</f>
        <v>-56100000</v>
      </c>
      <c r="C46" s="75">
        <f>'B7-CFlow'!D38</f>
        <v>0</v>
      </c>
      <c r="D46" s="75">
        <f>'B7-CFlow'!E38</f>
        <v>0</v>
      </c>
      <c r="E46" s="75">
        <f>'B7-CFlow'!F38</f>
        <v>0</v>
      </c>
      <c r="F46" s="75">
        <f>'B7-CFlow'!G38</f>
        <v>0</v>
      </c>
      <c r="G46" s="75">
        <f>'B7-CFlow'!H38</f>
        <v>0</v>
      </c>
      <c r="H46" s="75">
        <f>'B7-CFlow'!I38</f>
        <v>0</v>
      </c>
      <c r="I46" s="75">
        <f>SUM(D46:H46)</f>
        <v>0</v>
      </c>
      <c r="J46" s="75">
        <f>IF(C46=0,B46+I46,C46+I46)</f>
        <v>-56100000</v>
      </c>
      <c r="K46" s="75">
        <f>'B7-CFlow'!L38</f>
        <v>-56600000</v>
      </c>
      <c r="L46" s="76">
        <f>'B7-CFlow'!M38</f>
        <v>-57100000</v>
      </c>
      <c r="M46" s="128"/>
    </row>
    <row r="47" spans="1:13" ht="12.75" customHeight="1" x14ac:dyDescent="0.25">
      <c r="A47" s="51" t="s">
        <v>625</v>
      </c>
      <c r="B47" s="141">
        <f>'B7-CFlow'!C42</f>
        <v>315251557.74122</v>
      </c>
      <c r="C47" s="141">
        <f>'B7-CFlow'!D42</f>
        <v>0</v>
      </c>
      <c r="D47" s="141">
        <f>'B7-CFlow'!E42</f>
        <v>0</v>
      </c>
      <c r="E47" s="141">
        <f>'B7-CFlow'!F42</f>
        <v>0</v>
      </c>
      <c r="F47" s="141">
        <f>'B7-CFlow'!G42</f>
        <v>0</v>
      </c>
      <c r="G47" s="141">
        <f>'B7-CFlow'!H42</f>
        <v>-194010788.56999999</v>
      </c>
      <c r="H47" s="141">
        <f>'B7-CFlow'!I42</f>
        <v>21634385.762519971</v>
      </c>
      <c r="I47" s="141">
        <f>SUM(D47:H47)</f>
        <v>-172376402.80748004</v>
      </c>
      <c r="J47" s="141">
        <f>IF(C47=0,B47+I47,C47+I47)</f>
        <v>142875154.93373996</v>
      </c>
      <c r="K47" s="141">
        <f>'B7-CFlow'!L42</f>
        <v>206840999.90600622</v>
      </c>
      <c r="L47" s="142">
        <f>'B7-CFlow'!M42</f>
        <v>318056469.73083031</v>
      </c>
      <c r="M47" s="128"/>
    </row>
    <row r="48" spans="1:13" ht="5.0999999999999996" customHeight="1" x14ac:dyDescent="0.25">
      <c r="A48" s="42"/>
      <c r="B48" s="43"/>
      <c r="C48" s="44"/>
      <c r="D48" s="44"/>
      <c r="E48" s="44"/>
      <c r="F48" s="44"/>
      <c r="G48" s="44"/>
      <c r="H48" s="44"/>
      <c r="I48" s="44"/>
      <c r="J48" s="44"/>
      <c r="K48" s="45"/>
      <c r="L48" s="46"/>
      <c r="M48" s="128"/>
    </row>
    <row r="49" spans="1:16" ht="12.75" customHeight="1" x14ac:dyDescent="0.25">
      <c r="A49" s="52" t="s">
        <v>626</v>
      </c>
      <c r="B49" s="31"/>
      <c r="C49" s="32"/>
      <c r="D49" s="32"/>
      <c r="E49" s="32"/>
      <c r="F49" s="32"/>
      <c r="G49" s="32"/>
      <c r="H49" s="32"/>
      <c r="I49" s="32"/>
      <c r="J49" s="32"/>
      <c r="K49" s="33"/>
      <c r="L49" s="34"/>
      <c r="M49" s="128"/>
    </row>
    <row r="50" spans="1:16" ht="12.75" customHeight="1" x14ac:dyDescent="0.25">
      <c r="A50" s="30" t="s">
        <v>627</v>
      </c>
      <c r="B50" s="75">
        <f>'B8-ResRecon'!C10</f>
        <v>473999800</v>
      </c>
      <c r="C50" s="75">
        <f>'B8-ResRecon'!D10</f>
        <v>0</v>
      </c>
      <c r="D50" s="75">
        <f>'B8-ResRecon'!E10</f>
        <v>0</v>
      </c>
      <c r="E50" s="75">
        <f>'B8-ResRecon'!F10</f>
        <v>0</v>
      </c>
      <c r="F50" s="75">
        <f>'B8-ResRecon'!G10</f>
        <v>0</v>
      </c>
      <c r="G50" s="75">
        <f>'B8-ResRecon'!H10</f>
        <v>0</v>
      </c>
      <c r="H50" s="75">
        <f>'B8-ResRecon'!I10</f>
        <v>-250000000</v>
      </c>
      <c r="I50" s="75">
        <f>SUM(D50:H50)</f>
        <v>-250000000</v>
      </c>
      <c r="J50" s="75">
        <f>IF(C50=0,B50+I50,C50+I50)</f>
        <v>223999800</v>
      </c>
      <c r="K50" s="75">
        <f>'B8-ResRecon'!L10</f>
        <v>463999800</v>
      </c>
      <c r="L50" s="76">
        <f>'B8-ResRecon'!M10</f>
        <v>403999800</v>
      </c>
      <c r="M50" s="128"/>
    </row>
    <row r="51" spans="1:16" ht="12.75" customHeight="1" x14ac:dyDescent="0.25">
      <c r="A51" s="30" t="s">
        <v>628</v>
      </c>
      <c r="B51" s="75">
        <f>'B8-ResRecon'!C20</f>
        <v>360704000</v>
      </c>
      <c r="C51" s="75">
        <f>'B8-ResRecon'!D20</f>
        <v>0</v>
      </c>
      <c r="D51" s="75">
        <f>'B8-ResRecon'!E20</f>
        <v>0</v>
      </c>
      <c r="E51" s="75">
        <f>'B8-ResRecon'!F20</f>
        <v>0</v>
      </c>
      <c r="F51" s="75">
        <f>'B8-ResRecon'!G20</f>
        <v>0</v>
      </c>
      <c r="G51" s="75">
        <f>'B8-ResRecon'!H20</f>
        <v>0</v>
      </c>
      <c r="H51" s="75">
        <f>'B8-ResRecon'!I20</f>
        <v>-181690558.02000001</v>
      </c>
      <c r="I51" s="75">
        <f>SUM(D51:H51)</f>
        <v>-181690558.02000001</v>
      </c>
      <c r="J51" s="75">
        <f>IF(C51=0,B51+I51,C51+I51)</f>
        <v>179013441.97999999</v>
      </c>
      <c r="K51" s="75">
        <f>'B8-ResRecon'!L20</f>
        <v>326143000</v>
      </c>
      <c r="L51" s="76">
        <f>'B8-ResRecon'!M20</f>
        <v>315882000</v>
      </c>
      <c r="M51" s="128"/>
    </row>
    <row r="52" spans="1:16" ht="12.75" customHeight="1" x14ac:dyDescent="0.25">
      <c r="A52" s="51" t="s">
        <v>629</v>
      </c>
      <c r="B52" s="141">
        <f t="shared" ref="B52:L52" si="10">B50-B51</f>
        <v>113295800</v>
      </c>
      <c r="C52" s="141">
        <f t="shared" si="10"/>
        <v>0</v>
      </c>
      <c r="D52" s="141">
        <f t="shared" si="10"/>
        <v>0</v>
      </c>
      <c r="E52" s="141">
        <f t="shared" si="10"/>
        <v>0</v>
      </c>
      <c r="F52" s="141">
        <f t="shared" si="10"/>
        <v>0</v>
      </c>
      <c r="G52" s="141">
        <f t="shared" si="10"/>
        <v>0</v>
      </c>
      <c r="H52" s="141">
        <f t="shared" si="10"/>
        <v>-68309441.979999989</v>
      </c>
      <c r="I52" s="141">
        <f t="shared" si="10"/>
        <v>-68309441.979999989</v>
      </c>
      <c r="J52" s="141">
        <f t="shared" si="10"/>
        <v>44986358.020000011</v>
      </c>
      <c r="K52" s="141">
        <f t="shared" si="10"/>
        <v>137856800</v>
      </c>
      <c r="L52" s="142">
        <f t="shared" si="10"/>
        <v>88117800</v>
      </c>
      <c r="M52" s="128"/>
    </row>
    <row r="53" spans="1:16" ht="5.0999999999999996" customHeight="1" x14ac:dyDescent="0.25">
      <c r="A53" s="42"/>
      <c r="B53" s="43"/>
      <c r="C53" s="44"/>
      <c r="D53" s="44"/>
      <c r="E53" s="44"/>
      <c r="F53" s="44"/>
      <c r="G53" s="44"/>
      <c r="H53" s="44"/>
      <c r="I53" s="44"/>
      <c r="J53" s="44"/>
      <c r="K53" s="45"/>
      <c r="L53" s="46"/>
      <c r="M53" s="128"/>
    </row>
    <row r="54" spans="1:16" ht="12.75" customHeight="1" x14ac:dyDescent="0.25">
      <c r="A54" s="52" t="s">
        <v>630</v>
      </c>
      <c r="B54" s="31"/>
      <c r="C54" s="32"/>
      <c r="D54" s="32"/>
      <c r="E54" s="32"/>
      <c r="F54" s="32"/>
      <c r="G54" s="32"/>
      <c r="H54" s="32"/>
      <c r="I54" s="32"/>
      <c r="J54" s="27"/>
      <c r="K54" s="33"/>
      <c r="L54" s="34"/>
      <c r="M54" s="128"/>
    </row>
    <row r="55" spans="1:16" ht="12.75" customHeight="1" x14ac:dyDescent="0.25">
      <c r="A55" s="30" t="s">
        <v>631</v>
      </c>
      <c r="B55" s="75">
        <f>'B9-Asset'!C67</f>
        <v>7669540848.4100018</v>
      </c>
      <c r="C55" s="75">
        <f>'B9-Asset'!D67</f>
        <v>0</v>
      </c>
      <c r="D55" s="75">
        <f>'B9-Asset'!E67</f>
        <v>0</v>
      </c>
      <c r="E55" s="75">
        <f>'B9-Asset'!F67</f>
        <v>0</v>
      </c>
      <c r="F55" s="75">
        <f>'B9-Asset'!G67</f>
        <v>0</v>
      </c>
      <c r="G55" s="75">
        <f>'B9-Asset'!H67</f>
        <v>42808656</v>
      </c>
      <c r="H55" s="75">
        <f>'B9-Asset'!I67</f>
        <v>3355680</v>
      </c>
      <c r="I55" s="75">
        <f>SUM(D55:H55)</f>
        <v>46164336</v>
      </c>
      <c r="J55" s="75">
        <f>IF(C55=0,B55+I55,C55+I55)</f>
        <v>7715705184.4100018</v>
      </c>
      <c r="K55" s="75">
        <f>'B9-Asset'!L67</f>
        <v>8046313848.4100018</v>
      </c>
      <c r="L55" s="76">
        <f>'B9-Asset'!M67</f>
        <v>8451180323.4100018</v>
      </c>
      <c r="M55" s="128"/>
    </row>
    <row r="56" spans="1:16" ht="12.75" customHeight="1" x14ac:dyDescent="0.25">
      <c r="A56" s="30" t="s">
        <v>598</v>
      </c>
      <c r="B56" s="172">
        <f>'B9-Asset'!C70</f>
        <v>205000000</v>
      </c>
      <c r="C56" s="75">
        <f>'B9-Asset'!D70</f>
        <v>0</v>
      </c>
      <c r="D56" s="75">
        <f>'B9-Asset'!E70</f>
        <v>0</v>
      </c>
      <c r="E56" s="75">
        <f>'B9-Asset'!F70</f>
        <v>0</v>
      </c>
      <c r="F56" s="75">
        <f>'B9-Asset'!G70</f>
        <v>0</v>
      </c>
      <c r="G56" s="75">
        <f>'B9-Asset'!H70</f>
        <v>0</v>
      </c>
      <c r="H56" s="75">
        <f>'B9-Asset'!I70</f>
        <v>0</v>
      </c>
      <c r="I56" s="75">
        <f>SUM(D56:H56)</f>
        <v>0</v>
      </c>
      <c r="J56" s="75">
        <f>IF(C56=0,B56+I56,C56+I56)</f>
        <v>205000000</v>
      </c>
      <c r="K56" s="75">
        <f>'B9-Asset'!L70</f>
        <v>218325000</v>
      </c>
      <c r="L56" s="76">
        <f>'B9-Asset'!M70</f>
        <v>232079475</v>
      </c>
      <c r="M56" s="128"/>
    </row>
    <row r="57" spans="1:16" ht="12.75" customHeight="1" x14ac:dyDescent="0.25">
      <c r="A57" s="30" t="s">
        <v>632</v>
      </c>
      <c r="B57" s="75">
        <f>'B9-Asset'!C22</f>
        <v>153993000</v>
      </c>
      <c r="C57" s="75">
        <f>'B9-Asset'!D22</f>
        <v>0</v>
      </c>
      <c r="D57" s="75">
        <f>'B9-Asset'!E22</f>
        <v>0</v>
      </c>
      <c r="E57" s="75">
        <f>'B9-Asset'!F22</f>
        <v>0</v>
      </c>
      <c r="F57" s="75">
        <f>'B9-Asset'!G22</f>
        <v>0</v>
      </c>
      <c r="G57" s="75">
        <f>'B9-Asset'!H22</f>
        <v>0</v>
      </c>
      <c r="H57" s="75">
        <f>'B9-Asset'!I22</f>
        <v>0</v>
      </c>
      <c r="I57" s="75">
        <f>SUM(D57:H57)</f>
        <v>0</v>
      </c>
      <c r="J57" s="75">
        <f>IF(C57=0,B57+I57,C57+I57)</f>
        <v>153993000</v>
      </c>
      <c r="K57" s="75">
        <f>'B9-Asset'!L22</f>
        <v>190686000</v>
      </c>
      <c r="L57" s="76">
        <f>'B9-Asset'!M22</f>
        <v>225610000</v>
      </c>
      <c r="M57" s="128"/>
    </row>
    <row r="58" spans="1:16" ht="12.75" customHeight="1" x14ac:dyDescent="0.25">
      <c r="A58" s="30" t="s">
        <v>633</v>
      </c>
      <c r="B58" s="75">
        <f>'B9-Asset'!C71</f>
        <v>177520393.60000002</v>
      </c>
      <c r="C58" s="75">
        <f>'B9-Asset'!D71</f>
        <v>0</v>
      </c>
      <c r="D58" s="75">
        <f>'B9-Asset'!E71</f>
        <v>0</v>
      </c>
      <c r="E58" s="75">
        <f>'B9-Asset'!F71</f>
        <v>0</v>
      </c>
      <c r="F58" s="75">
        <f>'B9-Asset'!G71</f>
        <v>0</v>
      </c>
      <c r="G58" s="75">
        <f>'B9-Asset'!H71</f>
        <v>0</v>
      </c>
      <c r="H58" s="75">
        <f>'B9-Asset'!I71</f>
        <v>23832733</v>
      </c>
      <c r="I58" s="75">
        <f>SUM(D58:H58)</f>
        <v>23832733</v>
      </c>
      <c r="J58" s="75">
        <f>IF(C58=0,B58+I58,C58+I58)</f>
        <v>201353126.60000002</v>
      </c>
      <c r="K58" s="75">
        <f>'B9-Asset'!L71</f>
        <v>188637432.43400031</v>
      </c>
      <c r="L58" s="76">
        <f>'B9-Asset'!M71</f>
        <v>200521539.7173422</v>
      </c>
      <c r="M58" s="128"/>
    </row>
    <row r="59" spans="1:16" ht="5.0999999999999996" customHeight="1" x14ac:dyDescent="0.25">
      <c r="A59" s="42"/>
      <c r="B59" s="43"/>
      <c r="C59" s="44"/>
      <c r="D59" s="44"/>
      <c r="E59" s="44"/>
      <c r="F59" s="44"/>
      <c r="G59" s="44"/>
      <c r="H59" s="44"/>
      <c r="I59" s="44"/>
      <c r="J59" s="44"/>
      <c r="K59" s="45"/>
      <c r="L59" s="46"/>
      <c r="M59" s="128"/>
    </row>
    <row r="60" spans="1:16" ht="12.75" customHeight="1" x14ac:dyDescent="0.25">
      <c r="A60" s="52" t="s">
        <v>1159</v>
      </c>
      <c r="B60" s="35"/>
      <c r="C60" s="32"/>
      <c r="D60" s="32"/>
      <c r="E60" s="32"/>
      <c r="F60" s="32"/>
      <c r="G60" s="32"/>
      <c r="H60" s="32"/>
      <c r="I60" s="32"/>
      <c r="J60" s="32"/>
      <c r="K60" s="33"/>
      <c r="L60" s="34"/>
      <c r="M60" s="554"/>
      <c r="N60" s="53"/>
      <c r="O60" s="53"/>
      <c r="P60" s="53"/>
    </row>
    <row r="61" spans="1:16" ht="12.75" customHeight="1" x14ac:dyDescent="0.25">
      <c r="A61" s="30" t="s">
        <v>634</v>
      </c>
      <c r="B61" s="75">
        <f>'B10-SerDel'!C61</f>
        <v>38731392.5</v>
      </c>
      <c r="C61" s="75">
        <f>'B10-SerDel'!D61</f>
        <v>0</v>
      </c>
      <c r="D61" s="75">
        <f>'B10-SerDel'!E61</f>
        <v>0</v>
      </c>
      <c r="E61" s="75">
        <f>'B10-SerDel'!F61</f>
        <v>0</v>
      </c>
      <c r="F61" s="75">
        <f>'B10-SerDel'!G61</f>
        <v>0</v>
      </c>
      <c r="G61" s="75">
        <f>'B10-SerDel'!H61</f>
        <v>0</v>
      </c>
      <c r="H61" s="75">
        <f>'B10-SerDel'!I61</f>
        <v>0</v>
      </c>
      <c r="I61" s="75">
        <f>'B10-SerDel'!J61</f>
        <v>0</v>
      </c>
      <c r="J61" s="75">
        <f>'B10-SerDel'!K61</f>
        <v>38731392.5</v>
      </c>
      <c r="K61" s="75">
        <f>'B10-SerDel'!L61</f>
        <v>41055276.050000004</v>
      </c>
      <c r="L61" s="76">
        <f>'B10-SerDel'!M61</f>
        <v>43518592.613000005</v>
      </c>
      <c r="M61" s="128"/>
      <c r="N61" s="54"/>
      <c r="O61" s="54"/>
      <c r="P61" s="54"/>
    </row>
    <row r="62" spans="1:16" ht="12.75" customHeight="1" x14ac:dyDescent="0.25">
      <c r="A62" s="36" t="s">
        <v>635</v>
      </c>
      <c r="B62" s="75">
        <f>'B10-SerDel'!C80</f>
        <v>63225140</v>
      </c>
      <c r="C62" s="75">
        <f>'B10-SerDel'!D80</f>
        <v>0</v>
      </c>
      <c r="D62" s="75">
        <f>'B10-SerDel'!E80</f>
        <v>0</v>
      </c>
      <c r="E62" s="75">
        <f>'B10-SerDel'!F80</f>
        <v>0</v>
      </c>
      <c r="F62" s="75">
        <f>'B10-SerDel'!G80</f>
        <v>0</v>
      </c>
      <c r="G62" s="75">
        <f>'B10-SerDel'!H80</f>
        <v>0</v>
      </c>
      <c r="H62" s="75">
        <f>'B10-SerDel'!I80</f>
        <v>0</v>
      </c>
      <c r="I62" s="75">
        <f>'B10-SerDel'!J80</f>
        <v>0</v>
      </c>
      <c r="J62" s="75">
        <f>'B10-SerDel'!K80</f>
        <v>63225140</v>
      </c>
      <c r="K62" s="75">
        <f>'B10-SerDel'!L80</f>
        <v>66702522.700000003</v>
      </c>
      <c r="L62" s="76">
        <f>'B10-SerDel'!M80</f>
        <v>70237756.403099999</v>
      </c>
      <c r="M62" s="862"/>
      <c r="N62" s="54"/>
      <c r="O62" s="54"/>
      <c r="P62" s="54"/>
    </row>
    <row r="63" spans="1:16" ht="12.75" customHeight="1" x14ac:dyDescent="0.25">
      <c r="A63" s="857" t="s">
        <v>1158</v>
      </c>
      <c r="B63" s="35"/>
      <c r="C63" s="32"/>
      <c r="D63" s="32"/>
      <c r="E63" s="32"/>
      <c r="F63" s="32"/>
      <c r="G63" s="32"/>
      <c r="H63" s="32"/>
      <c r="I63" s="32"/>
      <c r="J63" s="32"/>
      <c r="K63" s="33"/>
      <c r="L63" s="34"/>
      <c r="M63" s="862"/>
      <c r="N63" s="54"/>
      <c r="O63" s="54"/>
      <c r="P63" s="54"/>
    </row>
    <row r="64" spans="1:16" ht="12.75" customHeight="1" x14ac:dyDescent="0.25">
      <c r="A64" s="55" t="s">
        <v>636</v>
      </c>
      <c r="B64" s="75">
        <f>'B10-SerDel'!C16</f>
        <v>6300</v>
      </c>
      <c r="C64" s="75">
        <f>'B10-SerDel'!D16</f>
        <v>0</v>
      </c>
      <c r="D64" s="75">
        <f>'B10-SerDel'!E16</f>
        <v>0</v>
      </c>
      <c r="E64" s="75">
        <f>'B10-SerDel'!F16</f>
        <v>0</v>
      </c>
      <c r="F64" s="75">
        <f>'B10-SerDel'!G16</f>
        <v>0</v>
      </c>
      <c r="G64" s="75">
        <f>'B10-SerDel'!H16</f>
        <v>0</v>
      </c>
      <c r="H64" s="75">
        <f>'B10-SerDel'!I16</f>
        <v>0</v>
      </c>
      <c r="I64" s="75">
        <f>SUM(D64:H64)</f>
        <v>0</v>
      </c>
      <c r="J64" s="75">
        <f>IF(C64=0,B64+I64,C64+I64)</f>
        <v>6300</v>
      </c>
      <c r="K64" s="75">
        <f>'B10-SerDel'!L16</f>
        <v>6200</v>
      </c>
      <c r="L64" s="76">
        <f>'B10-SerDel'!M16</f>
        <v>6100</v>
      </c>
      <c r="M64" s="54"/>
      <c r="N64" s="54"/>
      <c r="O64" s="54"/>
      <c r="P64" s="54"/>
    </row>
    <row r="65" spans="1:16" ht="12.75" customHeight="1" x14ac:dyDescent="0.25">
      <c r="A65" s="55" t="s">
        <v>637</v>
      </c>
      <c r="B65" s="75">
        <f>'B10-SerDel'!C28</f>
        <v>98000</v>
      </c>
      <c r="C65" s="75">
        <f>'B10-SerDel'!D28</f>
        <v>0</v>
      </c>
      <c r="D65" s="75">
        <f>'B10-SerDel'!E28</f>
        <v>0</v>
      </c>
      <c r="E65" s="75">
        <f>'B10-SerDel'!F28</f>
        <v>0</v>
      </c>
      <c r="F65" s="75">
        <f>'B10-SerDel'!G28</f>
        <v>0</v>
      </c>
      <c r="G65" s="75">
        <f>'B10-SerDel'!H28</f>
        <v>0</v>
      </c>
      <c r="H65" s="75">
        <f>'B10-SerDel'!I28</f>
        <v>0</v>
      </c>
      <c r="I65" s="75">
        <f>SUM(D65:H65)</f>
        <v>0</v>
      </c>
      <c r="J65" s="75">
        <f>IF(C65=0,B65+I65,C65+I65)</f>
        <v>98000</v>
      </c>
      <c r="K65" s="75">
        <f>'B10-SerDel'!L28</f>
        <v>97581</v>
      </c>
      <c r="L65" s="76">
        <f>'B10-SerDel'!M28</f>
        <v>97381</v>
      </c>
      <c r="M65" s="53"/>
      <c r="N65" s="53"/>
      <c r="O65" s="53"/>
      <c r="P65" s="53"/>
    </row>
    <row r="66" spans="1:16" ht="12.75" customHeight="1" x14ac:dyDescent="0.25">
      <c r="A66" s="55" t="s">
        <v>638</v>
      </c>
      <c r="B66" s="75">
        <f>'B10-SerDel'!C37</f>
        <v>29199</v>
      </c>
      <c r="C66" s="75">
        <f>'B10-SerDel'!D37</f>
        <v>0</v>
      </c>
      <c r="D66" s="75">
        <f>'B10-SerDel'!E37</f>
        <v>0</v>
      </c>
      <c r="E66" s="75">
        <f>'B10-SerDel'!F37</f>
        <v>0</v>
      </c>
      <c r="F66" s="75">
        <f>'B10-SerDel'!G37</f>
        <v>0</v>
      </c>
      <c r="G66" s="75">
        <f>'B10-SerDel'!H37</f>
        <v>0</v>
      </c>
      <c r="H66" s="75">
        <f>'B10-SerDel'!I37</f>
        <v>0</v>
      </c>
      <c r="I66" s="75">
        <f>SUM(D66:H66)</f>
        <v>0</v>
      </c>
      <c r="J66" s="75">
        <f>IF(C66=0,B66+I66,C66+I66)</f>
        <v>29199</v>
      </c>
      <c r="K66" s="75">
        <f>'B10-SerDel'!L37</f>
        <v>29099</v>
      </c>
      <c r="L66" s="76">
        <f>'B10-SerDel'!M37</f>
        <v>28999</v>
      </c>
      <c r="M66" s="54"/>
      <c r="N66" s="54"/>
      <c r="O66" s="54"/>
      <c r="P66" s="53"/>
    </row>
    <row r="67" spans="1:16" ht="12.75" customHeight="1" x14ac:dyDescent="0.25">
      <c r="A67" s="55" t="s">
        <v>639</v>
      </c>
      <c r="B67" s="75">
        <f>'B10-SerDel'!C47</f>
        <v>86001</v>
      </c>
      <c r="C67" s="75">
        <f>'B10-SerDel'!D47</f>
        <v>0</v>
      </c>
      <c r="D67" s="75">
        <f>'B10-SerDel'!E47</f>
        <v>0</v>
      </c>
      <c r="E67" s="75">
        <f>'B10-SerDel'!F47</f>
        <v>0</v>
      </c>
      <c r="F67" s="75">
        <f>'B10-SerDel'!G47</f>
        <v>0</v>
      </c>
      <c r="G67" s="75">
        <f>'B10-SerDel'!H47</f>
        <v>0</v>
      </c>
      <c r="H67" s="75">
        <f>'B10-SerDel'!I47</f>
        <v>0</v>
      </c>
      <c r="I67" s="75">
        <f>SUM(D67:H67)</f>
        <v>0</v>
      </c>
      <c r="J67" s="75">
        <f>IF(C67=0,B67+I67,C67+I67)</f>
        <v>86001</v>
      </c>
      <c r="K67" s="75">
        <f>'B10-SerDel'!L47</f>
        <v>86001</v>
      </c>
      <c r="L67" s="76">
        <f>'B10-SerDel'!M47</f>
        <v>86001</v>
      </c>
      <c r="M67" s="53"/>
      <c r="N67" s="53"/>
      <c r="O67" s="53"/>
      <c r="P67" s="53"/>
    </row>
    <row r="68" spans="1:16" ht="5.0999999999999996" customHeight="1" x14ac:dyDescent="0.25">
      <c r="A68" s="42"/>
      <c r="B68" s="56"/>
      <c r="C68" s="44"/>
      <c r="D68" s="44"/>
      <c r="E68" s="44"/>
      <c r="F68" s="44"/>
      <c r="G68" s="44"/>
      <c r="H68" s="44"/>
      <c r="I68" s="44"/>
      <c r="J68" s="44"/>
      <c r="K68" s="45"/>
      <c r="L68" s="46"/>
    </row>
    <row r="69" spans="1:16" ht="12.75" customHeight="1" x14ac:dyDescent="0.25">
      <c r="A69" s="653" t="s">
        <v>547</v>
      </c>
    </row>
    <row r="70" spans="1:16" x14ac:dyDescent="0.25">
      <c r="A70" s="1320" t="s">
        <v>1101</v>
      </c>
      <c r="B70" s="1320"/>
      <c r="C70" s="1320"/>
      <c r="D70" s="1320"/>
      <c r="E70" s="1320"/>
      <c r="F70" s="1320"/>
      <c r="G70" s="1320"/>
      <c r="H70" s="1320"/>
      <c r="I70" s="1320"/>
      <c r="J70" s="1320"/>
      <c r="K70" s="1320"/>
      <c r="L70" s="1320"/>
      <c r="M70" s="1320"/>
    </row>
    <row r="71" spans="1:16" x14ac:dyDescent="0.25">
      <c r="A71" s="1320" t="s">
        <v>8</v>
      </c>
      <c r="B71" s="1320"/>
      <c r="C71" s="1320"/>
      <c r="D71" s="1320"/>
      <c r="E71" s="1320"/>
      <c r="F71" s="1320"/>
      <c r="G71" s="1320"/>
      <c r="H71" s="1320"/>
      <c r="I71" s="1320"/>
      <c r="J71" s="1320"/>
      <c r="K71" s="1320"/>
      <c r="L71" s="1320"/>
      <c r="M71" s="1320"/>
    </row>
    <row r="72" spans="1:16" x14ac:dyDescent="0.25">
      <c r="A72" s="1314" t="s">
        <v>9</v>
      </c>
      <c r="B72" s="1314"/>
      <c r="C72" s="1314"/>
      <c r="D72" s="1314"/>
      <c r="E72" s="1314"/>
      <c r="F72" s="1314"/>
      <c r="G72" s="1314"/>
      <c r="H72" s="1314"/>
      <c r="I72" s="1314"/>
      <c r="J72" s="1314"/>
      <c r="K72" s="1314"/>
      <c r="L72" s="1314"/>
      <c r="M72" s="1314"/>
    </row>
    <row r="73" spans="1:16" x14ac:dyDescent="0.25">
      <c r="A73" s="1314" t="s">
        <v>10</v>
      </c>
      <c r="B73" s="1314"/>
      <c r="C73" s="1314"/>
      <c r="D73" s="1314"/>
      <c r="E73" s="1314"/>
      <c r="F73" s="1314"/>
      <c r="G73" s="1314"/>
      <c r="H73" s="1314"/>
      <c r="I73" s="1314"/>
      <c r="J73" s="1314"/>
      <c r="K73" s="1314"/>
      <c r="L73" s="1314"/>
      <c r="M73" s="1314"/>
    </row>
    <row r="74" spans="1:16" x14ac:dyDescent="0.25">
      <c r="A74" s="99" t="s">
        <v>11</v>
      </c>
      <c r="B74" s="93"/>
      <c r="C74" s="96"/>
      <c r="D74" s="96"/>
      <c r="E74" s="96"/>
      <c r="F74" s="96"/>
      <c r="G74" s="96"/>
      <c r="H74" s="96"/>
      <c r="I74" s="96"/>
      <c r="J74" s="96"/>
      <c r="K74" s="96"/>
      <c r="L74" s="96"/>
      <c r="M74" s="96"/>
    </row>
    <row r="75" spans="1:16" x14ac:dyDescent="0.25">
      <c r="A75" s="1314" t="s">
        <v>12</v>
      </c>
      <c r="B75" s="1314"/>
      <c r="C75" s="1314"/>
      <c r="D75" s="1314"/>
      <c r="E75" s="1314"/>
      <c r="F75" s="1314"/>
      <c r="G75" s="1314"/>
      <c r="H75" s="1314"/>
      <c r="I75" s="1314"/>
      <c r="J75" s="1314"/>
      <c r="K75" s="1314"/>
      <c r="L75" s="1314"/>
      <c r="M75" s="1314"/>
    </row>
    <row r="76" spans="1:16" x14ac:dyDescent="0.25">
      <c r="A76" s="99" t="s">
        <v>13</v>
      </c>
      <c r="B76" s="93"/>
      <c r="C76" s="96"/>
      <c r="D76" s="96"/>
      <c r="E76" s="96"/>
      <c r="F76" s="96"/>
      <c r="G76" s="96"/>
      <c r="H76" s="96"/>
      <c r="I76" s="96"/>
      <c r="J76" s="96"/>
      <c r="K76" s="96"/>
      <c r="L76" s="96"/>
      <c r="M76" s="96"/>
    </row>
    <row r="77" spans="1:16" x14ac:dyDescent="0.25">
      <c r="A77" s="1314" t="s">
        <v>14</v>
      </c>
      <c r="B77" s="1314"/>
      <c r="C77" s="1314"/>
      <c r="D77" s="1314"/>
      <c r="E77" s="1314"/>
      <c r="F77" s="1314"/>
      <c r="G77" s="1314"/>
      <c r="H77" s="1314"/>
      <c r="I77" s="1314"/>
      <c r="J77" s="1314"/>
      <c r="K77" s="1314"/>
      <c r="L77" s="1314"/>
      <c r="M77" s="1314"/>
    </row>
  </sheetData>
  <sheetProtection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20" activePane="bottomRight" state="frozen"/>
      <selection activeCell="C6" sqref="C6"/>
      <selection pane="topRight" activeCell="C6" sqref="C6"/>
      <selection pane="bottomLeft" activeCell="C6" sqref="C6"/>
      <selection pane="bottomRight" activeCell="H22" sqref="H22"/>
    </sheetView>
  </sheetViews>
  <sheetFormatPr defaultRowHeight="12.75" x14ac:dyDescent="0.25"/>
  <cols>
    <col min="1" max="1" width="32.7109375" style="5" customWidth="1"/>
    <col min="2" max="2" width="3.28515625" style="58" customWidth="1"/>
    <col min="3" max="13" width="8.710937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"&amp;_ADJ3&amp;" - "&amp;Date</f>
        <v>LIM354 Polokwane - Table B2 Adjustments Budget Financial Performance (standard classification) - 25 February 2016</v>
      </c>
      <c r="B1" s="5"/>
      <c r="C1" s="58"/>
    </row>
    <row r="2" spans="1:14" ht="38.25" x14ac:dyDescent="0.25">
      <c r="A2" s="1321" t="str">
        <f>"Standard "&amp;desc</f>
        <v>Standard Description</v>
      </c>
      <c r="B2" s="1318" t="str">
        <f>head27</f>
        <v>Ref</v>
      </c>
      <c r="C2" s="1315" t="str">
        <f>Head2</f>
        <v>Budget Year 2015/16</v>
      </c>
      <c r="D2" s="1316"/>
      <c r="E2" s="1316"/>
      <c r="F2" s="1316"/>
      <c r="G2" s="1316"/>
      <c r="H2" s="1316"/>
      <c r="I2" s="1316"/>
      <c r="J2" s="1316"/>
      <c r="K2" s="1316"/>
      <c r="L2" s="103" t="str">
        <f>Head10</f>
        <v>Budget Year +1 2016/17</v>
      </c>
      <c r="M2" s="61" t="str">
        <f>Head11</f>
        <v>Budget Year +2 2017/18</v>
      </c>
    </row>
    <row r="3" spans="1:14" ht="25.5" x14ac:dyDescent="0.25">
      <c r="A3" s="1322"/>
      <c r="B3" s="131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641</v>
      </c>
      <c r="B5" s="104" t="s">
        <v>650</v>
      </c>
      <c r="C5" s="67" t="s">
        <v>581</v>
      </c>
      <c r="D5" s="68" t="s">
        <v>582</v>
      </c>
      <c r="E5" s="68" t="s">
        <v>583</v>
      </c>
      <c r="F5" s="69" t="s">
        <v>584</v>
      </c>
      <c r="G5" s="69" t="s">
        <v>585</v>
      </c>
      <c r="H5" s="69" t="s">
        <v>586</v>
      </c>
      <c r="I5" s="70" t="s">
        <v>587</v>
      </c>
      <c r="J5" s="70" t="s">
        <v>588</v>
      </c>
      <c r="K5" s="70" t="s">
        <v>589</v>
      </c>
      <c r="L5" s="70"/>
      <c r="M5" s="71"/>
    </row>
    <row r="6" spans="1:14" ht="12.75" customHeight="1" x14ac:dyDescent="0.25">
      <c r="A6" s="72" t="s">
        <v>651</v>
      </c>
      <c r="B6" s="105"/>
      <c r="C6" s="106"/>
      <c r="D6" s="75"/>
      <c r="E6" s="75"/>
      <c r="F6" s="75"/>
      <c r="G6" s="75"/>
      <c r="H6" s="75"/>
      <c r="I6" s="75"/>
      <c r="J6" s="75"/>
      <c r="K6" s="75"/>
      <c r="L6" s="75"/>
      <c r="M6" s="76"/>
      <c r="N6" s="128"/>
    </row>
    <row r="7" spans="1:14" ht="12.75" customHeight="1" x14ac:dyDescent="0.25">
      <c r="A7" s="107" t="s">
        <v>652</v>
      </c>
      <c r="B7" s="73"/>
      <c r="C7" s="258">
        <f>SUM(C8:C10)</f>
        <v>1587118093</v>
      </c>
      <c r="D7" s="258">
        <f t="shared" ref="D7:I7" si="1">SUM(D8:D10)</f>
        <v>0</v>
      </c>
      <c r="E7" s="258">
        <f t="shared" si="1"/>
        <v>0</v>
      </c>
      <c r="F7" s="258">
        <f t="shared" si="1"/>
        <v>0</v>
      </c>
      <c r="G7" s="258">
        <f t="shared" si="1"/>
        <v>0</v>
      </c>
      <c r="H7" s="258">
        <f t="shared" si="1"/>
        <v>42808657</v>
      </c>
      <c r="I7" s="258">
        <f t="shared" si="1"/>
        <v>35909343</v>
      </c>
      <c r="J7" s="258">
        <f>SUM(J8:J10)</f>
        <v>78718000</v>
      </c>
      <c r="K7" s="258">
        <f>SUM(K8:K10)</f>
        <v>1665836093</v>
      </c>
      <c r="L7" s="258">
        <f>SUM(L8:L10)</f>
        <v>1525811657.0799999</v>
      </c>
      <c r="M7" s="713">
        <f>SUM(M8:M10)</f>
        <v>1597304914.6171598</v>
      </c>
      <c r="N7" s="128"/>
    </row>
    <row r="8" spans="1:14" ht="12.75" customHeight="1" x14ac:dyDescent="0.25">
      <c r="A8" s="108" t="s">
        <v>653</v>
      </c>
      <c r="B8" s="73"/>
      <c r="C8" s="132">
        <f>B2B!C8</f>
        <v>0</v>
      </c>
      <c r="D8" s="132">
        <f>B2B!D8</f>
        <v>0</v>
      </c>
      <c r="E8" s="132">
        <f>B2B!E8</f>
        <v>0</v>
      </c>
      <c r="F8" s="132">
        <f>B2B!F8</f>
        <v>0</v>
      </c>
      <c r="G8" s="132">
        <f>B2B!G8</f>
        <v>0</v>
      </c>
      <c r="H8" s="132">
        <f>B2B!H8</f>
        <v>0</v>
      </c>
      <c r="I8" s="132">
        <f>B2B!I8</f>
        <v>0</v>
      </c>
      <c r="J8" s="172">
        <f>SUM(E8:I8)</f>
        <v>0</v>
      </c>
      <c r="K8" s="172">
        <f>IF(D8=0,C8+J8,D8+J8)</f>
        <v>0</v>
      </c>
      <c r="L8" s="132">
        <f>B2B!L8</f>
        <v>0</v>
      </c>
      <c r="M8" s="133">
        <f>B2B!M8</f>
        <v>0</v>
      </c>
      <c r="N8" s="128"/>
    </row>
    <row r="9" spans="1:14" ht="12.75" customHeight="1" x14ac:dyDescent="0.25">
      <c r="A9" s="108" t="s">
        <v>654</v>
      </c>
      <c r="B9" s="73"/>
      <c r="C9" s="797">
        <f>B2B!C11</f>
        <v>435887495</v>
      </c>
      <c r="D9" s="797">
        <f>B2B!D11</f>
        <v>0</v>
      </c>
      <c r="E9" s="797">
        <f>B2B!E11</f>
        <v>0</v>
      </c>
      <c r="F9" s="797">
        <f>B2B!F11</f>
        <v>0</v>
      </c>
      <c r="G9" s="797">
        <f>B2B!G11</f>
        <v>0</v>
      </c>
      <c r="H9" s="797">
        <f>B2B!H11</f>
        <v>0</v>
      </c>
      <c r="I9" s="797">
        <f>B2B!I11</f>
        <v>-38477244</v>
      </c>
      <c r="J9" s="172">
        <f>SUM(E9:I9)</f>
        <v>-38477244</v>
      </c>
      <c r="K9" s="172">
        <f>IF(D9=0,C9+J9,D9+J9)</f>
        <v>397410251</v>
      </c>
      <c r="L9" s="797">
        <f>B2B!L11</f>
        <v>433721683.96000004</v>
      </c>
      <c r="M9" s="798">
        <f>B2B!M11</f>
        <v>469006601.39560002</v>
      </c>
      <c r="N9" s="128"/>
    </row>
    <row r="10" spans="1:14" ht="12.75" customHeight="1" x14ac:dyDescent="0.25">
      <c r="A10" s="108" t="s">
        <v>655</v>
      </c>
      <c r="B10" s="73"/>
      <c r="C10" s="132">
        <f>B2B!C12</f>
        <v>1151230598</v>
      </c>
      <c r="D10" s="132">
        <f>B2B!D12</f>
        <v>0</v>
      </c>
      <c r="E10" s="132">
        <f>B2B!E12</f>
        <v>0</v>
      </c>
      <c r="F10" s="132">
        <f>B2B!F12</f>
        <v>0</v>
      </c>
      <c r="G10" s="132">
        <f>B2B!G12</f>
        <v>0</v>
      </c>
      <c r="H10" s="132">
        <f>B2B!H12</f>
        <v>42808657</v>
      </c>
      <c r="I10" s="132">
        <f>B2B!I12</f>
        <v>74386587</v>
      </c>
      <c r="J10" s="172">
        <f>SUM(E10:I10)</f>
        <v>117195244</v>
      </c>
      <c r="K10" s="172">
        <f>IF(D10=0,C10+J10,D10+J10)</f>
        <v>1268425842</v>
      </c>
      <c r="L10" s="132">
        <f>B2B!L12</f>
        <v>1092089973.1199999</v>
      </c>
      <c r="M10" s="133">
        <f>B2B!M12</f>
        <v>1128298313.2215598</v>
      </c>
      <c r="N10" s="128"/>
    </row>
    <row r="11" spans="1:14" ht="12.75" customHeight="1" x14ac:dyDescent="0.25">
      <c r="A11" s="107" t="s">
        <v>656</v>
      </c>
      <c r="B11" s="73"/>
      <c r="C11" s="258">
        <f>SUM(C12:C16)</f>
        <v>37581913</v>
      </c>
      <c r="D11" s="258">
        <f t="shared" ref="D11:I11" si="2">SUM(D12:D16)</f>
        <v>0</v>
      </c>
      <c r="E11" s="258">
        <f t="shared" si="2"/>
        <v>0</v>
      </c>
      <c r="F11" s="258">
        <f t="shared" si="2"/>
        <v>0</v>
      </c>
      <c r="G11" s="258">
        <f t="shared" si="2"/>
        <v>0</v>
      </c>
      <c r="H11" s="258">
        <f t="shared" si="2"/>
        <v>0</v>
      </c>
      <c r="I11" s="258">
        <f t="shared" si="2"/>
        <v>0</v>
      </c>
      <c r="J11" s="258">
        <f>SUM(J12:J16)</f>
        <v>0</v>
      </c>
      <c r="K11" s="258">
        <f>SUM(K12:K16)</f>
        <v>37581913</v>
      </c>
      <c r="L11" s="258">
        <f>SUM(L12:L16)</f>
        <v>40024049.594999999</v>
      </c>
      <c r="M11" s="713">
        <f>SUM(M12:M16)</f>
        <v>42545181.92048499</v>
      </c>
      <c r="N11" s="128"/>
    </row>
    <row r="12" spans="1:14" ht="12.75" customHeight="1" x14ac:dyDescent="0.25">
      <c r="A12" s="108" t="s">
        <v>657</v>
      </c>
      <c r="B12" s="73"/>
      <c r="C12" s="132">
        <f>B2B!C18</f>
        <v>2551606</v>
      </c>
      <c r="D12" s="132">
        <f>B2B!D18</f>
        <v>0</v>
      </c>
      <c r="E12" s="132">
        <f>B2B!E18</f>
        <v>0</v>
      </c>
      <c r="F12" s="132">
        <f>B2B!F18</f>
        <v>0</v>
      </c>
      <c r="G12" s="132">
        <f>B2B!G18</f>
        <v>0</v>
      </c>
      <c r="H12" s="132">
        <f>B2B!H18</f>
        <v>0</v>
      </c>
      <c r="I12" s="132">
        <f>B2B!I18</f>
        <v>0</v>
      </c>
      <c r="J12" s="172">
        <f>SUM(E12:I12)</f>
        <v>0</v>
      </c>
      <c r="K12" s="172">
        <f>IF(D12=0,C12+J12,D12+J12)</f>
        <v>2551606</v>
      </c>
      <c r="L12" s="132">
        <f>B2B!L18</f>
        <v>2716778.46</v>
      </c>
      <c r="M12" s="133">
        <f>B2B!M18</f>
        <v>2887546.1059799995</v>
      </c>
      <c r="N12" s="128"/>
    </row>
    <row r="13" spans="1:14" ht="12.75" customHeight="1" x14ac:dyDescent="0.25">
      <c r="A13" s="108" t="s">
        <v>658</v>
      </c>
      <c r="B13" s="73"/>
      <c r="C13" s="132">
        <f>B2B!C27</f>
        <v>15691800</v>
      </c>
      <c r="D13" s="132">
        <f>B2B!D27</f>
        <v>0</v>
      </c>
      <c r="E13" s="132">
        <f>B2B!E27</f>
        <v>0</v>
      </c>
      <c r="F13" s="132">
        <f>B2B!F27</f>
        <v>0</v>
      </c>
      <c r="G13" s="132">
        <f>B2B!G27</f>
        <v>0</v>
      </c>
      <c r="H13" s="132">
        <f>B2B!H27</f>
        <v>0</v>
      </c>
      <c r="I13" s="132">
        <f>B2B!I27</f>
        <v>0</v>
      </c>
      <c r="J13" s="172">
        <f>SUM(E13:I13)</f>
        <v>0</v>
      </c>
      <c r="K13" s="172">
        <f>IF(D13=0,C13+J13,D13+J13)</f>
        <v>15691800</v>
      </c>
      <c r="L13" s="132">
        <f>B2B!L27</f>
        <v>16711766.620000001</v>
      </c>
      <c r="M13" s="133">
        <f>B2B!M27</f>
        <v>17764613.55706</v>
      </c>
      <c r="N13" s="128"/>
    </row>
    <row r="14" spans="1:14" ht="12.75" customHeight="1" x14ac:dyDescent="0.25">
      <c r="A14" s="108" t="s">
        <v>659</v>
      </c>
      <c r="B14" s="73"/>
      <c r="C14" s="132">
        <f>B2B!C28</f>
        <v>17174650</v>
      </c>
      <c r="D14" s="132">
        <f>B2B!D28</f>
        <v>0</v>
      </c>
      <c r="E14" s="132">
        <f>B2B!E28</f>
        <v>0</v>
      </c>
      <c r="F14" s="132">
        <f>B2B!F28</f>
        <v>0</v>
      </c>
      <c r="G14" s="132">
        <f>B2B!G28</f>
        <v>0</v>
      </c>
      <c r="H14" s="132">
        <f>B2B!H28</f>
        <v>0</v>
      </c>
      <c r="I14" s="132">
        <f>B2B!I28</f>
        <v>0</v>
      </c>
      <c r="J14" s="172">
        <f>SUM(E14:I14)</f>
        <v>0</v>
      </c>
      <c r="K14" s="172">
        <f>IF(D14=0,C14+J14,D14+J14)</f>
        <v>17174650</v>
      </c>
      <c r="L14" s="132">
        <f>B2B!L28</f>
        <v>18290997.514999997</v>
      </c>
      <c r="M14" s="133">
        <f>B2B!M28</f>
        <v>19443331.316444997</v>
      </c>
      <c r="N14" s="128"/>
    </row>
    <row r="15" spans="1:14" ht="12.75" customHeight="1" x14ac:dyDescent="0.25">
      <c r="A15" s="108" t="s">
        <v>660</v>
      </c>
      <c r="B15" s="73"/>
      <c r="C15" s="132">
        <f>B2B!C34</f>
        <v>43857</v>
      </c>
      <c r="D15" s="132">
        <f>B2B!D34</f>
        <v>0</v>
      </c>
      <c r="E15" s="132">
        <f>B2B!E34</f>
        <v>0</v>
      </c>
      <c r="F15" s="132">
        <f>B2B!F34</f>
        <v>0</v>
      </c>
      <c r="G15" s="132">
        <f>B2B!G34</f>
        <v>0</v>
      </c>
      <c r="H15" s="132">
        <f>B2B!H34</f>
        <v>0</v>
      </c>
      <c r="I15" s="132">
        <f>B2B!I34</f>
        <v>0</v>
      </c>
      <c r="J15" s="172">
        <f>SUM(E15:I15)</f>
        <v>0</v>
      </c>
      <c r="K15" s="172">
        <f>IF(D15=0,C15+J15,D15+J15)</f>
        <v>43857</v>
      </c>
      <c r="L15" s="132">
        <f>B2B!L34</f>
        <v>46707</v>
      </c>
      <c r="M15" s="133">
        <f>B2B!M34</f>
        <v>49649.540999999997</v>
      </c>
      <c r="N15" s="128"/>
    </row>
    <row r="16" spans="1:14" ht="12.75" customHeight="1" x14ac:dyDescent="0.25">
      <c r="A16" s="108" t="s">
        <v>661</v>
      </c>
      <c r="B16" s="73"/>
      <c r="C16" s="797">
        <f>B2B!C35</f>
        <v>2120000</v>
      </c>
      <c r="D16" s="797">
        <f>B2B!D35</f>
        <v>0</v>
      </c>
      <c r="E16" s="797">
        <f>B2B!E35</f>
        <v>0</v>
      </c>
      <c r="F16" s="797">
        <f>B2B!F35</f>
        <v>0</v>
      </c>
      <c r="G16" s="797">
        <f>B2B!G35</f>
        <v>0</v>
      </c>
      <c r="H16" s="797">
        <f>B2B!H35</f>
        <v>0</v>
      </c>
      <c r="I16" s="797">
        <f>B2B!I35</f>
        <v>0</v>
      </c>
      <c r="J16" s="172">
        <f>SUM(E16:I16)</f>
        <v>0</v>
      </c>
      <c r="K16" s="172">
        <f>IF(D16=0,C16+J16,D16+J16)</f>
        <v>2120000</v>
      </c>
      <c r="L16" s="797">
        <f>B2B!L35</f>
        <v>2257800</v>
      </c>
      <c r="M16" s="798">
        <f>B2B!M35</f>
        <v>2400041.4</v>
      </c>
      <c r="N16" s="128"/>
    </row>
    <row r="17" spans="1:14" ht="12.75" customHeight="1" x14ac:dyDescent="0.25">
      <c r="A17" s="107" t="s">
        <v>662</v>
      </c>
      <c r="B17" s="73"/>
      <c r="C17" s="258">
        <f>SUM(C18:C20)</f>
        <v>72905912</v>
      </c>
      <c r="D17" s="258">
        <f t="shared" ref="D17:I17" si="3">SUM(D18:D20)</f>
        <v>0</v>
      </c>
      <c r="E17" s="258">
        <f t="shared" si="3"/>
        <v>0</v>
      </c>
      <c r="F17" s="258">
        <f t="shared" si="3"/>
        <v>0</v>
      </c>
      <c r="G17" s="258">
        <f t="shared" si="3"/>
        <v>0</v>
      </c>
      <c r="H17" s="258">
        <f t="shared" si="3"/>
        <v>0</v>
      </c>
      <c r="I17" s="258">
        <f t="shared" si="3"/>
        <v>1000</v>
      </c>
      <c r="J17" s="258">
        <f>SUM(J18:J20)</f>
        <v>1000</v>
      </c>
      <c r="K17" s="258">
        <f>SUM(K18:K20)</f>
        <v>72906912</v>
      </c>
      <c r="L17" s="258">
        <f>SUM(L18:L20)</f>
        <v>77616908.310000002</v>
      </c>
      <c r="M17" s="713">
        <f>SUM(M18:M20)</f>
        <v>82486156.009529978</v>
      </c>
      <c r="N17" s="128"/>
    </row>
    <row r="18" spans="1:14" ht="12.75" customHeight="1" x14ac:dyDescent="0.25">
      <c r="A18" s="108" t="s">
        <v>663</v>
      </c>
      <c r="B18" s="73"/>
      <c r="C18" s="132">
        <f>B2B!C40</f>
        <v>61145101</v>
      </c>
      <c r="D18" s="132">
        <f>B2B!D40</f>
        <v>0</v>
      </c>
      <c r="E18" s="132">
        <f>B2B!E40</f>
        <v>0</v>
      </c>
      <c r="F18" s="132">
        <f>B2B!F40</f>
        <v>0</v>
      </c>
      <c r="G18" s="132">
        <f>B2B!G40</f>
        <v>0</v>
      </c>
      <c r="H18" s="132">
        <f>B2B!H40</f>
        <v>0</v>
      </c>
      <c r="I18" s="132">
        <f>B2B!I40</f>
        <v>0</v>
      </c>
      <c r="J18" s="172">
        <f>SUM(E18:I18)</f>
        <v>0</v>
      </c>
      <c r="K18" s="172">
        <f>IF(D18=0,C18+J18,D18+J18)</f>
        <v>61145101</v>
      </c>
      <c r="L18" s="132">
        <f>B2B!L40</f>
        <v>65091651.310000002</v>
      </c>
      <c r="M18" s="133">
        <f>B2B!M40</f>
        <v>69171808.14052999</v>
      </c>
      <c r="N18" s="128"/>
    </row>
    <row r="19" spans="1:14" ht="12.75" customHeight="1" x14ac:dyDescent="0.25">
      <c r="A19" s="108" t="s">
        <v>664</v>
      </c>
      <c r="B19" s="73"/>
      <c r="C19" s="132">
        <f>B2B!C44</f>
        <v>9505757</v>
      </c>
      <c r="D19" s="132">
        <f>B2B!D44</f>
        <v>0</v>
      </c>
      <c r="E19" s="132">
        <f>B2B!E44</f>
        <v>0</v>
      </c>
      <c r="F19" s="132">
        <f>B2B!F44</f>
        <v>0</v>
      </c>
      <c r="G19" s="132">
        <f>B2B!G44</f>
        <v>0</v>
      </c>
      <c r="H19" s="132">
        <f>B2B!H44</f>
        <v>0</v>
      </c>
      <c r="I19" s="132">
        <f>B2B!I44</f>
        <v>1000</v>
      </c>
      <c r="J19" s="172">
        <f>SUM(E19:I19)</f>
        <v>1000</v>
      </c>
      <c r="K19" s="172">
        <f>IF(D19=0,C19+J19,D19+J19)</f>
        <v>9506757</v>
      </c>
      <c r="L19" s="132">
        <f>B2B!L44</f>
        <v>10123628</v>
      </c>
      <c r="M19" s="133">
        <f>B2B!M44</f>
        <v>10761416.564000001</v>
      </c>
      <c r="N19" s="128"/>
    </row>
    <row r="20" spans="1:14" ht="12.75" customHeight="1" x14ac:dyDescent="0.25">
      <c r="A20" s="108" t="s">
        <v>665</v>
      </c>
      <c r="B20" s="73"/>
      <c r="C20" s="132">
        <f>B2B!C50</f>
        <v>2255054</v>
      </c>
      <c r="D20" s="132">
        <f>B2B!D50</f>
        <v>0</v>
      </c>
      <c r="E20" s="132">
        <f>B2B!E50</f>
        <v>0</v>
      </c>
      <c r="F20" s="132">
        <f>B2B!F50</f>
        <v>0</v>
      </c>
      <c r="G20" s="132">
        <f>B2B!G50</f>
        <v>0</v>
      </c>
      <c r="H20" s="132">
        <f>B2B!H50</f>
        <v>0</v>
      </c>
      <c r="I20" s="132">
        <f>B2B!I50</f>
        <v>0</v>
      </c>
      <c r="J20" s="172">
        <f>SUM(E20:I20)</f>
        <v>0</v>
      </c>
      <c r="K20" s="172">
        <f>IF(D20=0,C20+J20,D20+J20)</f>
        <v>2255054</v>
      </c>
      <c r="L20" s="132">
        <f>B2B!L50</f>
        <v>2401629</v>
      </c>
      <c r="M20" s="133">
        <f>B2B!M50</f>
        <v>2552931.3049999992</v>
      </c>
      <c r="N20" s="128"/>
    </row>
    <row r="21" spans="1:14" ht="12.75" customHeight="1" x14ac:dyDescent="0.25">
      <c r="A21" s="107" t="s">
        <v>666</v>
      </c>
      <c r="B21" s="73"/>
      <c r="C21" s="258">
        <f>SUM(C22:C25)</f>
        <v>1173145082</v>
      </c>
      <c r="D21" s="258">
        <f t="shared" ref="D21:M21" si="4">SUM(D22:D25)</f>
        <v>0</v>
      </c>
      <c r="E21" s="258">
        <f t="shared" si="4"/>
        <v>0</v>
      </c>
      <c r="F21" s="258">
        <f t="shared" si="4"/>
        <v>0</v>
      </c>
      <c r="G21" s="258">
        <f t="shared" si="4"/>
        <v>0</v>
      </c>
      <c r="H21" s="258">
        <f t="shared" si="4"/>
        <v>0</v>
      </c>
      <c r="I21" s="258">
        <f t="shared" si="4"/>
        <v>0</v>
      </c>
      <c r="J21" s="258">
        <f t="shared" si="4"/>
        <v>0</v>
      </c>
      <c r="K21" s="258">
        <f t="shared" si="4"/>
        <v>1173145082</v>
      </c>
      <c r="L21" s="258">
        <f t="shared" si="4"/>
        <v>1310428341.0163798</v>
      </c>
      <c r="M21" s="713">
        <f t="shared" si="4"/>
        <v>1466613654.3810463</v>
      </c>
      <c r="N21" s="128"/>
    </row>
    <row r="22" spans="1:14" ht="12.75" customHeight="1" x14ac:dyDescent="0.25">
      <c r="A22" s="108" t="s">
        <v>667</v>
      </c>
      <c r="B22" s="73"/>
      <c r="C22" s="132">
        <f>B2B!C55</f>
        <v>793681150</v>
      </c>
      <c r="D22" s="132">
        <f>B2B!D55</f>
        <v>0</v>
      </c>
      <c r="E22" s="132">
        <f>B2B!E55</f>
        <v>0</v>
      </c>
      <c r="F22" s="132">
        <f>B2B!F55</f>
        <v>0</v>
      </c>
      <c r="G22" s="132">
        <f>B2B!G55</f>
        <v>0</v>
      </c>
      <c r="H22" s="132">
        <f>B2B!H55</f>
        <v>0</v>
      </c>
      <c r="I22" s="132">
        <f>B2B!I55</f>
        <v>0</v>
      </c>
      <c r="J22" s="172">
        <f>SUM(E22:I22)</f>
        <v>0</v>
      </c>
      <c r="K22" s="172">
        <f>IF(D22=0,C22+J22,D22+J22)</f>
        <v>793681150</v>
      </c>
      <c r="L22" s="132">
        <f>B2B!L55</f>
        <v>896859694.02547979</v>
      </c>
      <c r="M22" s="133">
        <f>B2B!M55</f>
        <v>1017935751.6089196</v>
      </c>
      <c r="N22" s="128"/>
    </row>
    <row r="23" spans="1:14" ht="12.75" customHeight="1" x14ac:dyDescent="0.25">
      <c r="A23" s="108" t="s">
        <v>668</v>
      </c>
      <c r="B23" s="73"/>
      <c r="C23" s="132">
        <f>B2B!C58</f>
        <v>259055145</v>
      </c>
      <c r="D23" s="132">
        <f>B2B!D58</f>
        <v>0</v>
      </c>
      <c r="E23" s="132">
        <f>B2B!E58</f>
        <v>0</v>
      </c>
      <c r="F23" s="132">
        <f>B2B!F58</f>
        <v>0</v>
      </c>
      <c r="G23" s="132">
        <f>B2B!G58</f>
        <v>0</v>
      </c>
      <c r="H23" s="132">
        <f>B2B!H58</f>
        <v>0</v>
      </c>
      <c r="I23" s="132">
        <f>B2B!I58</f>
        <v>0</v>
      </c>
      <c r="J23" s="172">
        <f>SUM(E23:I23)</f>
        <v>0</v>
      </c>
      <c r="K23" s="172">
        <f>IF(D23=0,C23+J23,D23+J23)</f>
        <v>259055145</v>
      </c>
      <c r="L23" s="132">
        <f>B2B!L58</f>
        <v>282368601.99090004</v>
      </c>
      <c r="M23" s="133">
        <f>B2B!M58</f>
        <v>306368523.91712654</v>
      </c>
      <c r="N23" s="128"/>
    </row>
    <row r="24" spans="1:14" ht="12.75" customHeight="1" x14ac:dyDescent="0.25">
      <c r="A24" s="108" t="s">
        <v>669</v>
      </c>
      <c r="B24" s="73"/>
      <c r="C24" s="797">
        <f>B2B!C61</f>
        <v>55325708</v>
      </c>
      <c r="D24" s="797">
        <f>B2B!D61</f>
        <v>0</v>
      </c>
      <c r="E24" s="132">
        <f>B2B!E61</f>
        <v>0</v>
      </c>
      <c r="F24" s="132">
        <f>B2B!F61</f>
        <v>0</v>
      </c>
      <c r="G24" s="132">
        <f>B2B!G61</f>
        <v>0</v>
      </c>
      <c r="H24" s="797">
        <f>B2B!H61</f>
        <v>0</v>
      </c>
      <c r="I24" s="797">
        <f>B2B!I61</f>
        <v>0</v>
      </c>
      <c r="J24" s="172">
        <f>SUM(E24:I24)</f>
        <v>0</v>
      </c>
      <c r="K24" s="172">
        <f>IF(D24=0,C24+J24,D24+J24)</f>
        <v>55325708</v>
      </c>
      <c r="L24" s="797">
        <f>B2B!L61</f>
        <v>60305018.000000015</v>
      </c>
      <c r="M24" s="798">
        <f>B2B!M61</f>
        <v>65430944.530000016</v>
      </c>
      <c r="N24" s="128"/>
    </row>
    <row r="25" spans="1:14" ht="12.75" customHeight="1" x14ac:dyDescent="0.25">
      <c r="A25" s="108" t="s">
        <v>670</v>
      </c>
      <c r="B25" s="73"/>
      <c r="C25" s="132">
        <f>B2B!C65</f>
        <v>65083079</v>
      </c>
      <c r="D25" s="132">
        <f>B2B!D65</f>
        <v>0</v>
      </c>
      <c r="E25" s="132">
        <f>B2B!E65</f>
        <v>0</v>
      </c>
      <c r="F25" s="132">
        <f>B2B!F65</f>
        <v>0</v>
      </c>
      <c r="G25" s="132">
        <f>B2B!G65</f>
        <v>0</v>
      </c>
      <c r="H25" s="132">
        <f>B2B!H65</f>
        <v>0</v>
      </c>
      <c r="I25" s="132">
        <f>B2B!I65</f>
        <v>0</v>
      </c>
      <c r="J25" s="172">
        <f>SUM(E25:I25)</f>
        <v>0</v>
      </c>
      <c r="K25" s="172">
        <f>IF(D25=0,C25+J25,D25+J25)</f>
        <v>65083079</v>
      </c>
      <c r="L25" s="132">
        <f>B2B!L65</f>
        <v>70895027.000000015</v>
      </c>
      <c r="M25" s="133">
        <f>B2B!M65</f>
        <v>76878434.325000003</v>
      </c>
      <c r="N25" s="128"/>
    </row>
    <row r="26" spans="1:14" ht="12.75" customHeight="1" x14ac:dyDescent="0.25">
      <c r="A26" s="107" t="s">
        <v>671</v>
      </c>
      <c r="B26" s="73"/>
      <c r="C26" s="258">
        <f>B2B!C67</f>
        <v>0</v>
      </c>
      <c r="D26" s="258">
        <f>B2B!D67</f>
        <v>0</v>
      </c>
      <c r="E26" s="258">
        <f>B2B!E67</f>
        <v>0</v>
      </c>
      <c r="F26" s="258">
        <f>B2B!F67</f>
        <v>0</v>
      </c>
      <c r="G26" s="258">
        <f>B2B!G67</f>
        <v>0</v>
      </c>
      <c r="H26" s="258">
        <f>B2B!H67</f>
        <v>0</v>
      </c>
      <c r="I26" s="258">
        <f>B2B!I67</f>
        <v>0</v>
      </c>
      <c r="J26" s="707">
        <f>SUM(E26:I26)</f>
        <v>0</v>
      </c>
      <c r="K26" s="707">
        <f>IF(D26=0,C26+J26,D26+J26)</f>
        <v>0</v>
      </c>
      <c r="L26" s="258">
        <f>B2B!L67</f>
        <v>0</v>
      </c>
      <c r="M26" s="713">
        <f>B2B!M67</f>
        <v>0</v>
      </c>
      <c r="N26" s="128"/>
    </row>
    <row r="27" spans="1:14" ht="12.75" customHeight="1" x14ac:dyDescent="0.25">
      <c r="A27" s="78" t="s">
        <v>672</v>
      </c>
      <c r="B27" s="79">
        <v>2</v>
      </c>
      <c r="C27" s="691">
        <f>C7+C11+C17+C21+C26</f>
        <v>2870751000</v>
      </c>
      <c r="D27" s="692">
        <f t="shared" ref="D27:M27" si="5">D7+D11+D17+D21+D26</f>
        <v>0</v>
      </c>
      <c r="E27" s="692">
        <f t="shared" si="5"/>
        <v>0</v>
      </c>
      <c r="F27" s="692">
        <f t="shared" si="5"/>
        <v>0</v>
      </c>
      <c r="G27" s="692">
        <f t="shared" si="5"/>
        <v>0</v>
      </c>
      <c r="H27" s="692">
        <f t="shared" si="5"/>
        <v>42808657</v>
      </c>
      <c r="I27" s="692">
        <f t="shared" si="5"/>
        <v>35910343</v>
      </c>
      <c r="J27" s="692">
        <f t="shared" si="5"/>
        <v>78719000</v>
      </c>
      <c r="K27" s="692">
        <f t="shared" si="5"/>
        <v>2949470000</v>
      </c>
      <c r="L27" s="692">
        <f t="shared" si="5"/>
        <v>2953880956.00138</v>
      </c>
      <c r="M27" s="693">
        <f t="shared" si="5"/>
        <v>3188949906.9282212</v>
      </c>
      <c r="N27" s="128"/>
    </row>
    <row r="28" spans="1:14" ht="5.0999999999999996" customHeight="1" x14ac:dyDescent="0.25">
      <c r="A28" s="83"/>
      <c r="B28" s="73"/>
      <c r="C28" s="74"/>
      <c r="D28" s="75"/>
      <c r="E28" s="75"/>
      <c r="F28" s="75"/>
      <c r="G28" s="75"/>
      <c r="H28" s="75"/>
      <c r="I28" s="75"/>
      <c r="J28" s="75"/>
      <c r="K28" s="75"/>
      <c r="L28" s="75"/>
      <c r="M28" s="76"/>
      <c r="N28" s="128"/>
    </row>
    <row r="29" spans="1:14" ht="12.75" customHeight="1" x14ac:dyDescent="0.25">
      <c r="A29" s="72" t="s">
        <v>673</v>
      </c>
      <c r="B29" s="115"/>
      <c r="C29" s="74"/>
      <c r="D29" s="75"/>
      <c r="E29" s="75"/>
      <c r="F29" s="75"/>
      <c r="G29" s="75"/>
      <c r="H29" s="75"/>
      <c r="I29" s="75"/>
      <c r="J29" s="75"/>
      <c r="K29" s="75"/>
      <c r="L29" s="75"/>
      <c r="M29" s="76"/>
      <c r="N29" s="128"/>
    </row>
    <row r="30" spans="1:14" ht="12.75" customHeight="1" x14ac:dyDescent="0.25">
      <c r="A30" s="107" t="str">
        <f t="shared" ref="A30:A49" si="6">A7</f>
        <v>Governance and administration</v>
      </c>
      <c r="B30" s="73"/>
      <c r="C30" s="258">
        <f>SUM(C31:C33)</f>
        <v>508590471</v>
      </c>
      <c r="D30" s="258">
        <f t="shared" ref="D30:I30" si="7">SUM(D31:D33)</f>
        <v>0</v>
      </c>
      <c r="E30" s="258">
        <f t="shared" si="7"/>
        <v>0</v>
      </c>
      <c r="F30" s="258">
        <f t="shared" si="7"/>
        <v>0</v>
      </c>
      <c r="G30" s="258">
        <f t="shared" si="7"/>
        <v>0</v>
      </c>
      <c r="H30" s="258">
        <f t="shared" si="7"/>
        <v>0</v>
      </c>
      <c r="I30" s="258">
        <f t="shared" si="7"/>
        <v>17621576</v>
      </c>
      <c r="J30" s="258">
        <f>SUM(J31:J33)</f>
        <v>17621576</v>
      </c>
      <c r="K30" s="258">
        <f>SUM(K31:K33)</f>
        <v>526212047</v>
      </c>
      <c r="L30" s="258">
        <f>SUM(L31:L33)</f>
        <v>544864023.80688965</v>
      </c>
      <c r="M30" s="713">
        <f>SUM(M31:M33)</f>
        <v>579179010.94888258</v>
      </c>
      <c r="N30" s="128"/>
    </row>
    <row r="31" spans="1:14" ht="12.75" customHeight="1" x14ac:dyDescent="0.25">
      <c r="A31" s="108" t="str">
        <f t="shared" si="6"/>
        <v>Executive and council</v>
      </c>
      <c r="B31" s="73"/>
      <c r="C31" s="132">
        <f>B2B!C77</f>
        <v>107554537</v>
      </c>
      <c r="D31" s="132">
        <f>B2B!D77</f>
        <v>0</v>
      </c>
      <c r="E31" s="132">
        <f>B2B!E77</f>
        <v>0</v>
      </c>
      <c r="F31" s="132">
        <f>B2B!F77</f>
        <v>0</v>
      </c>
      <c r="G31" s="132">
        <f>B2B!G77</f>
        <v>0</v>
      </c>
      <c r="H31" s="132">
        <f>B2B!H77</f>
        <v>0</v>
      </c>
      <c r="I31" s="132">
        <f>B2B!I77</f>
        <v>10700000</v>
      </c>
      <c r="J31" s="172">
        <f>SUM(E31:I31)</f>
        <v>10700000</v>
      </c>
      <c r="K31" s="172">
        <f>IF(D31=0,C31+J31,D31+J31)</f>
        <v>118254537</v>
      </c>
      <c r="L31" s="132">
        <f>B2B!L77</f>
        <v>114545578.84033</v>
      </c>
      <c r="M31" s="133">
        <f>B2B!M77</f>
        <v>121761947.68727079</v>
      </c>
      <c r="N31" s="128"/>
    </row>
    <row r="32" spans="1:14" ht="12.75" customHeight="1" x14ac:dyDescent="0.25">
      <c r="A32" s="108" t="str">
        <f t="shared" si="6"/>
        <v>Budget and treasury office</v>
      </c>
      <c r="B32" s="73"/>
      <c r="C32" s="797">
        <f>B2B!C80</f>
        <v>135458441</v>
      </c>
      <c r="D32" s="797">
        <f>B2B!D80</f>
        <v>0</v>
      </c>
      <c r="E32" s="797">
        <f>B2B!E80</f>
        <v>0</v>
      </c>
      <c r="F32" s="797">
        <f>B2B!F80</f>
        <v>0</v>
      </c>
      <c r="G32" s="797">
        <f>B2B!G80</f>
        <v>0</v>
      </c>
      <c r="H32" s="797">
        <f>B2B!H80</f>
        <v>0</v>
      </c>
      <c r="I32" s="797">
        <f>B2B!I80</f>
        <v>1428000</v>
      </c>
      <c r="J32" s="172">
        <f>SUM(E32:I32)</f>
        <v>1428000</v>
      </c>
      <c r="K32" s="172">
        <f>IF(D32=0,C32+J32,D32+J32)</f>
        <v>136886441</v>
      </c>
      <c r="L32" s="797">
        <f>B2B!L80</f>
        <v>164456233.07183945</v>
      </c>
      <c r="M32" s="798">
        <f>B2B!M80</f>
        <v>174805647.96137041</v>
      </c>
      <c r="N32" s="128"/>
    </row>
    <row r="33" spans="1:14" ht="12.75" customHeight="1" x14ac:dyDescent="0.25">
      <c r="A33" s="108" t="str">
        <f t="shared" si="6"/>
        <v>Corporate services</v>
      </c>
      <c r="B33" s="73"/>
      <c r="C33" s="132">
        <f>B2B!C81</f>
        <v>265577493</v>
      </c>
      <c r="D33" s="132">
        <f>B2B!D81</f>
        <v>0</v>
      </c>
      <c r="E33" s="132">
        <f>B2B!E81</f>
        <v>0</v>
      </c>
      <c r="F33" s="132">
        <f>B2B!F81</f>
        <v>0</v>
      </c>
      <c r="G33" s="132">
        <f>B2B!G81</f>
        <v>0</v>
      </c>
      <c r="H33" s="132">
        <f>B2B!H81</f>
        <v>0</v>
      </c>
      <c r="I33" s="132">
        <f>B2B!I81</f>
        <v>5493576</v>
      </c>
      <c r="J33" s="172">
        <f>SUM(E33:I33)</f>
        <v>5493576</v>
      </c>
      <c r="K33" s="172">
        <f>IF(D33=0,C33+J33,D33+J33)</f>
        <v>271071069</v>
      </c>
      <c r="L33" s="132">
        <f>B2B!L81</f>
        <v>265862211.89472023</v>
      </c>
      <c r="M33" s="133">
        <f>B2B!M81</f>
        <v>282611415.30024135</v>
      </c>
      <c r="N33" s="128"/>
    </row>
    <row r="34" spans="1:14" ht="12.75" customHeight="1" x14ac:dyDescent="0.25">
      <c r="A34" s="107" t="str">
        <f t="shared" si="6"/>
        <v>Community and public safety</v>
      </c>
      <c r="B34" s="73"/>
      <c r="C34" s="258">
        <f>SUM(C35:C39)</f>
        <v>349755798</v>
      </c>
      <c r="D34" s="258">
        <f t="shared" ref="D34:I34" si="8">SUM(D35:D39)</f>
        <v>0</v>
      </c>
      <c r="E34" s="258">
        <f t="shared" si="8"/>
        <v>0</v>
      </c>
      <c r="F34" s="258">
        <f t="shared" si="8"/>
        <v>0</v>
      </c>
      <c r="G34" s="258">
        <f t="shared" si="8"/>
        <v>0</v>
      </c>
      <c r="H34" s="258">
        <f t="shared" si="8"/>
        <v>0</v>
      </c>
      <c r="I34" s="258">
        <f t="shared" si="8"/>
        <v>4288995</v>
      </c>
      <c r="J34" s="258">
        <f>SUM(J35:J39)</f>
        <v>4288995</v>
      </c>
      <c r="K34" s="258">
        <f>SUM(K35:K39)</f>
        <v>354044793</v>
      </c>
      <c r="L34" s="258">
        <f>SUM(L35:L39)</f>
        <v>366180636.96684974</v>
      </c>
      <c r="M34" s="713">
        <f>SUM(M35:M39)</f>
        <v>389249781.52196014</v>
      </c>
      <c r="N34" s="128"/>
    </row>
    <row r="35" spans="1:14" ht="12.75" customHeight="1" x14ac:dyDescent="0.25">
      <c r="A35" s="108" t="str">
        <f t="shared" si="6"/>
        <v>Community and social services</v>
      </c>
      <c r="B35" s="73"/>
      <c r="C35" s="132">
        <f>B2B!C87</f>
        <v>80961202</v>
      </c>
      <c r="D35" s="132">
        <f>B2B!D87</f>
        <v>0</v>
      </c>
      <c r="E35" s="132">
        <f>B2B!E87</f>
        <v>0</v>
      </c>
      <c r="F35" s="132">
        <f>B2B!F87</f>
        <v>0</v>
      </c>
      <c r="G35" s="132">
        <f>B2B!G87</f>
        <v>0</v>
      </c>
      <c r="H35" s="132">
        <f>B2B!H87</f>
        <v>0</v>
      </c>
      <c r="I35" s="132">
        <f>B2B!I87</f>
        <v>208204</v>
      </c>
      <c r="J35" s="172">
        <f>SUM(E35:I35)</f>
        <v>208204</v>
      </c>
      <c r="K35" s="172">
        <f>IF(D35=0,C35+J35,D35+J35)</f>
        <v>81169406</v>
      </c>
      <c r="L35" s="132">
        <f>B2B!L87</f>
        <v>85793312.745559901</v>
      </c>
      <c r="M35" s="133">
        <f>B2B!M87</f>
        <v>91198183.1685303</v>
      </c>
      <c r="N35" s="128"/>
    </row>
    <row r="36" spans="1:14" ht="12.75" customHeight="1" x14ac:dyDescent="0.25">
      <c r="A36" s="108" t="str">
        <f t="shared" si="6"/>
        <v>Sport and recreation</v>
      </c>
      <c r="B36" s="73"/>
      <c r="C36" s="132">
        <f>B2B!C96</f>
        <v>101122748</v>
      </c>
      <c r="D36" s="132">
        <f>B2B!D96</f>
        <v>0</v>
      </c>
      <c r="E36" s="132">
        <f>B2B!E96</f>
        <v>0</v>
      </c>
      <c r="F36" s="132">
        <f>B2B!F96</f>
        <v>0</v>
      </c>
      <c r="G36" s="132">
        <f>B2B!G96</f>
        <v>0</v>
      </c>
      <c r="H36" s="132">
        <f>B2B!H96</f>
        <v>0</v>
      </c>
      <c r="I36" s="132">
        <f>B2B!I96</f>
        <v>4394732</v>
      </c>
      <c r="J36" s="172">
        <f>SUM(E36:I36)</f>
        <v>4394732</v>
      </c>
      <c r="K36" s="172">
        <f>IF(D36=0,C36+J36,D36+J36)</f>
        <v>105517480</v>
      </c>
      <c r="L36" s="132">
        <f>B2B!L96</f>
        <v>107695679.23590003</v>
      </c>
      <c r="M36" s="133">
        <f>B2B!M96</f>
        <v>114480456.8377617</v>
      </c>
      <c r="N36" s="128"/>
    </row>
    <row r="37" spans="1:14" ht="12.75" customHeight="1" x14ac:dyDescent="0.25">
      <c r="A37" s="108" t="str">
        <f t="shared" si="6"/>
        <v>Public safety</v>
      </c>
      <c r="B37" s="73"/>
      <c r="C37" s="132">
        <f>B2B!C97</f>
        <v>154094474</v>
      </c>
      <c r="D37" s="132">
        <f>B2B!D97</f>
        <v>0</v>
      </c>
      <c r="E37" s="132">
        <f>B2B!E97</f>
        <v>0</v>
      </c>
      <c r="F37" s="132">
        <f>B2B!F97</f>
        <v>0</v>
      </c>
      <c r="G37" s="132">
        <f>B2B!G97</f>
        <v>0</v>
      </c>
      <c r="H37" s="132">
        <f>B2B!H97</f>
        <v>0</v>
      </c>
      <c r="I37" s="132">
        <f>B2B!I97</f>
        <v>-260381</v>
      </c>
      <c r="J37" s="172">
        <f>SUM(E37:I37)</f>
        <v>-260381</v>
      </c>
      <c r="K37" s="172">
        <f>IF(D37=0,C37+J37,D37+J37)</f>
        <v>153834093</v>
      </c>
      <c r="L37" s="132">
        <f>B2B!L97</f>
        <v>159509758.68582982</v>
      </c>
      <c r="M37" s="133">
        <f>B2B!M97</f>
        <v>169558814.5630374</v>
      </c>
      <c r="N37" s="128"/>
    </row>
    <row r="38" spans="1:14" ht="12.75" customHeight="1" x14ac:dyDescent="0.25">
      <c r="A38" s="108" t="str">
        <f t="shared" si="6"/>
        <v>Housing</v>
      </c>
      <c r="B38" s="73"/>
      <c r="C38" s="132">
        <f>B2B!C103</f>
        <v>9260737</v>
      </c>
      <c r="D38" s="132">
        <f>B2B!D103</f>
        <v>0</v>
      </c>
      <c r="E38" s="132">
        <f>B2B!E103</f>
        <v>0</v>
      </c>
      <c r="F38" s="132">
        <f>B2B!F103</f>
        <v>0</v>
      </c>
      <c r="G38" s="132">
        <f>B2B!G103</f>
        <v>0</v>
      </c>
      <c r="H38" s="132">
        <f>B2B!H103</f>
        <v>0</v>
      </c>
      <c r="I38" s="132">
        <f>B2B!I103</f>
        <v>-29060</v>
      </c>
      <c r="J38" s="172">
        <f>SUM(E38:I38)</f>
        <v>-29060</v>
      </c>
      <c r="K38" s="172">
        <f>IF(D38=0,C38+J38,D38+J38)</f>
        <v>9231677</v>
      </c>
      <c r="L38" s="132">
        <f>B2B!L103</f>
        <v>8584678.8876299988</v>
      </c>
      <c r="M38" s="133">
        <f>B2B!M103</f>
        <v>9125509.3175606877</v>
      </c>
      <c r="N38" s="128"/>
    </row>
    <row r="39" spans="1:14" ht="12.75" customHeight="1" x14ac:dyDescent="0.25">
      <c r="A39" s="108" t="str">
        <f t="shared" si="6"/>
        <v>Health</v>
      </c>
      <c r="B39" s="73"/>
      <c r="C39" s="797">
        <f>B2B!C104</f>
        <v>4316637</v>
      </c>
      <c r="D39" s="797">
        <f>B2B!D104</f>
        <v>0</v>
      </c>
      <c r="E39" s="797">
        <f>B2B!E104</f>
        <v>0</v>
      </c>
      <c r="F39" s="797">
        <f>B2B!F104</f>
        <v>0</v>
      </c>
      <c r="G39" s="797">
        <f>B2B!G104</f>
        <v>0</v>
      </c>
      <c r="H39" s="797">
        <f>B2B!H104</f>
        <v>0</v>
      </c>
      <c r="I39" s="797">
        <f>B2B!I104</f>
        <v>-24500</v>
      </c>
      <c r="J39" s="172">
        <f>SUM(E39:I39)</f>
        <v>-24500</v>
      </c>
      <c r="K39" s="172">
        <f>IF(D39=0,C39+J39,D39+J39)</f>
        <v>4292137</v>
      </c>
      <c r="L39" s="797">
        <f>B2B!L104</f>
        <v>4597207.4119299976</v>
      </c>
      <c r="M39" s="798">
        <f>B2B!M104</f>
        <v>4886817.6350700911</v>
      </c>
      <c r="N39" s="128"/>
    </row>
    <row r="40" spans="1:14" ht="12.75" customHeight="1" x14ac:dyDescent="0.25">
      <c r="A40" s="107" t="str">
        <f t="shared" si="6"/>
        <v>Economic and environmental services</v>
      </c>
      <c r="B40" s="73"/>
      <c r="C40" s="258">
        <f>SUM(C41:C43)</f>
        <v>191358094</v>
      </c>
      <c r="D40" s="258">
        <f t="shared" ref="D40:I40" si="9">SUM(D41:D43)</f>
        <v>0</v>
      </c>
      <c r="E40" s="258">
        <f t="shared" si="9"/>
        <v>0</v>
      </c>
      <c r="F40" s="258">
        <f t="shared" si="9"/>
        <v>0</v>
      </c>
      <c r="G40" s="258">
        <f t="shared" si="9"/>
        <v>0</v>
      </c>
      <c r="H40" s="258">
        <f t="shared" si="9"/>
        <v>0</v>
      </c>
      <c r="I40" s="258">
        <f t="shared" si="9"/>
        <v>12613771</v>
      </c>
      <c r="J40" s="258">
        <f>SUM(J41:J43)</f>
        <v>12613771</v>
      </c>
      <c r="K40" s="258">
        <f>SUM(K41:K43)</f>
        <v>203971865</v>
      </c>
      <c r="L40" s="258">
        <f>SUM(L41:L43)</f>
        <v>198688870.11083996</v>
      </c>
      <c r="M40" s="713">
        <f>SUM(M41:M43)</f>
        <v>211206235.54782286</v>
      </c>
      <c r="N40" s="128"/>
    </row>
    <row r="41" spans="1:14" ht="12.75" customHeight="1" x14ac:dyDescent="0.25">
      <c r="A41" s="108" t="str">
        <f t="shared" si="6"/>
        <v>Planning and development</v>
      </c>
      <c r="B41" s="73"/>
      <c r="C41" s="132">
        <f>B2B!C109</f>
        <v>90994157</v>
      </c>
      <c r="D41" s="132">
        <f>B2B!D109</f>
        <v>0</v>
      </c>
      <c r="E41" s="132">
        <f>B2B!E109</f>
        <v>0</v>
      </c>
      <c r="F41" s="132">
        <f>B2B!F109</f>
        <v>0</v>
      </c>
      <c r="G41" s="132">
        <f>B2B!G109</f>
        <v>0</v>
      </c>
      <c r="H41" s="132">
        <f>B2B!H109</f>
        <v>0</v>
      </c>
      <c r="I41" s="132">
        <f>B2B!I109</f>
        <v>188500</v>
      </c>
      <c r="J41" s="172">
        <f>SUM(E41:I41)</f>
        <v>188500</v>
      </c>
      <c r="K41" s="172">
        <f>IF(D41=0,C41+J41,D41+J41)</f>
        <v>91182657</v>
      </c>
      <c r="L41" s="132">
        <f>B2B!L109</f>
        <v>91801287.358159989</v>
      </c>
      <c r="M41" s="133">
        <f>B2B!M109</f>
        <v>97584746.681724072</v>
      </c>
      <c r="N41" s="128"/>
    </row>
    <row r="42" spans="1:14" ht="12.75" customHeight="1" x14ac:dyDescent="0.25">
      <c r="A42" s="108" t="str">
        <f t="shared" si="6"/>
        <v>Road transport</v>
      </c>
      <c r="B42" s="73"/>
      <c r="C42" s="132">
        <f>B2B!C113</f>
        <v>90273597</v>
      </c>
      <c r="D42" s="132">
        <f>B2B!D113</f>
        <v>0</v>
      </c>
      <c r="E42" s="132">
        <f>B2B!E113</f>
        <v>0</v>
      </c>
      <c r="F42" s="132">
        <f>B2B!F113</f>
        <v>0</v>
      </c>
      <c r="G42" s="132">
        <f>B2B!G113</f>
        <v>0</v>
      </c>
      <c r="H42" s="132">
        <f>B2B!H113</f>
        <v>0</v>
      </c>
      <c r="I42" s="132">
        <f>B2B!I113</f>
        <v>12596603</v>
      </c>
      <c r="J42" s="172">
        <f>SUM(E42:I42)</f>
        <v>12596603</v>
      </c>
      <c r="K42" s="172">
        <f>IF(D42=0,C42+J42,D42+J42)</f>
        <v>102870200</v>
      </c>
      <c r="L42" s="132">
        <f>B2B!L113</f>
        <v>96141375.788639963</v>
      </c>
      <c r="M42" s="133">
        <f>B2B!M113</f>
        <v>102198278.05332428</v>
      </c>
      <c r="N42" s="128"/>
    </row>
    <row r="43" spans="1:14" ht="12.75" customHeight="1" x14ac:dyDescent="0.25">
      <c r="A43" s="108" t="str">
        <f t="shared" si="6"/>
        <v>Environmental protection</v>
      </c>
      <c r="B43" s="73"/>
      <c r="C43" s="132">
        <f>B2B!C119</f>
        <v>10090340</v>
      </c>
      <c r="D43" s="132">
        <f>B2B!D119</f>
        <v>0</v>
      </c>
      <c r="E43" s="132">
        <f>B2B!E119</f>
        <v>0</v>
      </c>
      <c r="F43" s="132">
        <f>B2B!F119</f>
        <v>0</v>
      </c>
      <c r="G43" s="132">
        <f>B2B!G119</f>
        <v>0</v>
      </c>
      <c r="H43" s="132">
        <f>B2B!H119</f>
        <v>0</v>
      </c>
      <c r="I43" s="132">
        <f>B2B!I119</f>
        <v>-171332</v>
      </c>
      <c r="J43" s="172">
        <f>SUM(E43:I43)</f>
        <v>-171332</v>
      </c>
      <c r="K43" s="172">
        <f>IF(D43=0,C43+J43,D43+J43)</f>
        <v>9919008</v>
      </c>
      <c r="L43" s="132">
        <f>B2B!L119</f>
        <v>10746206.964039998</v>
      </c>
      <c r="M43" s="133">
        <f>B2B!M119</f>
        <v>11423210.812774513</v>
      </c>
      <c r="N43" s="128"/>
    </row>
    <row r="44" spans="1:14" ht="12.75" customHeight="1" x14ac:dyDescent="0.25">
      <c r="A44" s="107" t="str">
        <f t="shared" si="6"/>
        <v>Trading services</v>
      </c>
      <c r="B44" s="73"/>
      <c r="C44" s="258">
        <f>SUM(C45:C48)</f>
        <v>1238855637</v>
      </c>
      <c r="D44" s="258">
        <f t="shared" ref="D44:M44" si="10">SUM(D45:D48)</f>
        <v>0</v>
      </c>
      <c r="E44" s="258">
        <f t="shared" si="10"/>
        <v>0</v>
      </c>
      <c r="F44" s="258">
        <f t="shared" si="10"/>
        <v>0</v>
      </c>
      <c r="G44" s="258">
        <f t="shared" si="10"/>
        <v>0</v>
      </c>
      <c r="H44" s="258">
        <f t="shared" si="10"/>
        <v>0</v>
      </c>
      <c r="I44" s="258">
        <f t="shared" si="10"/>
        <v>-1114342</v>
      </c>
      <c r="J44" s="258">
        <f t="shared" si="10"/>
        <v>-1114342</v>
      </c>
      <c r="K44" s="258">
        <f t="shared" si="10"/>
        <v>1237741295</v>
      </c>
      <c r="L44" s="258">
        <f t="shared" si="10"/>
        <v>1248389483.8147895</v>
      </c>
      <c r="M44" s="713">
        <f t="shared" si="10"/>
        <v>1297274002.6751223</v>
      </c>
      <c r="N44" s="128"/>
    </row>
    <row r="45" spans="1:14" ht="12.75" customHeight="1" x14ac:dyDescent="0.25">
      <c r="A45" s="108" t="str">
        <f t="shared" si="6"/>
        <v>Electricity</v>
      </c>
      <c r="B45" s="73"/>
      <c r="C45" s="132">
        <f>B2B!C124</f>
        <v>792179569</v>
      </c>
      <c r="D45" s="132">
        <f>B2B!D124</f>
        <v>0</v>
      </c>
      <c r="E45" s="132">
        <f>B2B!E124</f>
        <v>0</v>
      </c>
      <c r="F45" s="132">
        <f>B2B!F124</f>
        <v>0</v>
      </c>
      <c r="G45" s="132">
        <f>B2B!G124</f>
        <v>0</v>
      </c>
      <c r="H45" s="132">
        <f>B2B!H124</f>
        <v>0</v>
      </c>
      <c r="I45" s="132">
        <f>B2B!I124</f>
        <v>-2239630</v>
      </c>
      <c r="J45" s="172">
        <f>SUM(E45:I45)</f>
        <v>-2239630</v>
      </c>
      <c r="K45" s="172">
        <f>IF(D45=0,C45+J45,D45+J45)</f>
        <v>789939939</v>
      </c>
      <c r="L45" s="132">
        <f>B2B!L124</f>
        <v>772679485.03981984</v>
      </c>
      <c r="M45" s="133">
        <f>B2B!M124</f>
        <v>791594284.12732923</v>
      </c>
      <c r="N45" s="128"/>
    </row>
    <row r="46" spans="1:14" ht="12.75" customHeight="1" x14ac:dyDescent="0.25">
      <c r="A46" s="108" t="str">
        <f t="shared" si="6"/>
        <v>Water</v>
      </c>
      <c r="B46" s="73"/>
      <c r="C46" s="132">
        <f>B2B!C127</f>
        <v>295408724</v>
      </c>
      <c r="D46" s="132">
        <f>B2B!D127</f>
        <v>0</v>
      </c>
      <c r="E46" s="132">
        <f>B2B!E127</f>
        <v>0</v>
      </c>
      <c r="F46" s="132">
        <f>B2B!F127</f>
        <v>0</v>
      </c>
      <c r="G46" s="132">
        <f>B2B!G127</f>
        <v>0</v>
      </c>
      <c r="H46" s="132">
        <f>B2B!H127</f>
        <v>0</v>
      </c>
      <c r="I46" s="132">
        <f>B2B!I127</f>
        <v>-2479828</v>
      </c>
      <c r="J46" s="172">
        <f>SUM(E46:I46)</f>
        <v>-2479828</v>
      </c>
      <c r="K46" s="172">
        <f>IF(D46=0,C46+J46,D46+J46)</f>
        <v>292928896</v>
      </c>
      <c r="L46" s="132">
        <f>B2B!L127</f>
        <v>314610285.54667991</v>
      </c>
      <c r="M46" s="133">
        <f>B2B!M127</f>
        <v>334430727.93612081</v>
      </c>
      <c r="N46" s="128"/>
    </row>
    <row r="47" spans="1:14" ht="12.75" customHeight="1" x14ac:dyDescent="0.25">
      <c r="A47" s="108" t="str">
        <f t="shared" si="6"/>
        <v>Waste water management</v>
      </c>
      <c r="B47" s="73"/>
      <c r="C47" s="797">
        <f>B2B!C130</f>
        <v>86367546</v>
      </c>
      <c r="D47" s="797">
        <f>B2B!D130</f>
        <v>0</v>
      </c>
      <c r="E47" s="132">
        <f>B2B!E130</f>
        <v>0</v>
      </c>
      <c r="F47" s="132">
        <f>B2B!F130</f>
        <v>0</v>
      </c>
      <c r="G47" s="132">
        <f>B2B!G130</f>
        <v>0</v>
      </c>
      <c r="H47" s="797">
        <f>B2B!H130</f>
        <v>0</v>
      </c>
      <c r="I47" s="797">
        <f>B2B!I130</f>
        <v>3182516</v>
      </c>
      <c r="J47" s="172">
        <f>SUM(E47:I47)</f>
        <v>3182516</v>
      </c>
      <c r="K47" s="172">
        <f>IF(D47=0,C47+J47,D47+J47)</f>
        <v>89550062</v>
      </c>
      <c r="L47" s="797">
        <f>B2B!L130</f>
        <v>91981433.824539959</v>
      </c>
      <c r="M47" s="798">
        <f>B2B!M130</f>
        <v>97776262.325486049</v>
      </c>
      <c r="N47" s="128"/>
    </row>
    <row r="48" spans="1:14" ht="12.75" customHeight="1" x14ac:dyDescent="0.25">
      <c r="A48" s="108" t="str">
        <f t="shared" si="6"/>
        <v>Waste management</v>
      </c>
      <c r="B48" s="73"/>
      <c r="C48" s="132">
        <f>B2B!C134</f>
        <v>64899798</v>
      </c>
      <c r="D48" s="132">
        <f>B2B!D134</f>
        <v>0</v>
      </c>
      <c r="E48" s="132">
        <f>B2B!E134</f>
        <v>0</v>
      </c>
      <c r="F48" s="132">
        <f>B2B!F134</f>
        <v>0</v>
      </c>
      <c r="G48" s="132">
        <f>B2B!G134</f>
        <v>0</v>
      </c>
      <c r="H48" s="132">
        <f>B2B!H134</f>
        <v>0</v>
      </c>
      <c r="I48" s="132">
        <f>B2B!I134</f>
        <v>422600</v>
      </c>
      <c r="J48" s="172">
        <f>SUM(E48:I48)</f>
        <v>422600</v>
      </c>
      <c r="K48" s="172">
        <f>IF(D48=0,C48+J48,D48+J48)</f>
        <v>65322398</v>
      </c>
      <c r="L48" s="132">
        <f>B2B!L134</f>
        <v>69118279.403749987</v>
      </c>
      <c r="M48" s="133">
        <f>B2B!M134</f>
        <v>73472728.286186203</v>
      </c>
      <c r="N48" s="128"/>
    </row>
    <row r="49" spans="1:14" ht="12.75" customHeight="1" x14ac:dyDescent="0.25">
      <c r="A49" s="107" t="str">
        <f t="shared" si="6"/>
        <v>Other</v>
      </c>
      <c r="B49" s="73"/>
      <c r="C49" s="258">
        <f>B2B!C136</f>
        <v>0</v>
      </c>
      <c r="D49" s="258">
        <f>B2B!D136</f>
        <v>0</v>
      </c>
      <c r="E49" s="258">
        <f>B2B!E136</f>
        <v>0</v>
      </c>
      <c r="F49" s="258">
        <f>B2B!F136</f>
        <v>0</v>
      </c>
      <c r="G49" s="258">
        <f>B2B!G136</f>
        <v>0</v>
      </c>
      <c r="H49" s="258">
        <f>B2B!H136</f>
        <v>0</v>
      </c>
      <c r="I49" s="258">
        <f>B2B!I136</f>
        <v>0</v>
      </c>
      <c r="J49" s="707">
        <f>SUM(E49:I49)</f>
        <v>0</v>
      </c>
      <c r="K49" s="707">
        <f>IF(D49=0,C49+J49,D49+J49)</f>
        <v>0</v>
      </c>
      <c r="L49" s="258">
        <f>B2B!L136</f>
        <v>0</v>
      </c>
      <c r="M49" s="905">
        <f>B2B!M136</f>
        <v>0</v>
      </c>
      <c r="N49" s="128"/>
    </row>
    <row r="50" spans="1:14" ht="12.75" customHeight="1" x14ac:dyDescent="0.25">
      <c r="A50" s="78" t="s">
        <v>674</v>
      </c>
      <c r="B50" s="79">
        <v>3</v>
      </c>
      <c r="C50" s="694">
        <f>C30+C34+C40+C44+C49</f>
        <v>2288560000</v>
      </c>
      <c r="D50" s="692">
        <f t="shared" ref="D50:M50" si="11">D30+D34+D40+D44+D49</f>
        <v>0</v>
      </c>
      <c r="E50" s="692">
        <f t="shared" si="11"/>
        <v>0</v>
      </c>
      <c r="F50" s="692">
        <f t="shared" si="11"/>
        <v>0</v>
      </c>
      <c r="G50" s="692">
        <f t="shared" si="11"/>
        <v>0</v>
      </c>
      <c r="H50" s="692">
        <f t="shared" si="11"/>
        <v>0</v>
      </c>
      <c r="I50" s="692">
        <f t="shared" si="11"/>
        <v>33410000</v>
      </c>
      <c r="J50" s="692">
        <f t="shared" si="11"/>
        <v>33410000</v>
      </c>
      <c r="K50" s="692">
        <f t="shared" si="11"/>
        <v>2321970000</v>
      </c>
      <c r="L50" s="692">
        <f t="shared" si="11"/>
        <v>2358123014.6993685</v>
      </c>
      <c r="M50" s="693">
        <f t="shared" si="11"/>
        <v>2476909030.6937876</v>
      </c>
      <c r="N50" s="128"/>
    </row>
    <row r="51" spans="1:14" ht="12.75" customHeight="1" x14ac:dyDescent="0.25">
      <c r="A51" s="87" t="s">
        <v>609</v>
      </c>
      <c r="B51" s="88"/>
      <c r="C51" s="116">
        <f t="shared" ref="C51:M51" si="12">C27-C50</f>
        <v>582191000</v>
      </c>
      <c r="D51" s="117">
        <f t="shared" si="12"/>
        <v>0</v>
      </c>
      <c r="E51" s="117">
        <f t="shared" si="12"/>
        <v>0</v>
      </c>
      <c r="F51" s="117">
        <f t="shared" si="12"/>
        <v>0</v>
      </c>
      <c r="G51" s="117">
        <f t="shared" si="12"/>
        <v>0</v>
      </c>
      <c r="H51" s="117">
        <f t="shared" si="12"/>
        <v>42808657</v>
      </c>
      <c r="I51" s="117">
        <f t="shared" si="12"/>
        <v>2500343</v>
      </c>
      <c r="J51" s="117">
        <f t="shared" si="12"/>
        <v>45309000</v>
      </c>
      <c r="K51" s="117">
        <f t="shared" si="12"/>
        <v>627500000</v>
      </c>
      <c r="L51" s="117">
        <f t="shared" si="12"/>
        <v>595757941.30201149</v>
      </c>
      <c r="M51" s="118">
        <f t="shared" si="12"/>
        <v>712040876.23443365</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675</v>
      </c>
      <c r="B53" s="93"/>
      <c r="C53" s="96"/>
      <c r="D53" s="96"/>
      <c r="E53" s="96"/>
      <c r="F53" s="96"/>
      <c r="G53" s="96"/>
      <c r="H53" s="96"/>
      <c r="I53" s="96"/>
      <c r="J53" s="96"/>
      <c r="K53" s="96"/>
      <c r="L53" s="96"/>
      <c r="M53" s="96"/>
    </row>
    <row r="54" spans="1:14" ht="12.75" customHeight="1" x14ac:dyDescent="0.25">
      <c r="A54" s="95" t="s">
        <v>1160</v>
      </c>
      <c r="B54" s="93"/>
      <c r="C54" s="96"/>
      <c r="D54" s="96"/>
      <c r="E54" s="96"/>
      <c r="F54" s="96"/>
      <c r="G54" s="94"/>
      <c r="H54" s="96"/>
      <c r="I54" s="96"/>
      <c r="J54" s="96"/>
      <c r="K54" s="96"/>
      <c r="L54" s="96"/>
      <c r="M54" s="96"/>
    </row>
    <row r="55" spans="1:14" ht="12.75" customHeight="1" x14ac:dyDescent="0.25">
      <c r="A55" s="1323" t="s">
        <v>1161</v>
      </c>
      <c r="B55" s="1323"/>
      <c r="C55" s="1323"/>
      <c r="D55" s="1324"/>
      <c r="E55" s="1324"/>
      <c r="F55" s="1324"/>
      <c r="G55" s="1324"/>
      <c r="H55" s="1324"/>
      <c r="I55" s="1324"/>
      <c r="J55" s="1324"/>
      <c r="K55" s="1324"/>
      <c r="L55" s="1324"/>
      <c r="M55" s="1324"/>
    </row>
    <row r="56" spans="1:14" ht="24" customHeight="1" x14ac:dyDescent="0.25">
      <c r="A56" s="1325" t="s">
        <v>1162</v>
      </c>
      <c r="B56" s="1325"/>
      <c r="C56" s="1325"/>
      <c r="D56" s="1326"/>
      <c r="E56" s="1326"/>
      <c r="F56" s="1326"/>
      <c r="G56" s="1326"/>
      <c r="H56" s="1326"/>
      <c r="I56" s="1326"/>
      <c r="J56" s="1326"/>
      <c r="K56" s="1326"/>
      <c r="L56" s="695"/>
      <c r="M56" s="695"/>
    </row>
    <row r="57" spans="1:14" ht="12.75" customHeight="1" x14ac:dyDescent="0.25">
      <c r="A57" s="1320" t="s">
        <v>1100</v>
      </c>
      <c r="B57" s="1320"/>
      <c r="C57" s="1320"/>
      <c r="D57" s="1320"/>
      <c r="E57" s="1320"/>
      <c r="F57" s="1320"/>
      <c r="G57" s="1320"/>
      <c r="H57" s="1320"/>
      <c r="I57" s="1320"/>
      <c r="J57" s="1320"/>
      <c r="K57" s="1320"/>
      <c r="L57" s="1320"/>
      <c r="M57" s="1320"/>
    </row>
    <row r="58" spans="1:14" ht="26.25" customHeight="1" x14ac:dyDescent="0.25">
      <c r="A58" s="1320" t="s">
        <v>1165</v>
      </c>
      <c r="B58" s="1320"/>
      <c r="C58" s="1320"/>
      <c r="D58" s="1320"/>
      <c r="E58" s="1320"/>
      <c r="F58" s="1320"/>
      <c r="G58" s="1320"/>
      <c r="H58" s="1320"/>
      <c r="I58" s="1320"/>
      <c r="J58" s="1320"/>
      <c r="K58" s="1320"/>
      <c r="L58" s="1320"/>
      <c r="M58" s="1320"/>
    </row>
    <row r="59" spans="1:14" ht="12.75" customHeight="1" x14ac:dyDescent="0.25">
      <c r="A59" s="1314" t="s">
        <v>1166</v>
      </c>
      <c r="B59" s="1314"/>
      <c r="C59" s="1314"/>
      <c r="D59" s="1314"/>
      <c r="E59" s="1314"/>
      <c r="F59" s="1314"/>
      <c r="G59" s="1314"/>
      <c r="H59" s="1314"/>
      <c r="I59" s="1314"/>
      <c r="J59" s="1314"/>
      <c r="K59" s="1314"/>
      <c r="L59" s="1314"/>
      <c r="M59" s="1314"/>
    </row>
    <row r="60" spans="1:14" ht="12.75" customHeight="1" x14ac:dyDescent="0.25">
      <c r="A60" s="1314" t="s">
        <v>1167</v>
      </c>
      <c r="B60" s="1314"/>
      <c r="C60" s="1314"/>
      <c r="D60" s="1314"/>
      <c r="E60" s="1314"/>
      <c r="F60" s="1314"/>
      <c r="G60" s="1314"/>
      <c r="H60" s="1314"/>
      <c r="I60" s="1314"/>
      <c r="J60" s="1314"/>
      <c r="K60" s="1314"/>
      <c r="L60" s="1314"/>
      <c r="M60" s="1314"/>
    </row>
    <row r="61" spans="1:14" ht="12.75" customHeight="1" x14ac:dyDescent="0.25">
      <c r="A61" s="99" t="s">
        <v>1163</v>
      </c>
      <c r="B61" s="93"/>
      <c r="C61" s="96"/>
      <c r="D61" s="96"/>
      <c r="E61" s="96"/>
      <c r="F61" s="96"/>
      <c r="G61" s="96"/>
      <c r="H61" s="96"/>
      <c r="I61" s="96"/>
      <c r="J61" s="96"/>
      <c r="K61" s="96"/>
      <c r="L61" s="96"/>
      <c r="M61" s="96"/>
    </row>
    <row r="62" spans="1:14" ht="25.5" customHeight="1" x14ac:dyDescent="0.25">
      <c r="A62" s="1314" t="s">
        <v>1164</v>
      </c>
      <c r="B62" s="1314"/>
      <c r="C62" s="1314"/>
      <c r="D62" s="1314"/>
      <c r="E62" s="1314"/>
      <c r="F62" s="1314"/>
      <c r="G62" s="1314"/>
      <c r="H62" s="1314"/>
      <c r="I62" s="1314"/>
      <c r="J62" s="1314"/>
      <c r="K62" s="1314"/>
      <c r="L62" s="1314"/>
      <c r="M62" s="1314"/>
    </row>
    <row r="63" spans="1:14" ht="12.75" customHeight="1" x14ac:dyDescent="0.25">
      <c r="A63" s="99" t="s">
        <v>680</v>
      </c>
      <c r="B63" s="93"/>
      <c r="C63" s="96"/>
      <c r="D63" s="96"/>
      <c r="E63" s="96"/>
      <c r="F63" s="96"/>
      <c r="G63" s="96"/>
      <c r="H63" s="96"/>
      <c r="I63" s="96"/>
      <c r="J63" s="96"/>
      <c r="K63" s="96"/>
      <c r="L63" s="96"/>
      <c r="M63" s="96"/>
    </row>
    <row r="64" spans="1:14" ht="12.75" customHeight="1" x14ac:dyDescent="0.25">
      <c r="A64" s="1314" t="s">
        <v>681</v>
      </c>
      <c r="B64" s="1314"/>
      <c r="C64" s="1314"/>
      <c r="D64" s="1314"/>
      <c r="E64" s="1314"/>
      <c r="F64" s="1314"/>
      <c r="G64" s="1314"/>
      <c r="H64" s="1314"/>
      <c r="I64" s="1314"/>
      <c r="J64" s="1314"/>
      <c r="K64" s="1314"/>
      <c r="L64" s="1314"/>
      <c r="M64" s="1314"/>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sheet="1" objects="1" scenarios="1"/>
  <mergeCells count="11">
    <mergeCell ref="A64:M64"/>
    <mergeCell ref="A59:M59"/>
    <mergeCell ref="A60:M60"/>
    <mergeCell ref="A62:M62"/>
    <mergeCell ref="A2:A3"/>
    <mergeCell ref="B2:B3"/>
    <mergeCell ref="A57:M57"/>
    <mergeCell ref="A58:M58"/>
    <mergeCell ref="A55:M55"/>
    <mergeCell ref="C2:K2"/>
    <mergeCell ref="A56:K56"/>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35:J43 J28:J33 J11:J20 K11:K20 K22:K26 J22:J26 K28:K4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167"/>
  <sheetViews>
    <sheetView showGridLines="0" workbookViewId="0">
      <pane xSplit="2" ySplit="5" topLeftCell="C6" activePane="bottomRight" state="frozen"/>
      <selection activeCell="C6" sqref="C6"/>
      <selection pane="topRight" activeCell="C6" sqref="C6"/>
      <selection pane="bottomLeft" activeCell="C6" sqref="C6"/>
      <selection pane="bottomRight" activeCell="I14" sqref="I14"/>
    </sheetView>
  </sheetViews>
  <sheetFormatPr defaultRowHeight="12.75" x14ac:dyDescent="0.2"/>
  <cols>
    <col min="1" max="1" width="29.28515625" customWidth="1"/>
    <col min="2" max="2" width="3.85546875" customWidth="1"/>
    <col min="10" max="11" width="9.140625" style="836"/>
  </cols>
  <sheetData>
    <row r="1" spans="1:14" x14ac:dyDescent="0.2">
      <c r="A1" s="57" t="str">
        <f>muni&amp;" - "&amp;_ADJ3&amp;" - B"&amp;" - "&amp;Date</f>
        <v>LIM354 Polokwane - Table B2 Adjustments Budget Financial Performance (standard classification) - B - 25 February 2016</v>
      </c>
      <c r="B1" s="854"/>
      <c r="C1" s="854"/>
    </row>
    <row r="2" spans="1:14" ht="35.25" customHeight="1" x14ac:dyDescent="0.2">
      <c r="A2" s="719" t="str">
        <f>"Standard Classification "&amp;desc</f>
        <v>Standard Classification Description</v>
      </c>
      <c r="B2" s="735" t="str">
        <f>head27</f>
        <v>Ref</v>
      </c>
      <c r="C2" s="1316" t="str">
        <f>Head2</f>
        <v>Budget Year 2015/16</v>
      </c>
      <c r="D2" s="1316"/>
      <c r="E2" s="1316"/>
      <c r="F2" s="1316"/>
      <c r="G2" s="1316"/>
      <c r="H2" s="1316"/>
      <c r="I2" s="1316"/>
      <c r="J2" s="1316"/>
      <c r="K2" s="1316"/>
      <c r="L2" s="103" t="str">
        <f>Head10</f>
        <v>Budget Year +1 2016/17</v>
      </c>
      <c r="M2" s="61" t="str">
        <f>Head11</f>
        <v>Budget Year +2 2017/18</v>
      </c>
    </row>
    <row r="3" spans="1:14" ht="25.5" x14ac:dyDescent="0.2">
      <c r="A3" s="854"/>
      <c r="B3" s="85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9"/>
      <c r="B4" s="736"/>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539</v>
      </c>
      <c r="B5" s="737">
        <v>1</v>
      </c>
      <c r="C5" s="67" t="s">
        <v>581</v>
      </c>
      <c r="D5" s="68" t="s">
        <v>582</v>
      </c>
      <c r="E5" s="68" t="s">
        <v>583</v>
      </c>
      <c r="F5" s="69" t="s">
        <v>584</v>
      </c>
      <c r="G5" s="69" t="s">
        <v>585</v>
      </c>
      <c r="H5" s="69" t="s">
        <v>586</v>
      </c>
      <c r="I5" s="70" t="s">
        <v>587</v>
      </c>
      <c r="J5" s="70" t="s">
        <v>588</v>
      </c>
      <c r="K5" s="70" t="s">
        <v>589</v>
      </c>
      <c r="L5" s="70"/>
      <c r="M5" s="71"/>
    </row>
    <row r="6" spans="1:14" ht="13.5" x14ac:dyDescent="0.25">
      <c r="A6" s="495" t="s">
        <v>651</v>
      </c>
      <c r="B6" s="738"/>
      <c r="C6" s="743"/>
      <c r="D6" s="720"/>
      <c r="E6" s="720"/>
      <c r="F6" s="720"/>
      <c r="G6" s="720"/>
      <c r="H6" s="720"/>
      <c r="I6" s="720"/>
      <c r="J6" s="909"/>
      <c r="K6" s="909"/>
      <c r="L6" s="720"/>
      <c r="M6" s="745"/>
      <c r="N6" s="836"/>
    </row>
    <row r="7" spans="1:14" ht="13.5" x14ac:dyDescent="0.25">
      <c r="A7" s="107" t="s">
        <v>1105</v>
      </c>
      <c r="B7" s="739"/>
      <c r="C7" s="722">
        <f t="shared" ref="C7:M7" si="1">C8+C11+C12</f>
        <v>1587118093</v>
      </c>
      <c r="D7" s="721">
        <f t="shared" si="1"/>
        <v>0</v>
      </c>
      <c r="E7" s="721">
        <f t="shared" si="1"/>
        <v>0</v>
      </c>
      <c r="F7" s="721">
        <f t="shared" si="1"/>
        <v>0</v>
      </c>
      <c r="G7" s="721">
        <f t="shared" si="1"/>
        <v>0</v>
      </c>
      <c r="H7" s="721">
        <f t="shared" si="1"/>
        <v>42808657</v>
      </c>
      <c r="I7" s="721">
        <f t="shared" si="1"/>
        <v>35909343</v>
      </c>
      <c r="J7" s="721">
        <f t="shared" si="1"/>
        <v>78718000</v>
      </c>
      <c r="K7" s="721">
        <f t="shared" si="1"/>
        <v>1665836093</v>
      </c>
      <c r="L7" s="721">
        <f t="shared" si="1"/>
        <v>1525811657.0799999</v>
      </c>
      <c r="M7" s="723">
        <f t="shared" si="1"/>
        <v>1597304914.6171598</v>
      </c>
      <c r="N7" s="128"/>
    </row>
    <row r="8" spans="1:14" ht="13.5" x14ac:dyDescent="0.25">
      <c r="A8" s="724" t="s">
        <v>653</v>
      </c>
      <c r="B8" s="739"/>
      <c r="C8" s="714">
        <f>SUM(C9:C10)</f>
        <v>0</v>
      </c>
      <c r="D8" s="266">
        <f t="shared" ref="D8:I8" si="2">SUM(D9:D10)</f>
        <v>0</v>
      </c>
      <c r="E8" s="266">
        <f t="shared" si="2"/>
        <v>0</v>
      </c>
      <c r="F8" s="266">
        <f t="shared" si="2"/>
        <v>0</v>
      </c>
      <c r="G8" s="266">
        <f t="shared" si="2"/>
        <v>0</v>
      </c>
      <c r="H8" s="266">
        <f t="shared" si="2"/>
        <v>0</v>
      </c>
      <c r="I8" s="266">
        <f t="shared" si="2"/>
        <v>0</v>
      </c>
      <c r="J8" s="266">
        <f>SUM(J9:J10)</f>
        <v>0</v>
      </c>
      <c r="K8" s="266">
        <f>SUM(K9:K10)</f>
        <v>0</v>
      </c>
      <c r="L8" s="266">
        <f>SUM(L9:L10)</f>
        <v>0</v>
      </c>
      <c r="M8" s="267">
        <f>SUM(M9:M10)</f>
        <v>0</v>
      </c>
      <c r="N8" s="128"/>
    </row>
    <row r="9" spans="1:14" ht="13.5" customHeight="1" x14ac:dyDescent="0.25">
      <c r="A9" s="856" t="s">
        <v>1106</v>
      </c>
      <c r="B9" s="739"/>
      <c r="C9" s="391"/>
      <c r="D9" s="109"/>
      <c r="E9" s="109"/>
      <c r="F9" s="109"/>
      <c r="G9" s="109"/>
      <c r="H9" s="109"/>
      <c r="I9" s="109"/>
      <c r="J9" s="174">
        <f>SUM(E9:I9)</f>
        <v>0</v>
      </c>
      <c r="K9" s="174">
        <f>IF(D9=0,C9+J9,D9+J9)</f>
        <v>0</v>
      </c>
      <c r="L9" s="109"/>
      <c r="M9" s="110"/>
      <c r="N9" s="128"/>
    </row>
    <row r="10" spans="1:14" ht="13.5" customHeight="1" x14ac:dyDescent="0.25">
      <c r="A10" s="856" t="s">
        <v>1107</v>
      </c>
      <c r="B10" s="739"/>
      <c r="C10" s="391"/>
      <c r="D10" s="109"/>
      <c r="E10" s="109"/>
      <c r="F10" s="109"/>
      <c r="G10" s="109"/>
      <c r="H10" s="109"/>
      <c r="I10" s="109"/>
      <c r="J10" s="174">
        <f>SUM(E10:I10)</f>
        <v>0</v>
      </c>
      <c r="K10" s="174">
        <f>IF(D10=0,C10+J10,D10+J10)</f>
        <v>0</v>
      </c>
      <c r="L10" s="109"/>
      <c r="M10" s="110"/>
      <c r="N10" s="128"/>
    </row>
    <row r="11" spans="1:14" ht="13.5" customHeight="1" x14ac:dyDescent="0.25">
      <c r="A11" s="724" t="s">
        <v>654</v>
      </c>
      <c r="B11" s="739"/>
      <c r="C11" s="487">
        <v>435887495</v>
      </c>
      <c r="D11" s="488"/>
      <c r="E11" s="488"/>
      <c r="F11" s="488"/>
      <c r="G11" s="488"/>
      <c r="H11" s="488"/>
      <c r="I11" s="488">
        <v>-38477244</v>
      </c>
      <c r="J11" s="910">
        <f>SUM(E11:I11)</f>
        <v>-38477244</v>
      </c>
      <c r="K11" s="910">
        <f>IF(D11=0,C11+J11,D11+J11)</f>
        <v>397410251</v>
      </c>
      <c r="L11" s="488">
        <v>433721683.96000004</v>
      </c>
      <c r="M11" s="490">
        <v>469006601.39560002</v>
      </c>
      <c r="N11" s="128"/>
    </row>
    <row r="12" spans="1:14" ht="13.5" customHeight="1" x14ac:dyDescent="0.25">
      <c r="A12" s="724" t="s">
        <v>655</v>
      </c>
      <c r="B12" s="739"/>
      <c r="C12" s="714">
        <f>SUM(C13:C16)</f>
        <v>1151230598</v>
      </c>
      <c r="D12" s="266">
        <f t="shared" ref="D12:I12" si="3">SUM(D13:D16)</f>
        <v>0</v>
      </c>
      <c r="E12" s="266">
        <f t="shared" si="3"/>
        <v>0</v>
      </c>
      <c r="F12" s="266">
        <f t="shared" si="3"/>
        <v>0</v>
      </c>
      <c r="G12" s="266">
        <f t="shared" si="3"/>
        <v>0</v>
      </c>
      <c r="H12" s="266">
        <f t="shared" si="3"/>
        <v>42808657</v>
      </c>
      <c r="I12" s="266">
        <f t="shared" si="3"/>
        <v>74386587</v>
      </c>
      <c r="J12" s="266">
        <f>SUM(J13:J16)</f>
        <v>117195244</v>
      </c>
      <c r="K12" s="266">
        <f>SUM(K13:K16)</f>
        <v>1268425842</v>
      </c>
      <c r="L12" s="266">
        <f>SUM(L13:L16)</f>
        <v>1092089973.1199999</v>
      </c>
      <c r="M12" s="267">
        <f>SUM(M13:M16)</f>
        <v>1128298313.2215598</v>
      </c>
      <c r="N12" s="128"/>
    </row>
    <row r="13" spans="1:14" ht="13.5" customHeight="1" x14ac:dyDescent="0.25">
      <c r="A13" s="856" t="s">
        <v>1108</v>
      </c>
      <c r="B13" s="739"/>
      <c r="C13" s="391">
        <v>1149625987</v>
      </c>
      <c r="D13" s="109"/>
      <c r="E13" s="109"/>
      <c r="F13" s="109"/>
      <c r="G13" s="109"/>
      <c r="H13" s="109">
        <v>42808657</v>
      </c>
      <c r="I13" s="109">
        <f>70886587+3500000</f>
        <v>74386587</v>
      </c>
      <c r="J13" s="174">
        <f>SUM(E13:I13)</f>
        <v>117195244</v>
      </c>
      <c r="K13" s="174">
        <f>IF(D13=0,C13+J13,D13+J13)</f>
        <v>1266821231</v>
      </c>
      <c r="L13" s="109">
        <v>1092060059.04</v>
      </c>
      <c r="M13" s="110">
        <v>1128266512.9595199</v>
      </c>
      <c r="N13" s="128"/>
    </row>
    <row r="14" spans="1:14" ht="13.5" customHeight="1" x14ac:dyDescent="0.25">
      <c r="A14" s="856" t="s">
        <v>1109</v>
      </c>
      <c r="B14" s="739"/>
      <c r="C14" s="391">
        <v>1123</v>
      </c>
      <c r="D14" s="109"/>
      <c r="E14" s="109"/>
      <c r="F14" s="109"/>
      <c r="G14" s="109"/>
      <c r="H14" s="109"/>
      <c r="I14" s="109"/>
      <c r="J14" s="174">
        <f>SUM(E14:I14)</f>
        <v>0</v>
      </c>
      <c r="K14" s="174">
        <f>IF(D14=0,C14+J14,D14+J14)</f>
        <v>1123</v>
      </c>
      <c r="L14" s="109">
        <v>1195.0000000000002</v>
      </c>
      <c r="M14" s="110">
        <v>1270</v>
      </c>
      <c r="N14" s="128"/>
    </row>
    <row r="15" spans="1:14" ht="13.5" customHeight="1" x14ac:dyDescent="0.25">
      <c r="A15" s="856" t="s">
        <v>1110</v>
      </c>
      <c r="B15" s="739"/>
      <c r="C15" s="391">
        <v>0</v>
      </c>
      <c r="D15" s="109"/>
      <c r="E15" s="109"/>
      <c r="F15" s="109"/>
      <c r="G15" s="109"/>
      <c r="H15" s="109"/>
      <c r="I15" s="109"/>
      <c r="J15" s="174">
        <f>SUM(E15:I15)</f>
        <v>0</v>
      </c>
      <c r="K15" s="174">
        <f>IF(D15=0,C15+J15,D15+J15)</f>
        <v>0</v>
      </c>
      <c r="L15" s="109"/>
      <c r="M15" s="110"/>
      <c r="N15" s="128"/>
    </row>
    <row r="16" spans="1:14" ht="13.5" customHeight="1" x14ac:dyDescent="0.25">
      <c r="A16" s="856" t="s">
        <v>1111</v>
      </c>
      <c r="B16" s="739"/>
      <c r="C16" s="391">
        <v>1603488</v>
      </c>
      <c r="D16" s="109"/>
      <c r="E16" s="109"/>
      <c r="F16" s="109"/>
      <c r="G16" s="109"/>
      <c r="H16" s="109"/>
      <c r="I16" s="109"/>
      <c r="J16" s="174">
        <f>SUM(E16:I16)</f>
        <v>0</v>
      </c>
      <c r="K16" s="174">
        <f>IF(D16=0,C16+J16,D16+J16)</f>
        <v>1603488</v>
      </c>
      <c r="L16" s="109">
        <v>28719.079999999998</v>
      </c>
      <c r="M16" s="110">
        <v>30530.262039999994</v>
      </c>
      <c r="N16" s="128"/>
    </row>
    <row r="17" spans="1:14" ht="13.5" customHeight="1" x14ac:dyDescent="0.25">
      <c r="A17" s="107" t="s">
        <v>656</v>
      </c>
      <c r="B17" s="739"/>
      <c r="C17" s="722">
        <f>C18+C27+C28+C34+C35</f>
        <v>37581913</v>
      </c>
      <c r="D17" s="721">
        <f t="shared" ref="D17:I17" si="4">D18+D27+D28+D34+D35</f>
        <v>0</v>
      </c>
      <c r="E17" s="721">
        <f t="shared" si="4"/>
        <v>0</v>
      </c>
      <c r="F17" s="721">
        <f t="shared" si="4"/>
        <v>0</v>
      </c>
      <c r="G17" s="721">
        <f t="shared" si="4"/>
        <v>0</v>
      </c>
      <c r="H17" s="721">
        <f t="shared" si="4"/>
        <v>0</v>
      </c>
      <c r="I17" s="721">
        <f t="shared" si="4"/>
        <v>0</v>
      </c>
      <c r="J17" s="721">
        <f>J18+J27+J28+J34+J35</f>
        <v>0</v>
      </c>
      <c r="K17" s="721">
        <f>K18+K27+K28+K34+K35</f>
        <v>37581913</v>
      </c>
      <c r="L17" s="721">
        <f>L18+L27+L28+L34+L35</f>
        <v>40024049.594999999</v>
      </c>
      <c r="M17" s="723">
        <f>M18+M27+M28+M34+M35</f>
        <v>42545181.92048499</v>
      </c>
      <c r="N17" s="128"/>
    </row>
    <row r="18" spans="1:14" ht="13.5" customHeight="1" x14ac:dyDescent="0.25">
      <c r="A18" s="724" t="s">
        <v>657</v>
      </c>
      <c r="B18" s="739"/>
      <c r="C18" s="725">
        <f t="shared" ref="C18:M18" si="5">SUM(C19:C26)</f>
        <v>2551606</v>
      </c>
      <c r="D18" s="271">
        <f t="shared" si="5"/>
        <v>0</v>
      </c>
      <c r="E18" s="271">
        <f t="shared" si="5"/>
        <v>0</v>
      </c>
      <c r="F18" s="271">
        <f t="shared" si="5"/>
        <v>0</v>
      </c>
      <c r="G18" s="271">
        <f t="shared" si="5"/>
        <v>0</v>
      </c>
      <c r="H18" s="271">
        <f t="shared" si="5"/>
        <v>0</v>
      </c>
      <c r="I18" s="271">
        <f t="shared" si="5"/>
        <v>0</v>
      </c>
      <c r="J18" s="271">
        <f t="shared" si="5"/>
        <v>0</v>
      </c>
      <c r="K18" s="271">
        <f t="shared" si="5"/>
        <v>2551606</v>
      </c>
      <c r="L18" s="271">
        <f t="shared" si="5"/>
        <v>2716778.46</v>
      </c>
      <c r="M18" s="272">
        <f t="shared" si="5"/>
        <v>2887546.1059799995</v>
      </c>
      <c r="N18" s="128"/>
    </row>
    <row r="19" spans="1:14" ht="13.5" customHeight="1" x14ac:dyDescent="0.25">
      <c r="A19" s="856" t="s">
        <v>1112</v>
      </c>
      <c r="B19" s="739"/>
      <c r="C19" s="391">
        <v>251714</v>
      </c>
      <c r="D19" s="109"/>
      <c r="E19" s="109"/>
      <c r="F19" s="109"/>
      <c r="G19" s="109"/>
      <c r="H19" s="109"/>
      <c r="I19" s="109"/>
      <c r="J19" s="174">
        <f t="shared" ref="J19:J27" si="6">SUM(E19:I19)</f>
        <v>0</v>
      </c>
      <c r="K19" s="174">
        <f t="shared" ref="K19:K27" si="7">IF(D19=0,C19+J19,D19+J19)</f>
        <v>251714</v>
      </c>
      <c r="L19" s="109">
        <v>267374.09999999998</v>
      </c>
      <c r="M19" s="110">
        <v>283801.1813</v>
      </c>
      <c r="N19" s="128"/>
    </row>
    <row r="20" spans="1:14" ht="13.5" customHeight="1" x14ac:dyDescent="0.25">
      <c r="A20" s="856" t="s">
        <v>1113</v>
      </c>
      <c r="B20" s="739"/>
      <c r="C20" s="391">
        <v>163504</v>
      </c>
      <c r="D20" s="109"/>
      <c r="E20" s="109"/>
      <c r="F20" s="109"/>
      <c r="G20" s="109"/>
      <c r="H20" s="109"/>
      <c r="I20" s="109"/>
      <c r="J20" s="174">
        <f t="shared" si="6"/>
        <v>0</v>
      </c>
      <c r="K20" s="174">
        <f t="shared" si="7"/>
        <v>163504</v>
      </c>
      <c r="L20" s="109">
        <v>174148.4</v>
      </c>
      <c r="M20" s="110">
        <v>185136.90919999999</v>
      </c>
      <c r="N20" s="128"/>
    </row>
    <row r="21" spans="1:14" ht="13.5" customHeight="1" x14ac:dyDescent="0.25">
      <c r="A21" s="856" t="s">
        <v>1114</v>
      </c>
      <c r="B21" s="739"/>
      <c r="C21" s="391">
        <v>941359</v>
      </c>
      <c r="D21" s="109"/>
      <c r="E21" s="109"/>
      <c r="F21" s="109"/>
      <c r="G21" s="109"/>
      <c r="H21" s="109"/>
      <c r="I21" s="109"/>
      <c r="J21" s="174">
        <f t="shared" si="6"/>
        <v>0</v>
      </c>
      <c r="K21" s="174">
        <f t="shared" si="7"/>
        <v>941359</v>
      </c>
      <c r="L21" s="109">
        <v>1002544</v>
      </c>
      <c r="M21" s="110">
        <v>1065704.2719999999</v>
      </c>
      <c r="N21" s="128"/>
    </row>
    <row r="22" spans="1:14" ht="13.5" customHeight="1" x14ac:dyDescent="0.25">
      <c r="A22" s="856" t="s">
        <v>1115</v>
      </c>
      <c r="B22" s="739"/>
      <c r="C22" s="391">
        <v>890866</v>
      </c>
      <c r="D22" s="109"/>
      <c r="E22" s="109"/>
      <c r="F22" s="109"/>
      <c r="G22" s="109"/>
      <c r="H22" s="109"/>
      <c r="I22" s="109"/>
      <c r="J22" s="174">
        <f t="shared" si="6"/>
        <v>0</v>
      </c>
      <c r="K22" s="174">
        <f t="shared" si="7"/>
        <v>890866</v>
      </c>
      <c r="L22" s="109">
        <v>948771</v>
      </c>
      <c r="M22" s="110">
        <v>1008543.573</v>
      </c>
      <c r="N22" s="128"/>
    </row>
    <row r="23" spans="1:14" ht="13.5" customHeight="1" x14ac:dyDescent="0.25">
      <c r="A23" s="856" t="s">
        <v>1116</v>
      </c>
      <c r="B23" s="739"/>
      <c r="C23" s="391">
        <v>0</v>
      </c>
      <c r="D23" s="109"/>
      <c r="E23" s="109"/>
      <c r="F23" s="109"/>
      <c r="G23" s="109"/>
      <c r="H23" s="109"/>
      <c r="I23" s="109"/>
      <c r="J23" s="174">
        <f t="shared" si="6"/>
        <v>0</v>
      </c>
      <c r="K23" s="174">
        <f t="shared" si="7"/>
        <v>0</v>
      </c>
      <c r="L23" s="109">
        <v>0</v>
      </c>
      <c r="M23" s="110">
        <v>0</v>
      </c>
      <c r="N23" s="128"/>
    </row>
    <row r="24" spans="1:14" ht="13.5" customHeight="1" x14ac:dyDescent="0.25">
      <c r="A24" s="856" t="s">
        <v>1117</v>
      </c>
      <c r="B24" s="739"/>
      <c r="C24" s="391">
        <v>0</v>
      </c>
      <c r="D24" s="109"/>
      <c r="E24" s="109"/>
      <c r="F24" s="109"/>
      <c r="G24" s="109"/>
      <c r="H24" s="109"/>
      <c r="I24" s="109"/>
      <c r="J24" s="174">
        <f t="shared" si="6"/>
        <v>0</v>
      </c>
      <c r="K24" s="174">
        <f t="shared" si="7"/>
        <v>0</v>
      </c>
      <c r="L24" s="109">
        <v>0</v>
      </c>
      <c r="M24" s="110">
        <v>0</v>
      </c>
      <c r="N24" s="128"/>
    </row>
    <row r="25" spans="1:14" ht="13.5" customHeight="1" x14ac:dyDescent="0.25">
      <c r="A25" s="856" t="s">
        <v>1118</v>
      </c>
      <c r="B25" s="739"/>
      <c r="C25" s="391">
        <v>304163</v>
      </c>
      <c r="D25" s="109"/>
      <c r="E25" s="109"/>
      <c r="F25" s="109"/>
      <c r="G25" s="109"/>
      <c r="H25" s="109"/>
      <c r="I25" s="109"/>
      <c r="J25" s="174">
        <f t="shared" si="6"/>
        <v>0</v>
      </c>
      <c r="K25" s="174">
        <f t="shared" si="7"/>
        <v>304163</v>
      </c>
      <c r="L25" s="109">
        <v>323940.95999999996</v>
      </c>
      <c r="M25" s="110">
        <v>344360.17047999997</v>
      </c>
      <c r="N25" s="128"/>
    </row>
    <row r="26" spans="1:14" ht="13.5" customHeight="1" x14ac:dyDescent="0.25">
      <c r="A26" s="856" t="s">
        <v>1119</v>
      </c>
      <c r="B26" s="739"/>
      <c r="C26" s="391">
        <v>0</v>
      </c>
      <c r="D26" s="109"/>
      <c r="E26" s="109"/>
      <c r="F26" s="109"/>
      <c r="G26" s="109"/>
      <c r="H26" s="109"/>
      <c r="I26" s="109"/>
      <c r="J26" s="174">
        <f t="shared" si="6"/>
        <v>0</v>
      </c>
      <c r="K26" s="174">
        <f t="shared" si="7"/>
        <v>0</v>
      </c>
      <c r="L26" s="109">
        <v>0</v>
      </c>
      <c r="M26" s="110">
        <v>0</v>
      </c>
      <c r="N26" s="128"/>
    </row>
    <row r="27" spans="1:14" ht="13.5" customHeight="1" x14ac:dyDescent="0.25">
      <c r="A27" s="724" t="s">
        <v>658</v>
      </c>
      <c r="B27" s="739"/>
      <c r="C27" s="906">
        <v>15691800</v>
      </c>
      <c r="D27" s="907"/>
      <c r="E27" s="907"/>
      <c r="F27" s="907"/>
      <c r="G27" s="907"/>
      <c r="H27" s="907"/>
      <c r="I27" s="907"/>
      <c r="J27" s="911">
        <f t="shared" si="6"/>
        <v>0</v>
      </c>
      <c r="K27" s="911">
        <f t="shared" si="7"/>
        <v>15691800</v>
      </c>
      <c r="L27" s="907">
        <v>16711766.620000001</v>
      </c>
      <c r="M27" s="908">
        <v>17764613.55706</v>
      </c>
      <c r="N27" s="128"/>
    </row>
    <row r="28" spans="1:14" ht="13.5" customHeight="1" x14ac:dyDescent="0.25">
      <c r="A28" s="724" t="s">
        <v>659</v>
      </c>
      <c r="B28" s="739"/>
      <c r="C28" s="725">
        <f t="shared" ref="C28:M28" si="8">SUM(C29:C33)</f>
        <v>17174650</v>
      </c>
      <c r="D28" s="271">
        <f t="shared" si="8"/>
        <v>0</v>
      </c>
      <c r="E28" s="271">
        <f t="shared" si="8"/>
        <v>0</v>
      </c>
      <c r="F28" s="271">
        <f t="shared" si="8"/>
        <v>0</v>
      </c>
      <c r="G28" s="271">
        <f t="shared" si="8"/>
        <v>0</v>
      </c>
      <c r="H28" s="271">
        <f t="shared" si="8"/>
        <v>0</v>
      </c>
      <c r="I28" s="271">
        <f t="shared" si="8"/>
        <v>0</v>
      </c>
      <c r="J28" s="271">
        <f t="shared" si="8"/>
        <v>0</v>
      </c>
      <c r="K28" s="271">
        <f t="shared" si="8"/>
        <v>17174650</v>
      </c>
      <c r="L28" s="271">
        <f t="shared" si="8"/>
        <v>18290997.514999997</v>
      </c>
      <c r="M28" s="272">
        <f t="shared" si="8"/>
        <v>19443331.316444997</v>
      </c>
      <c r="N28" s="128"/>
    </row>
    <row r="29" spans="1:14" ht="13.5" customHeight="1" x14ac:dyDescent="0.25">
      <c r="A29" s="856" t="s">
        <v>1120</v>
      </c>
      <c r="B29" s="739"/>
      <c r="C29" s="391">
        <v>16870483</v>
      </c>
      <c r="D29" s="109"/>
      <c r="E29" s="109"/>
      <c r="F29" s="109"/>
      <c r="G29" s="109"/>
      <c r="H29" s="109"/>
      <c r="I29" s="109"/>
      <c r="J29" s="174">
        <f t="shared" ref="J29:J34" si="9">SUM(E29:I29)</f>
        <v>0</v>
      </c>
      <c r="K29" s="174">
        <f t="shared" ref="K29:K34" si="10">IF(D29=0,C29+J29,D29+J29)</f>
        <v>16870483</v>
      </c>
      <c r="L29" s="109">
        <v>17967059.994999997</v>
      </c>
      <c r="M29" s="110">
        <v>19098984.132684998</v>
      </c>
      <c r="N29" s="128"/>
    </row>
    <row r="30" spans="1:14" ht="13.5" customHeight="1" x14ac:dyDescent="0.25">
      <c r="A30" s="856" t="s">
        <v>1121</v>
      </c>
      <c r="B30" s="739"/>
      <c r="C30" s="391">
        <v>304167</v>
      </c>
      <c r="D30" s="109"/>
      <c r="E30" s="109"/>
      <c r="F30" s="109"/>
      <c r="G30" s="109"/>
      <c r="H30" s="109"/>
      <c r="I30" s="109"/>
      <c r="J30" s="174">
        <f t="shared" si="9"/>
        <v>0</v>
      </c>
      <c r="K30" s="174">
        <f t="shared" si="10"/>
        <v>304167</v>
      </c>
      <c r="L30" s="109">
        <v>323937.51999999996</v>
      </c>
      <c r="M30" s="110">
        <v>344347.18375999993</v>
      </c>
      <c r="N30" s="128"/>
    </row>
    <row r="31" spans="1:14" ht="13.5" customHeight="1" x14ac:dyDescent="0.25">
      <c r="A31" s="856" t="s">
        <v>1122</v>
      </c>
      <c r="B31" s="739"/>
      <c r="C31" s="391">
        <v>0</v>
      </c>
      <c r="D31" s="109"/>
      <c r="E31" s="109"/>
      <c r="F31" s="109"/>
      <c r="G31" s="109"/>
      <c r="H31" s="109"/>
      <c r="I31" s="109"/>
      <c r="J31" s="174">
        <f t="shared" si="9"/>
        <v>0</v>
      </c>
      <c r="K31" s="174">
        <f t="shared" si="10"/>
        <v>0</v>
      </c>
      <c r="L31" s="109"/>
      <c r="M31" s="110"/>
      <c r="N31" s="128"/>
    </row>
    <row r="32" spans="1:14" ht="13.5" customHeight="1" x14ac:dyDescent="0.25">
      <c r="A32" s="856" t="s">
        <v>490</v>
      </c>
      <c r="B32" s="739"/>
      <c r="C32" s="391">
        <v>0</v>
      </c>
      <c r="D32" s="109"/>
      <c r="E32" s="109"/>
      <c r="F32" s="109"/>
      <c r="G32" s="109"/>
      <c r="H32" s="109"/>
      <c r="I32" s="109"/>
      <c r="J32" s="174">
        <f t="shared" si="9"/>
        <v>0</v>
      </c>
      <c r="K32" s="174">
        <f t="shared" si="10"/>
        <v>0</v>
      </c>
      <c r="L32" s="109"/>
      <c r="M32" s="110"/>
      <c r="N32" s="128"/>
    </row>
    <row r="33" spans="1:14" ht="13.5" customHeight="1" x14ac:dyDescent="0.25">
      <c r="A33" s="856" t="s">
        <v>671</v>
      </c>
      <c r="B33" s="739"/>
      <c r="C33" s="391">
        <v>0</v>
      </c>
      <c r="D33" s="109"/>
      <c r="E33" s="109"/>
      <c r="F33" s="109"/>
      <c r="G33" s="109"/>
      <c r="H33" s="109"/>
      <c r="I33" s="109"/>
      <c r="J33" s="174">
        <f t="shared" si="9"/>
        <v>0</v>
      </c>
      <c r="K33" s="174">
        <f t="shared" si="10"/>
        <v>0</v>
      </c>
      <c r="L33" s="109"/>
      <c r="M33" s="110"/>
      <c r="N33" s="128"/>
    </row>
    <row r="34" spans="1:14" ht="13.5" customHeight="1" x14ac:dyDescent="0.25">
      <c r="A34" s="724" t="s">
        <v>660</v>
      </c>
      <c r="B34" s="739"/>
      <c r="C34" s="727">
        <v>43857</v>
      </c>
      <c r="D34" s="726"/>
      <c r="E34" s="726"/>
      <c r="F34" s="726"/>
      <c r="G34" s="726"/>
      <c r="H34" s="726"/>
      <c r="I34" s="726"/>
      <c r="J34" s="912">
        <f t="shared" si="9"/>
        <v>0</v>
      </c>
      <c r="K34" s="912">
        <f t="shared" si="10"/>
        <v>43857</v>
      </c>
      <c r="L34" s="726">
        <v>46707</v>
      </c>
      <c r="M34" s="728">
        <v>49649.540999999997</v>
      </c>
      <c r="N34" s="128"/>
    </row>
    <row r="35" spans="1:14" ht="13.5" customHeight="1" x14ac:dyDescent="0.25">
      <c r="A35" s="724" t="s">
        <v>661</v>
      </c>
      <c r="B35" s="739"/>
      <c r="C35" s="725">
        <f>SUM(C36:C38)</f>
        <v>2120000</v>
      </c>
      <c r="D35" s="271">
        <f t="shared" ref="D35:I35" si="11">SUM(D36:D38)</f>
        <v>0</v>
      </c>
      <c r="E35" s="271">
        <f t="shared" si="11"/>
        <v>0</v>
      </c>
      <c r="F35" s="271">
        <f t="shared" si="11"/>
        <v>0</v>
      </c>
      <c r="G35" s="271">
        <f t="shared" si="11"/>
        <v>0</v>
      </c>
      <c r="H35" s="271">
        <f t="shared" si="11"/>
        <v>0</v>
      </c>
      <c r="I35" s="271">
        <f t="shared" si="11"/>
        <v>0</v>
      </c>
      <c r="J35" s="271">
        <f>SUM(J36:J38)</f>
        <v>0</v>
      </c>
      <c r="K35" s="271">
        <f>SUM(K36:K38)</f>
        <v>2120000</v>
      </c>
      <c r="L35" s="271">
        <f>SUM(L36:L38)</f>
        <v>2257800</v>
      </c>
      <c r="M35" s="272">
        <f>SUM(M36:M38)</f>
        <v>2400041.4</v>
      </c>
      <c r="N35" s="128"/>
    </row>
    <row r="36" spans="1:14" ht="13.5" customHeight="1" x14ac:dyDescent="0.25">
      <c r="A36" s="856" t="s">
        <v>509</v>
      </c>
      <c r="B36" s="739"/>
      <c r="C36" s="391">
        <v>0</v>
      </c>
      <c r="D36" s="109"/>
      <c r="E36" s="109"/>
      <c r="F36" s="109"/>
      <c r="G36" s="109"/>
      <c r="H36" s="109"/>
      <c r="I36" s="109"/>
      <c r="J36" s="174">
        <f>SUM(E36:I36)</f>
        <v>0</v>
      </c>
      <c r="K36" s="174">
        <f>IF(D36=0,C36+J36,D36+J36)</f>
        <v>0</v>
      </c>
      <c r="L36" s="109"/>
      <c r="M36" s="110"/>
      <c r="N36" s="128"/>
    </row>
    <row r="37" spans="1:14" ht="13.5" customHeight="1" x14ac:dyDescent="0.25">
      <c r="A37" s="856" t="s">
        <v>262</v>
      </c>
      <c r="B37" s="739"/>
      <c r="C37" s="391">
        <v>0</v>
      </c>
      <c r="D37" s="109"/>
      <c r="E37" s="109"/>
      <c r="F37" s="109"/>
      <c r="G37" s="109"/>
      <c r="H37" s="109"/>
      <c r="I37" s="109"/>
      <c r="J37" s="174">
        <f>SUM(E37:I37)</f>
        <v>0</v>
      </c>
      <c r="K37" s="174">
        <f>IF(D37=0,C37+J37,D37+J37)</f>
        <v>0</v>
      </c>
      <c r="L37" s="109"/>
      <c r="M37" s="110"/>
      <c r="N37" s="128"/>
    </row>
    <row r="38" spans="1:14" ht="13.5" customHeight="1" x14ac:dyDescent="0.25">
      <c r="A38" s="856" t="s">
        <v>1123</v>
      </c>
      <c r="B38" s="739"/>
      <c r="C38" s="391">
        <v>2120000</v>
      </c>
      <c r="D38" s="109"/>
      <c r="E38" s="109"/>
      <c r="F38" s="109"/>
      <c r="G38" s="109"/>
      <c r="H38" s="109"/>
      <c r="I38" s="109"/>
      <c r="J38" s="174">
        <f>SUM(E38:I38)</f>
        <v>0</v>
      </c>
      <c r="K38" s="174">
        <f>IF(D38=0,C38+J38,D38+J38)</f>
        <v>2120000</v>
      </c>
      <c r="L38" s="109">
        <v>2257800</v>
      </c>
      <c r="M38" s="110">
        <v>2400041.4</v>
      </c>
      <c r="N38" s="128"/>
    </row>
    <row r="39" spans="1:14" ht="13.5" customHeight="1" x14ac:dyDescent="0.25">
      <c r="A39" s="107" t="s">
        <v>662</v>
      </c>
      <c r="B39" s="740"/>
      <c r="C39" s="722">
        <f>C40+C44+C50</f>
        <v>72905912</v>
      </c>
      <c r="D39" s="721">
        <f t="shared" ref="D39:I39" si="12">D40+D44+D50</f>
        <v>0</v>
      </c>
      <c r="E39" s="721">
        <f t="shared" si="12"/>
        <v>0</v>
      </c>
      <c r="F39" s="721">
        <f t="shared" si="12"/>
        <v>0</v>
      </c>
      <c r="G39" s="721">
        <f t="shared" si="12"/>
        <v>0</v>
      </c>
      <c r="H39" s="721">
        <f t="shared" si="12"/>
        <v>0</v>
      </c>
      <c r="I39" s="721">
        <f t="shared" si="12"/>
        <v>1000</v>
      </c>
      <c r="J39" s="721">
        <f>J40+J44+J50</f>
        <v>1000</v>
      </c>
      <c r="K39" s="721">
        <f>K40+K44+K50</f>
        <v>72906912</v>
      </c>
      <c r="L39" s="721">
        <f>L40+L44+L50</f>
        <v>77616908.310000002</v>
      </c>
      <c r="M39" s="723">
        <f>M40+M44+M50</f>
        <v>82486156.009529978</v>
      </c>
      <c r="N39" s="128"/>
    </row>
    <row r="40" spans="1:14" ht="13.5" customHeight="1" x14ac:dyDescent="0.25">
      <c r="A40" s="724" t="s">
        <v>663</v>
      </c>
      <c r="B40" s="740"/>
      <c r="C40" s="725">
        <f>SUM(C41:C43)</f>
        <v>61145101</v>
      </c>
      <c r="D40" s="271">
        <f t="shared" ref="D40:I40" si="13">SUM(D41:D43)</f>
        <v>0</v>
      </c>
      <c r="E40" s="271">
        <f t="shared" si="13"/>
        <v>0</v>
      </c>
      <c r="F40" s="271">
        <f t="shared" si="13"/>
        <v>0</v>
      </c>
      <c r="G40" s="271">
        <f t="shared" si="13"/>
        <v>0</v>
      </c>
      <c r="H40" s="271">
        <f t="shared" si="13"/>
        <v>0</v>
      </c>
      <c r="I40" s="271">
        <f t="shared" si="13"/>
        <v>0</v>
      </c>
      <c r="J40" s="271">
        <f>SUM(J41:J43)</f>
        <v>0</v>
      </c>
      <c r="K40" s="271">
        <f>SUM(K41:K43)</f>
        <v>61145101</v>
      </c>
      <c r="L40" s="271">
        <f>SUM(L41:L43)</f>
        <v>65091651.310000002</v>
      </c>
      <c r="M40" s="272">
        <f>SUM(M41:M43)</f>
        <v>69171808.14052999</v>
      </c>
      <c r="N40" s="128"/>
    </row>
    <row r="41" spans="1:14" ht="13.5" customHeight="1" x14ac:dyDescent="0.25">
      <c r="A41" s="856" t="s">
        <v>1124</v>
      </c>
      <c r="B41" s="740"/>
      <c r="C41" s="391">
        <v>7821841</v>
      </c>
      <c r="D41" s="109"/>
      <c r="E41" s="109"/>
      <c r="F41" s="109"/>
      <c r="G41" s="109"/>
      <c r="H41" s="109"/>
      <c r="I41" s="109"/>
      <c r="J41" s="174">
        <f>SUM(E41:I41)</f>
        <v>0</v>
      </c>
      <c r="K41" s="174">
        <f>IF(D41=0,C41+J41,D41+J41)</f>
        <v>7821841</v>
      </c>
      <c r="L41" s="109">
        <v>8302372.0000000019</v>
      </c>
      <c r="M41" s="110">
        <v>8804791.8490000032</v>
      </c>
      <c r="N41" s="128"/>
    </row>
    <row r="42" spans="1:14" ht="13.5" customHeight="1" x14ac:dyDescent="0.25">
      <c r="A42" s="856" t="s">
        <v>1125</v>
      </c>
      <c r="B42" s="740"/>
      <c r="C42" s="391">
        <v>36715539</v>
      </c>
      <c r="D42" s="109"/>
      <c r="E42" s="109"/>
      <c r="F42" s="109"/>
      <c r="G42" s="109"/>
      <c r="H42" s="109"/>
      <c r="I42" s="109"/>
      <c r="J42" s="174">
        <f>SUM(E42:I42)</f>
        <v>0</v>
      </c>
      <c r="K42" s="174">
        <f>IF(D42=0,C42+J42,D42+J42)</f>
        <v>36715539</v>
      </c>
      <c r="L42" s="109">
        <v>39102058.310000002</v>
      </c>
      <c r="M42" s="110">
        <v>41565501.193530001</v>
      </c>
      <c r="N42" s="128"/>
    </row>
    <row r="43" spans="1:14" ht="13.5" customHeight="1" x14ac:dyDescent="0.25">
      <c r="A43" s="856" t="s">
        <v>1126</v>
      </c>
      <c r="B43" s="740"/>
      <c r="C43" s="391">
        <v>16607721</v>
      </c>
      <c r="D43" s="109"/>
      <c r="E43" s="109"/>
      <c r="F43" s="109"/>
      <c r="G43" s="109"/>
      <c r="H43" s="109"/>
      <c r="I43" s="109"/>
      <c r="J43" s="174">
        <f>SUM(E43:I43)</f>
        <v>0</v>
      </c>
      <c r="K43" s="174">
        <f>IF(D43=0,C43+J43,D43+J43)</f>
        <v>16607721</v>
      </c>
      <c r="L43" s="109">
        <v>17687221</v>
      </c>
      <c r="M43" s="110">
        <v>18801515.097999997</v>
      </c>
      <c r="N43" s="128"/>
    </row>
    <row r="44" spans="1:14" ht="13.5" customHeight="1" x14ac:dyDescent="0.25">
      <c r="A44" s="724" t="s">
        <v>664</v>
      </c>
      <c r="B44" s="740"/>
      <c r="C44" s="725">
        <f>SUM(C45:C49)</f>
        <v>9505757</v>
      </c>
      <c r="D44" s="271">
        <f t="shared" ref="D44:I44" si="14">SUM(D45:D49)</f>
        <v>0</v>
      </c>
      <c r="E44" s="271">
        <f t="shared" si="14"/>
        <v>0</v>
      </c>
      <c r="F44" s="271">
        <f t="shared" si="14"/>
        <v>0</v>
      </c>
      <c r="G44" s="271">
        <f t="shared" si="14"/>
        <v>0</v>
      </c>
      <c r="H44" s="271">
        <f t="shared" si="14"/>
        <v>0</v>
      </c>
      <c r="I44" s="271">
        <f t="shared" si="14"/>
        <v>1000</v>
      </c>
      <c r="J44" s="271">
        <f>SUM(J45:J49)</f>
        <v>1000</v>
      </c>
      <c r="K44" s="271">
        <f>SUM(K45:K49)</f>
        <v>9506757</v>
      </c>
      <c r="L44" s="271">
        <f>SUM(L45:L49)</f>
        <v>10123628</v>
      </c>
      <c r="M44" s="272">
        <f>SUM(M45:M49)</f>
        <v>10761416.564000001</v>
      </c>
      <c r="N44" s="128"/>
    </row>
    <row r="45" spans="1:14" ht="13.5" customHeight="1" x14ac:dyDescent="0.25">
      <c r="A45" s="856" t="s">
        <v>1127</v>
      </c>
      <c r="B45" s="740"/>
      <c r="C45" s="391"/>
      <c r="D45" s="109"/>
      <c r="E45" s="109"/>
      <c r="F45" s="109"/>
      <c r="G45" s="109"/>
      <c r="H45" s="109"/>
      <c r="I45" s="109"/>
      <c r="J45" s="174">
        <f>SUM(E45:I45)</f>
        <v>0</v>
      </c>
      <c r="K45" s="174">
        <f>IF(D45=0,C45+J45,D45+J45)</f>
        <v>0</v>
      </c>
      <c r="L45" s="109">
        <v>225780</v>
      </c>
      <c r="M45" s="110">
        <v>240004.13999999998</v>
      </c>
      <c r="N45" s="128"/>
    </row>
    <row r="46" spans="1:14" ht="13.5" customHeight="1" x14ac:dyDescent="0.25">
      <c r="A46" s="856" t="s">
        <v>1128</v>
      </c>
      <c r="B46" s="740"/>
      <c r="C46" s="391">
        <v>212000</v>
      </c>
      <c r="D46" s="109"/>
      <c r="E46" s="109"/>
      <c r="F46" s="109"/>
      <c r="G46" s="109"/>
      <c r="H46" s="109"/>
      <c r="I46" s="109"/>
      <c r="J46" s="174">
        <f>SUM(E46:I46)</f>
        <v>0</v>
      </c>
      <c r="K46" s="174">
        <f>IF(D46=0,C46+J46,D46+J46)</f>
        <v>212000</v>
      </c>
      <c r="L46" s="109"/>
      <c r="M46" s="110"/>
      <c r="N46" s="128"/>
    </row>
    <row r="47" spans="1:14" ht="13.5" customHeight="1" x14ac:dyDescent="0.25">
      <c r="A47" s="856" t="s">
        <v>1129</v>
      </c>
      <c r="B47" s="740"/>
      <c r="C47" s="391">
        <v>0</v>
      </c>
      <c r="D47" s="109"/>
      <c r="E47" s="109"/>
      <c r="F47" s="109"/>
      <c r="G47" s="109"/>
      <c r="H47" s="109"/>
      <c r="I47" s="109"/>
      <c r="J47" s="174">
        <f>SUM(E47:I47)</f>
        <v>0</v>
      </c>
      <c r="K47" s="174">
        <f>IF(D47=0,C47+J47,D47+J47)</f>
        <v>0</v>
      </c>
      <c r="L47" s="109"/>
      <c r="M47" s="110"/>
      <c r="N47" s="128"/>
    </row>
    <row r="48" spans="1:14" ht="13.5" customHeight="1" x14ac:dyDescent="0.25">
      <c r="A48" s="856" t="s">
        <v>1130</v>
      </c>
      <c r="B48" s="740"/>
      <c r="C48" s="391">
        <v>0</v>
      </c>
      <c r="D48" s="109"/>
      <c r="E48" s="109"/>
      <c r="F48" s="109"/>
      <c r="G48" s="109"/>
      <c r="H48" s="109"/>
      <c r="I48" s="109">
        <v>1000</v>
      </c>
      <c r="J48" s="174">
        <f>SUM(E48:I48)</f>
        <v>1000</v>
      </c>
      <c r="K48" s="174">
        <f>IF(D48=0,C48+J48,D48+J48)</f>
        <v>1000</v>
      </c>
      <c r="L48" s="109">
        <v>9897848</v>
      </c>
      <c r="M48" s="110">
        <v>10521412.424000001</v>
      </c>
      <c r="N48" s="128"/>
    </row>
    <row r="49" spans="1:14" ht="13.5" customHeight="1" x14ac:dyDescent="0.25">
      <c r="A49" s="856" t="s">
        <v>671</v>
      </c>
      <c r="B49" s="740"/>
      <c r="C49" s="391">
        <v>9293757</v>
      </c>
      <c r="D49" s="109"/>
      <c r="E49" s="109"/>
      <c r="F49" s="109"/>
      <c r="G49" s="109"/>
      <c r="H49" s="109"/>
      <c r="I49" s="109"/>
      <c r="J49" s="174">
        <f>SUM(E49:I49)</f>
        <v>0</v>
      </c>
      <c r="K49" s="174">
        <f>IF(D49=0,C49+J49,D49+J49)</f>
        <v>9293757</v>
      </c>
      <c r="L49" s="109"/>
      <c r="M49" s="110"/>
      <c r="N49" s="128"/>
    </row>
    <row r="50" spans="1:14" ht="13.5" customHeight="1" x14ac:dyDescent="0.25">
      <c r="A50" s="724" t="s">
        <v>665</v>
      </c>
      <c r="B50" s="740"/>
      <c r="C50" s="271">
        <f t="shared" ref="C50:I50" si="15">SUM(C51:C53)</f>
        <v>2255054</v>
      </c>
      <c r="D50" s="271">
        <f t="shared" si="15"/>
        <v>0</v>
      </c>
      <c r="E50" s="271">
        <f t="shared" si="15"/>
        <v>0</v>
      </c>
      <c r="F50" s="271">
        <f t="shared" si="15"/>
        <v>0</v>
      </c>
      <c r="G50" s="271">
        <f t="shared" si="15"/>
        <v>0</v>
      </c>
      <c r="H50" s="271">
        <f t="shared" si="15"/>
        <v>0</v>
      </c>
      <c r="I50" s="271">
        <f t="shared" si="15"/>
        <v>0</v>
      </c>
      <c r="J50" s="271">
        <f>SUM(J51:J53)</f>
        <v>0</v>
      </c>
      <c r="K50" s="271">
        <f>SUM(K51:K53)</f>
        <v>2255054</v>
      </c>
      <c r="L50" s="271">
        <f>SUM(L51:L53)</f>
        <v>2401629</v>
      </c>
      <c r="M50" s="272">
        <f>SUM(M51:M53)</f>
        <v>2552931.3049999992</v>
      </c>
      <c r="N50" s="128"/>
    </row>
    <row r="51" spans="1:14" ht="13.5" customHeight="1" x14ac:dyDescent="0.25">
      <c r="A51" s="856" t="s">
        <v>1131</v>
      </c>
      <c r="B51" s="740"/>
      <c r="C51" s="391">
        <v>0</v>
      </c>
      <c r="D51" s="109"/>
      <c r="E51" s="109"/>
      <c r="F51" s="109"/>
      <c r="G51" s="109"/>
      <c r="H51" s="109"/>
      <c r="I51" s="109"/>
      <c r="J51" s="174">
        <f>SUM(E51:I51)</f>
        <v>0</v>
      </c>
      <c r="K51" s="174">
        <f>IF(D51=0,C51+J51,D51+J51)</f>
        <v>0</v>
      </c>
      <c r="L51" s="109"/>
      <c r="M51" s="110"/>
      <c r="N51" s="128"/>
    </row>
    <row r="52" spans="1:14" ht="13.5" customHeight="1" x14ac:dyDescent="0.25">
      <c r="A52" s="856" t="s">
        <v>1132</v>
      </c>
      <c r="B52" s="740"/>
      <c r="C52" s="391">
        <v>2255054</v>
      </c>
      <c r="D52" s="109"/>
      <c r="E52" s="109"/>
      <c r="F52" s="109"/>
      <c r="G52" s="109"/>
      <c r="H52" s="109"/>
      <c r="I52" s="109"/>
      <c r="J52" s="174">
        <f>SUM(E52:I52)</f>
        <v>0</v>
      </c>
      <c r="K52" s="174">
        <f>IF(D52=0,C52+J52,D52+J52)</f>
        <v>2255054</v>
      </c>
      <c r="L52" s="109">
        <v>2401629</v>
      </c>
      <c r="M52" s="110">
        <v>2552931.3049999992</v>
      </c>
      <c r="N52" s="128"/>
    </row>
    <row r="53" spans="1:14" ht="13.5" customHeight="1" x14ac:dyDescent="0.25">
      <c r="A53" s="856" t="s">
        <v>671</v>
      </c>
      <c r="B53" s="740"/>
      <c r="C53" s="391">
        <v>0</v>
      </c>
      <c r="D53" s="109"/>
      <c r="E53" s="109"/>
      <c r="F53" s="109"/>
      <c r="G53" s="109"/>
      <c r="H53" s="109"/>
      <c r="I53" s="109"/>
      <c r="J53" s="174">
        <f>SUM(E53:I53)</f>
        <v>0</v>
      </c>
      <c r="K53" s="174">
        <f>IF(D53=0,C53+J53,D53+J53)</f>
        <v>0</v>
      </c>
      <c r="L53" s="109"/>
      <c r="M53" s="110"/>
      <c r="N53" s="128"/>
    </row>
    <row r="54" spans="1:14" ht="13.5" customHeight="1" x14ac:dyDescent="0.25">
      <c r="A54" s="107" t="s">
        <v>666</v>
      </c>
      <c r="B54" s="740"/>
      <c r="C54" s="722">
        <f>C55+C58+C61+C65</f>
        <v>1173145082</v>
      </c>
      <c r="D54" s="721">
        <f t="shared" ref="D54:M54" si="16">D55+D58+D61+D65</f>
        <v>0</v>
      </c>
      <c r="E54" s="721">
        <f t="shared" si="16"/>
        <v>0</v>
      </c>
      <c r="F54" s="721">
        <f t="shared" si="16"/>
        <v>0</v>
      </c>
      <c r="G54" s="721">
        <f t="shared" si="16"/>
        <v>0</v>
      </c>
      <c r="H54" s="721">
        <f t="shared" si="16"/>
        <v>0</v>
      </c>
      <c r="I54" s="721">
        <f t="shared" si="16"/>
        <v>0</v>
      </c>
      <c r="J54" s="721">
        <f>J55+J58+J61+J65</f>
        <v>0</v>
      </c>
      <c r="K54" s="721">
        <f>K55+K58+K61+K65</f>
        <v>1173145082</v>
      </c>
      <c r="L54" s="721">
        <f t="shared" si="16"/>
        <v>1310428341.0163798</v>
      </c>
      <c r="M54" s="723">
        <f t="shared" si="16"/>
        <v>1466613654.3810463</v>
      </c>
      <c r="N54" s="128"/>
    </row>
    <row r="55" spans="1:14" ht="13.5" customHeight="1" x14ac:dyDescent="0.25">
      <c r="A55" s="724" t="s">
        <v>667</v>
      </c>
      <c r="B55" s="740"/>
      <c r="C55" s="725">
        <f>SUM(C56:C57)</f>
        <v>793681150</v>
      </c>
      <c r="D55" s="271">
        <f t="shared" ref="D55:I55" si="17">SUM(D56:D57)</f>
        <v>0</v>
      </c>
      <c r="E55" s="271">
        <f t="shared" si="17"/>
        <v>0</v>
      </c>
      <c r="F55" s="271">
        <f t="shared" si="17"/>
        <v>0</v>
      </c>
      <c r="G55" s="271">
        <f t="shared" si="17"/>
        <v>0</v>
      </c>
      <c r="H55" s="271">
        <f t="shared" si="17"/>
        <v>0</v>
      </c>
      <c r="I55" s="271">
        <f t="shared" si="17"/>
        <v>0</v>
      </c>
      <c r="J55" s="271">
        <f>SUM(J56:J57)</f>
        <v>0</v>
      </c>
      <c r="K55" s="271">
        <f>SUM(K56:K57)</f>
        <v>793681150</v>
      </c>
      <c r="L55" s="271">
        <f>SUM(L56:L57)</f>
        <v>896859694.02547979</v>
      </c>
      <c r="M55" s="272">
        <f>SUM(M56:M57)</f>
        <v>1017935751.6089196</v>
      </c>
      <c r="N55" s="128"/>
    </row>
    <row r="56" spans="1:14" ht="13.5" customHeight="1" x14ac:dyDescent="0.25">
      <c r="A56" s="856" t="s">
        <v>1133</v>
      </c>
      <c r="B56" s="740"/>
      <c r="C56" s="391">
        <v>793681150</v>
      </c>
      <c r="D56" s="109"/>
      <c r="E56" s="109"/>
      <c r="F56" s="109"/>
      <c r="G56" s="109"/>
      <c r="H56" s="109"/>
      <c r="I56" s="109"/>
      <c r="J56" s="174">
        <f>SUM(E56:I56)</f>
        <v>0</v>
      </c>
      <c r="K56" s="174">
        <f>IF(D56=0,C56+J56,D56+J56)</f>
        <v>793681150</v>
      </c>
      <c r="L56" s="109">
        <v>896859694.02547979</v>
      </c>
      <c r="M56" s="110">
        <v>1017935751.6089196</v>
      </c>
      <c r="N56" s="128"/>
    </row>
    <row r="57" spans="1:14" ht="13.5" customHeight="1" x14ac:dyDescent="0.25">
      <c r="A57" s="856" t="s">
        <v>1134</v>
      </c>
      <c r="B57" s="740"/>
      <c r="C57" s="391">
        <v>0</v>
      </c>
      <c r="D57" s="109"/>
      <c r="E57" s="109"/>
      <c r="F57" s="109"/>
      <c r="G57" s="109"/>
      <c r="H57" s="109"/>
      <c r="I57" s="109"/>
      <c r="J57" s="174">
        <f>SUM(E57:I57)</f>
        <v>0</v>
      </c>
      <c r="K57" s="174">
        <f>IF(D57=0,C57+J57,D57+J57)</f>
        <v>0</v>
      </c>
      <c r="L57" s="109"/>
      <c r="M57" s="110"/>
      <c r="N57" s="128"/>
    </row>
    <row r="58" spans="1:14" ht="13.5" customHeight="1" x14ac:dyDescent="0.25">
      <c r="A58" s="724" t="s">
        <v>668</v>
      </c>
      <c r="B58" s="740"/>
      <c r="C58" s="725">
        <f>SUM(C59:C60)</f>
        <v>259055145</v>
      </c>
      <c r="D58" s="271">
        <f t="shared" ref="D58:I58" si="18">SUM(D59:D60)</f>
        <v>0</v>
      </c>
      <c r="E58" s="271">
        <f t="shared" si="18"/>
        <v>0</v>
      </c>
      <c r="F58" s="271">
        <f t="shared" si="18"/>
        <v>0</v>
      </c>
      <c r="G58" s="271">
        <f t="shared" si="18"/>
        <v>0</v>
      </c>
      <c r="H58" s="271">
        <f t="shared" si="18"/>
        <v>0</v>
      </c>
      <c r="I58" s="271">
        <f t="shared" si="18"/>
        <v>0</v>
      </c>
      <c r="J58" s="271">
        <f>SUM(J59:J60)</f>
        <v>0</v>
      </c>
      <c r="K58" s="271">
        <f>SUM(K59:K60)</f>
        <v>259055145</v>
      </c>
      <c r="L58" s="271">
        <f>SUM(L59:L60)</f>
        <v>282368601.99090004</v>
      </c>
      <c r="M58" s="272">
        <f>SUM(M59:M60)</f>
        <v>306368523.91712654</v>
      </c>
      <c r="N58" s="128"/>
    </row>
    <row r="59" spans="1:14" ht="13.5" customHeight="1" x14ac:dyDescent="0.25">
      <c r="A59" s="856" t="s">
        <v>1135</v>
      </c>
      <c r="B59" s="740"/>
      <c r="C59" s="391">
        <v>259055145</v>
      </c>
      <c r="D59" s="109"/>
      <c r="E59" s="109"/>
      <c r="F59" s="109"/>
      <c r="G59" s="109"/>
      <c r="H59" s="109"/>
      <c r="I59" s="109"/>
      <c r="J59" s="174">
        <f>SUM(E59:I59)</f>
        <v>0</v>
      </c>
      <c r="K59" s="174">
        <f>IF(D59=0,C59+J59,D59+J59)</f>
        <v>259055145</v>
      </c>
      <c r="L59" s="109">
        <v>282368601.99090004</v>
      </c>
      <c r="M59" s="110">
        <v>306368523.91712654</v>
      </c>
      <c r="N59" s="128"/>
    </row>
    <row r="60" spans="1:14" ht="13.5" customHeight="1" x14ac:dyDescent="0.25">
      <c r="A60" s="856" t="s">
        <v>1136</v>
      </c>
      <c r="B60" s="740"/>
      <c r="C60" s="391">
        <v>0</v>
      </c>
      <c r="D60" s="109"/>
      <c r="E60" s="109"/>
      <c r="F60" s="109"/>
      <c r="G60" s="109"/>
      <c r="H60" s="109"/>
      <c r="I60" s="109"/>
      <c r="J60" s="174">
        <f>SUM(E60:I60)</f>
        <v>0</v>
      </c>
      <c r="K60" s="174">
        <f>IF(D60=0,C60+J60,D60+J60)</f>
        <v>0</v>
      </c>
      <c r="L60" s="109"/>
      <c r="M60" s="110"/>
      <c r="N60" s="128"/>
    </row>
    <row r="61" spans="1:14" ht="13.5" customHeight="1" x14ac:dyDescent="0.25">
      <c r="A61" s="724" t="s">
        <v>669</v>
      </c>
      <c r="B61" s="740"/>
      <c r="C61" s="725">
        <f>SUM(C62:C64)</f>
        <v>55325708</v>
      </c>
      <c r="D61" s="271">
        <f t="shared" ref="D61:I61" si="19">SUM(D62:D64)</f>
        <v>0</v>
      </c>
      <c r="E61" s="271">
        <f t="shared" si="19"/>
        <v>0</v>
      </c>
      <c r="F61" s="271">
        <f t="shared" si="19"/>
        <v>0</v>
      </c>
      <c r="G61" s="271">
        <f t="shared" si="19"/>
        <v>0</v>
      </c>
      <c r="H61" s="271">
        <f t="shared" si="19"/>
        <v>0</v>
      </c>
      <c r="I61" s="271">
        <f t="shared" si="19"/>
        <v>0</v>
      </c>
      <c r="J61" s="271">
        <f>SUM(J62:J64)</f>
        <v>0</v>
      </c>
      <c r="K61" s="271">
        <f>SUM(K62:K64)</f>
        <v>55325708</v>
      </c>
      <c r="L61" s="271">
        <f>SUM(L62:L64)</f>
        <v>60305018.000000015</v>
      </c>
      <c r="M61" s="272">
        <f>SUM(M62:M64)</f>
        <v>65430944.530000016</v>
      </c>
      <c r="N61" s="128"/>
    </row>
    <row r="62" spans="1:14" ht="13.5" customHeight="1" x14ac:dyDescent="0.25">
      <c r="A62" s="856" t="s">
        <v>1137</v>
      </c>
      <c r="B62" s="740"/>
      <c r="C62" s="391">
        <v>55325708</v>
      </c>
      <c r="D62" s="109"/>
      <c r="E62" s="109"/>
      <c r="F62" s="109"/>
      <c r="G62" s="109"/>
      <c r="H62" s="109"/>
      <c r="I62" s="109"/>
      <c r="J62" s="174">
        <f>SUM(E62:I62)</f>
        <v>0</v>
      </c>
      <c r="K62" s="174">
        <f>IF(D62=0,C62+J62,D62+J62)</f>
        <v>55325708</v>
      </c>
      <c r="L62" s="109">
        <v>60305018.000000015</v>
      </c>
      <c r="M62" s="110">
        <v>65430944.530000016</v>
      </c>
      <c r="N62" s="128"/>
    </row>
    <row r="63" spans="1:14" ht="13.5" customHeight="1" x14ac:dyDescent="0.25">
      <c r="A63" s="856" t="s">
        <v>1138</v>
      </c>
      <c r="B63" s="740"/>
      <c r="C63" s="391">
        <v>0</v>
      </c>
      <c r="D63" s="109"/>
      <c r="E63" s="109"/>
      <c r="F63" s="109"/>
      <c r="G63" s="109"/>
      <c r="H63" s="109"/>
      <c r="I63" s="109"/>
      <c r="J63" s="174">
        <f>SUM(E63:I63)</f>
        <v>0</v>
      </c>
      <c r="K63" s="174">
        <f>IF(D63=0,C63+J63,D63+J63)</f>
        <v>0</v>
      </c>
      <c r="L63" s="109"/>
      <c r="M63" s="110"/>
      <c r="N63" s="128"/>
    </row>
    <row r="64" spans="1:14" ht="13.5" customHeight="1" x14ac:dyDescent="0.25">
      <c r="A64" s="856" t="s">
        <v>1139</v>
      </c>
      <c r="B64" s="740"/>
      <c r="C64" s="391">
        <v>0</v>
      </c>
      <c r="D64" s="109"/>
      <c r="E64" s="109"/>
      <c r="F64" s="109"/>
      <c r="G64" s="109"/>
      <c r="H64" s="109"/>
      <c r="I64" s="109"/>
      <c r="J64" s="174">
        <f>SUM(E64:I64)</f>
        <v>0</v>
      </c>
      <c r="K64" s="174">
        <f>IF(D64=0,C64+J64,D64+J64)</f>
        <v>0</v>
      </c>
      <c r="L64" s="109"/>
      <c r="M64" s="110"/>
      <c r="N64" s="128"/>
    </row>
    <row r="65" spans="1:14" ht="13.5" customHeight="1" x14ac:dyDescent="0.25">
      <c r="A65" s="724" t="s">
        <v>670</v>
      </c>
      <c r="B65" s="740"/>
      <c r="C65" s="725">
        <f>SUM(C66)</f>
        <v>65083079</v>
      </c>
      <c r="D65" s="271">
        <f t="shared" ref="D65:M65" si="20">SUM(D66)</f>
        <v>0</v>
      </c>
      <c r="E65" s="271">
        <f t="shared" si="20"/>
        <v>0</v>
      </c>
      <c r="F65" s="271">
        <f t="shared" si="20"/>
        <v>0</v>
      </c>
      <c r="G65" s="271">
        <f t="shared" si="20"/>
        <v>0</v>
      </c>
      <c r="H65" s="271">
        <f t="shared" si="20"/>
        <v>0</v>
      </c>
      <c r="I65" s="271">
        <f t="shared" si="20"/>
        <v>0</v>
      </c>
      <c r="J65" s="271">
        <f t="shared" si="20"/>
        <v>0</v>
      </c>
      <c r="K65" s="271">
        <f t="shared" si="20"/>
        <v>65083079</v>
      </c>
      <c r="L65" s="271">
        <f t="shared" si="20"/>
        <v>70895027.000000015</v>
      </c>
      <c r="M65" s="272">
        <f t="shared" si="20"/>
        <v>76878434.325000003</v>
      </c>
      <c r="N65" s="128"/>
    </row>
    <row r="66" spans="1:14" ht="13.5" customHeight="1" x14ac:dyDescent="0.25">
      <c r="A66" s="856" t="s">
        <v>1140</v>
      </c>
      <c r="B66" s="740"/>
      <c r="C66" s="391">
        <v>65083079</v>
      </c>
      <c r="D66" s="109"/>
      <c r="E66" s="109"/>
      <c r="F66" s="109"/>
      <c r="G66" s="109"/>
      <c r="H66" s="109"/>
      <c r="I66" s="109"/>
      <c r="J66" s="174">
        <f>SUM(E66:I66)</f>
        <v>0</v>
      </c>
      <c r="K66" s="174">
        <f>IF(D66=0,C66+J66,D66+J66)</f>
        <v>65083079</v>
      </c>
      <c r="L66" s="109">
        <v>70895027.000000015</v>
      </c>
      <c r="M66" s="110">
        <v>76878434.325000003</v>
      </c>
      <c r="N66" s="128"/>
    </row>
    <row r="67" spans="1:14" ht="13.5" customHeight="1" x14ac:dyDescent="0.25">
      <c r="A67" s="107" t="s">
        <v>671</v>
      </c>
      <c r="B67" s="740"/>
      <c r="C67" s="722">
        <f t="shared" ref="C67:M67" si="21">SUM(C68:C72)</f>
        <v>0</v>
      </c>
      <c r="D67" s="721">
        <f t="shared" si="21"/>
        <v>0</v>
      </c>
      <c r="E67" s="721">
        <f t="shared" si="21"/>
        <v>0</v>
      </c>
      <c r="F67" s="721">
        <f t="shared" si="21"/>
        <v>0</v>
      </c>
      <c r="G67" s="721">
        <f t="shared" si="21"/>
        <v>0</v>
      </c>
      <c r="H67" s="721">
        <f t="shared" si="21"/>
        <v>0</v>
      </c>
      <c r="I67" s="721">
        <f t="shared" si="21"/>
        <v>0</v>
      </c>
      <c r="J67" s="721">
        <f t="shared" si="21"/>
        <v>0</v>
      </c>
      <c r="K67" s="721">
        <f t="shared" si="21"/>
        <v>0</v>
      </c>
      <c r="L67" s="721">
        <f t="shared" si="21"/>
        <v>0</v>
      </c>
      <c r="M67" s="723">
        <f t="shared" si="21"/>
        <v>0</v>
      </c>
      <c r="N67" s="128"/>
    </row>
    <row r="68" spans="1:14" ht="13.5" customHeight="1" x14ac:dyDescent="0.25">
      <c r="A68" s="724" t="s">
        <v>1141</v>
      </c>
      <c r="B68" s="740"/>
      <c r="C68" s="391"/>
      <c r="D68" s="109"/>
      <c r="E68" s="109"/>
      <c r="F68" s="109"/>
      <c r="G68" s="109"/>
      <c r="H68" s="109"/>
      <c r="I68" s="109"/>
      <c r="J68" s="174">
        <f>SUM(E68:I68)</f>
        <v>0</v>
      </c>
      <c r="K68" s="174">
        <f>IF(D68=0,C68+J68,D68+J68)</f>
        <v>0</v>
      </c>
      <c r="L68" s="109"/>
      <c r="M68" s="110"/>
      <c r="N68" s="128"/>
    </row>
    <row r="69" spans="1:14" ht="13.5" customHeight="1" x14ac:dyDescent="0.25">
      <c r="A69" s="724" t="s">
        <v>521</v>
      </c>
      <c r="B69" s="740"/>
      <c r="C69" s="391"/>
      <c r="D69" s="109"/>
      <c r="E69" s="109"/>
      <c r="F69" s="109"/>
      <c r="G69" s="109"/>
      <c r="H69" s="109"/>
      <c r="I69" s="109"/>
      <c r="J69" s="174">
        <f>SUM(E69:I69)</f>
        <v>0</v>
      </c>
      <c r="K69" s="174">
        <f>IF(D69=0,C69+J69,D69+J69)</f>
        <v>0</v>
      </c>
      <c r="L69" s="109"/>
      <c r="M69" s="110"/>
      <c r="N69" s="128"/>
    </row>
    <row r="70" spans="1:14" ht="13.5" customHeight="1" x14ac:dyDescent="0.25">
      <c r="A70" s="724" t="s">
        <v>1142</v>
      </c>
      <c r="B70" s="740"/>
      <c r="C70" s="391"/>
      <c r="D70" s="109"/>
      <c r="E70" s="109"/>
      <c r="F70" s="109"/>
      <c r="G70" s="109"/>
      <c r="H70" s="109"/>
      <c r="I70" s="109"/>
      <c r="J70" s="174">
        <f>SUM(E70:I70)</f>
        <v>0</v>
      </c>
      <c r="K70" s="174">
        <f>IF(D70=0,C70+J70,D70+J70)</f>
        <v>0</v>
      </c>
      <c r="L70" s="109"/>
      <c r="M70" s="110"/>
      <c r="N70" s="128"/>
    </row>
    <row r="71" spans="1:14" ht="13.5" customHeight="1" x14ac:dyDescent="0.25">
      <c r="A71" s="724" t="s">
        <v>1143</v>
      </c>
      <c r="B71" s="739"/>
      <c r="C71" s="391"/>
      <c r="D71" s="109"/>
      <c r="E71" s="109"/>
      <c r="F71" s="109"/>
      <c r="G71" s="109"/>
      <c r="H71" s="109"/>
      <c r="I71" s="109"/>
      <c r="J71" s="174">
        <f>SUM(E71:I71)</f>
        <v>0</v>
      </c>
      <c r="K71" s="174">
        <f>IF(D71=0,C71+J71,D71+J71)</f>
        <v>0</v>
      </c>
      <c r="L71" s="109"/>
      <c r="M71" s="110"/>
      <c r="N71" s="128"/>
    </row>
    <row r="72" spans="1:14" ht="13.5" customHeight="1" x14ac:dyDescent="0.25">
      <c r="A72" s="724" t="s">
        <v>522</v>
      </c>
      <c r="B72" s="739"/>
      <c r="C72" s="391"/>
      <c r="D72" s="109"/>
      <c r="E72" s="109"/>
      <c r="F72" s="109"/>
      <c r="G72" s="109"/>
      <c r="H72" s="109"/>
      <c r="I72" s="109"/>
      <c r="J72" s="174">
        <f>SUM(E72:I72)</f>
        <v>0</v>
      </c>
      <c r="K72" s="174">
        <f>IF(D72=0,C72+J72,D72+J72)</f>
        <v>0</v>
      </c>
      <c r="L72" s="109"/>
      <c r="M72" s="110"/>
      <c r="N72" s="128"/>
    </row>
    <row r="73" spans="1:14" ht="13.5" customHeight="1" x14ac:dyDescent="0.25">
      <c r="A73" s="279" t="str">
        <f>"Total "&amp;A6</f>
        <v>Total Revenue - Standard</v>
      </c>
      <c r="B73" s="739">
        <v>2</v>
      </c>
      <c r="C73" s="585">
        <f>C7+C17+C39+C54+C67</f>
        <v>2870751000</v>
      </c>
      <c r="D73" s="583">
        <f t="shared" ref="D73:I73" si="22">D7+D17+D39+D54+D67</f>
        <v>0</v>
      </c>
      <c r="E73" s="583">
        <f t="shared" si="22"/>
        <v>0</v>
      </c>
      <c r="F73" s="583">
        <f t="shared" si="22"/>
        <v>0</v>
      </c>
      <c r="G73" s="583">
        <f t="shared" si="22"/>
        <v>0</v>
      </c>
      <c r="H73" s="583">
        <f t="shared" si="22"/>
        <v>42808657</v>
      </c>
      <c r="I73" s="583">
        <f t="shared" si="22"/>
        <v>35910343</v>
      </c>
      <c r="J73" s="583">
        <f>J7+J17+J39+J54+J67</f>
        <v>78719000</v>
      </c>
      <c r="K73" s="583">
        <f>K7+K17+K39+K54+K67</f>
        <v>2949470000</v>
      </c>
      <c r="L73" s="583">
        <f>L7+L17+L39+L54+L67</f>
        <v>2953880956.00138</v>
      </c>
      <c r="M73" s="729">
        <f>M7+M17+M39+M54+M67</f>
        <v>3188949906.9282212</v>
      </c>
      <c r="N73" s="128"/>
    </row>
    <row r="74" spans="1:14" ht="6" customHeight="1" x14ac:dyDescent="0.25">
      <c r="A74" s="278"/>
      <c r="B74" s="739"/>
      <c r="C74" s="241"/>
      <c r="D74" s="75"/>
      <c r="E74" s="75"/>
      <c r="F74" s="75"/>
      <c r="G74" s="75"/>
      <c r="H74" s="75"/>
      <c r="I74" s="75"/>
      <c r="J74" s="172"/>
      <c r="K74" s="172"/>
      <c r="L74" s="75"/>
      <c r="M74" s="76"/>
      <c r="N74" s="128"/>
    </row>
    <row r="75" spans="1:14" ht="13.5" customHeight="1" x14ac:dyDescent="0.25">
      <c r="A75" s="256" t="s">
        <v>673</v>
      </c>
      <c r="B75" s="741"/>
      <c r="C75" s="241"/>
      <c r="D75" s="75"/>
      <c r="E75" s="75"/>
      <c r="F75" s="75"/>
      <c r="G75" s="75"/>
      <c r="H75" s="75"/>
      <c r="I75" s="75"/>
      <c r="J75" s="172"/>
      <c r="K75" s="172"/>
      <c r="L75" s="75"/>
      <c r="M75" s="76"/>
      <c r="N75" s="128"/>
    </row>
    <row r="76" spans="1:14" ht="13.5" customHeight="1" x14ac:dyDescent="0.25">
      <c r="A76" s="107" t="str">
        <f>A7</f>
        <v>Municipal governance and administration</v>
      </c>
      <c r="B76" s="741"/>
      <c r="C76" s="722">
        <f t="shared" ref="C76:I76" si="23">C77+C80+C81</f>
        <v>508590471</v>
      </c>
      <c r="D76" s="721">
        <f t="shared" si="23"/>
        <v>0</v>
      </c>
      <c r="E76" s="721">
        <f t="shared" si="23"/>
        <v>0</v>
      </c>
      <c r="F76" s="721">
        <f t="shared" si="23"/>
        <v>0</v>
      </c>
      <c r="G76" s="721">
        <f t="shared" si="23"/>
        <v>0</v>
      </c>
      <c r="H76" s="721">
        <f t="shared" si="23"/>
        <v>0</v>
      </c>
      <c r="I76" s="721">
        <f t="shared" si="23"/>
        <v>17621576</v>
      </c>
      <c r="J76" s="721">
        <f>J77+J80+J81</f>
        <v>17621576</v>
      </c>
      <c r="K76" s="721">
        <f>K77+K80+K81</f>
        <v>526212047</v>
      </c>
      <c r="L76" s="721">
        <f>L77+L80+L81</f>
        <v>544864023.80688965</v>
      </c>
      <c r="M76" s="723">
        <f>M77+M80+M81</f>
        <v>579179010.94888258</v>
      </c>
      <c r="N76" s="128"/>
    </row>
    <row r="77" spans="1:14" ht="13.5" customHeight="1" x14ac:dyDescent="0.25">
      <c r="A77" s="724" t="str">
        <f t="shared" ref="A77:A140" si="24">A8</f>
        <v>Executive and council</v>
      </c>
      <c r="B77" s="741"/>
      <c r="C77" s="714">
        <f t="shared" ref="C77:I77" si="25">SUM(C78:C79)</f>
        <v>107554537</v>
      </c>
      <c r="D77" s="266">
        <f t="shared" si="25"/>
        <v>0</v>
      </c>
      <c r="E77" s="266">
        <f t="shared" si="25"/>
        <v>0</v>
      </c>
      <c r="F77" s="266">
        <f t="shared" si="25"/>
        <v>0</v>
      </c>
      <c r="G77" s="266">
        <f t="shared" si="25"/>
        <v>0</v>
      </c>
      <c r="H77" s="266">
        <f t="shared" si="25"/>
        <v>0</v>
      </c>
      <c r="I77" s="266">
        <f t="shared" si="25"/>
        <v>10700000</v>
      </c>
      <c r="J77" s="266">
        <f>SUM(J78:J79)</f>
        <v>10700000</v>
      </c>
      <c r="K77" s="266">
        <f>SUM(K78:K79)</f>
        <v>118254537</v>
      </c>
      <c r="L77" s="266">
        <f>SUM(L78:L79)</f>
        <v>114545578.84033</v>
      </c>
      <c r="M77" s="267">
        <f>SUM(M78:M79)</f>
        <v>121761947.68727079</v>
      </c>
      <c r="N77" s="128"/>
    </row>
    <row r="78" spans="1:14" ht="13.5" customHeight="1" x14ac:dyDescent="0.25">
      <c r="A78" s="856" t="str">
        <f t="shared" si="24"/>
        <v>Mayor and Council</v>
      </c>
      <c r="B78" s="741"/>
      <c r="C78" s="391">
        <v>103638614</v>
      </c>
      <c r="D78" s="109"/>
      <c r="E78" s="109"/>
      <c r="F78" s="109"/>
      <c r="G78" s="109"/>
      <c r="H78" s="109"/>
      <c r="I78" s="109">
        <v>10700000</v>
      </c>
      <c r="J78" s="174">
        <f>SUM(E78:I78)</f>
        <v>10700000</v>
      </c>
      <c r="K78" s="174">
        <f>IF(D78=0,C78+J78,D78+J78)</f>
        <v>114338614</v>
      </c>
      <c r="L78" s="109">
        <v>110375123.29017</v>
      </c>
      <c r="M78" s="110">
        <v>117328756.05745071</v>
      </c>
      <c r="N78" s="128"/>
    </row>
    <row r="79" spans="1:14" ht="13.5" customHeight="1" x14ac:dyDescent="0.25">
      <c r="A79" s="856" t="str">
        <f t="shared" si="24"/>
        <v>Municipal Manager</v>
      </c>
      <c r="B79" s="741"/>
      <c r="C79" s="391">
        <v>3915923</v>
      </c>
      <c r="D79" s="109"/>
      <c r="E79" s="109"/>
      <c r="F79" s="109"/>
      <c r="G79" s="109"/>
      <c r="H79" s="109"/>
      <c r="I79" s="109">
        <v>0</v>
      </c>
      <c r="J79" s="174">
        <f>SUM(E79:I79)</f>
        <v>0</v>
      </c>
      <c r="K79" s="174">
        <f>IF(D79=0,C79+J79,D79+J79)</f>
        <v>3915923</v>
      </c>
      <c r="L79" s="109">
        <v>4170455.5501600001</v>
      </c>
      <c r="M79" s="110">
        <v>4433191.6298200795</v>
      </c>
      <c r="N79" s="128"/>
    </row>
    <row r="80" spans="1:14" ht="13.5" customHeight="1" x14ac:dyDescent="0.25">
      <c r="A80" s="724" t="str">
        <f t="shared" si="24"/>
        <v>Budget and treasury office</v>
      </c>
      <c r="B80" s="741"/>
      <c r="C80" s="487">
        <v>135458441</v>
      </c>
      <c r="D80" s="488"/>
      <c r="E80" s="488"/>
      <c r="F80" s="488"/>
      <c r="G80" s="488"/>
      <c r="H80" s="488"/>
      <c r="I80" s="488">
        <v>1428000</v>
      </c>
      <c r="J80" s="910">
        <f>SUM(E80:I80)</f>
        <v>1428000</v>
      </c>
      <c r="K80" s="910">
        <f>IF(D80=0,C80+J80,D80+J80)</f>
        <v>136886441</v>
      </c>
      <c r="L80" s="488">
        <v>164456233.07183945</v>
      </c>
      <c r="M80" s="490">
        <v>174805647.96137041</v>
      </c>
      <c r="N80" s="128"/>
    </row>
    <row r="81" spans="1:14" ht="13.5" customHeight="1" x14ac:dyDescent="0.25">
      <c r="A81" s="724" t="str">
        <f t="shared" si="24"/>
        <v>Corporate services</v>
      </c>
      <c r="B81" s="741"/>
      <c r="C81" s="714">
        <f t="shared" ref="C81:I81" si="26">SUM(C82:C85)</f>
        <v>265577493</v>
      </c>
      <c r="D81" s="266">
        <f t="shared" si="26"/>
        <v>0</v>
      </c>
      <c r="E81" s="266">
        <f t="shared" si="26"/>
        <v>0</v>
      </c>
      <c r="F81" s="266">
        <f t="shared" si="26"/>
        <v>0</v>
      </c>
      <c r="G81" s="266">
        <f t="shared" si="26"/>
        <v>0</v>
      </c>
      <c r="H81" s="266">
        <f t="shared" si="26"/>
        <v>0</v>
      </c>
      <c r="I81" s="266">
        <f t="shared" si="26"/>
        <v>5493576</v>
      </c>
      <c r="J81" s="266">
        <f>SUM(J82:J85)</f>
        <v>5493576</v>
      </c>
      <c r="K81" s="266">
        <f>SUM(K82:K85)</f>
        <v>271071069</v>
      </c>
      <c r="L81" s="266">
        <f>SUM(L82:L85)</f>
        <v>265862211.89472023</v>
      </c>
      <c r="M81" s="267">
        <f>SUM(M82:M85)</f>
        <v>282611415.30024135</v>
      </c>
      <c r="N81" s="128"/>
    </row>
    <row r="82" spans="1:14" ht="13.5" customHeight="1" x14ac:dyDescent="0.25">
      <c r="A82" s="856" t="str">
        <f t="shared" si="24"/>
        <v>Human Resources</v>
      </c>
      <c r="B82" s="741"/>
      <c r="C82" s="391">
        <v>50199935</v>
      </c>
      <c r="D82" s="109"/>
      <c r="E82" s="109"/>
      <c r="F82" s="109"/>
      <c r="G82" s="109"/>
      <c r="H82" s="109"/>
      <c r="I82" s="109">
        <v>-1350320</v>
      </c>
      <c r="J82" s="174">
        <f>SUM(E82:I82)</f>
        <v>-1350320</v>
      </c>
      <c r="K82" s="174">
        <f>IF(D82=0,C82+J82,D82+J82)</f>
        <v>48849615</v>
      </c>
      <c r="L82" s="109">
        <v>53444789.949760042</v>
      </c>
      <c r="M82" s="110">
        <v>56811752.086594708</v>
      </c>
      <c r="N82" s="128"/>
    </row>
    <row r="83" spans="1:14" ht="13.5" customHeight="1" x14ac:dyDescent="0.25">
      <c r="A83" s="856" t="str">
        <f t="shared" si="24"/>
        <v>Information Technology</v>
      </c>
      <c r="B83" s="741"/>
      <c r="C83" s="391">
        <v>35336608</v>
      </c>
      <c r="D83" s="109"/>
      <c r="E83" s="109"/>
      <c r="F83" s="109"/>
      <c r="G83" s="109"/>
      <c r="H83" s="109"/>
      <c r="I83" s="109">
        <v>2713429</v>
      </c>
      <c r="J83" s="174">
        <f>SUM(E83:I83)</f>
        <v>2713429</v>
      </c>
      <c r="K83" s="174">
        <f>IF(D83=0,C83+J83,D83+J83)</f>
        <v>38050037</v>
      </c>
      <c r="L83" s="109">
        <v>37633485.929050006</v>
      </c>
      <c r="M83" s="110">
        <v>40004394.652580149</v>
      </c>
      <c r="N83" s="128"/>
    </row>
    <row r="84" spans="1:14" ht="13.5" customHeight="1" x14ac:dyDescent="0.25">
      <c r="A84" s="856" t="str">
        <f t="shared" si="24"/>
        <v>Property Services</v>
      </c>
      <c r="B84" s="741"/>
      <c r="C84" s="391">
        <v>36399844</v>
      </c>
      <c r="D84" s="109"/>
      <c r="E84" s="109"/>
      <c r="F84" s="109"/>
      <c r="G84" s="109"/>
      <c r="H84" s="109"/>
      <c r="I84" s="109">
        <v>-803518</v>
      </c>
      <c r="J84" s="174">
        <f>SUM(E84:I84)</f>
        <v>-803518</v>
      </c>
      <c r="K84" s="174">
        <f>IF(D84=0,C84+J84,D84+J84)</f>
        <v>35596326</v>
      </c>
      <c r="L84" s="109">
        <v>38765823.374130011</v>
      </c>
      <c r="M84" s="110">
        <v>41208058.966700204</v>
      </c>
      <c r="N84" s="128"/>
    </row>
    <row r="85" spans="1:14" ht="13.5" customHeight="1" x14ac:dyDescent="0.25">
      <c r="A85" s="856" t="str">
        <f t="shared" si="24"/>
        <v>Other Admin</v>
      </c>
      <c r="B85" s="741"/>
      <c r="C85" s="391">
        <v>143641106</v>
      </c>
      <c r="D85" s="109"/>
      <c r="E85" s="109"/>
      <c r="F85" s="109"/>
      <c r="G85" s="109"/>
      <c r="H85" s="109"/>
      <c r="I85" s="109">
        <v>4933985</v>
      </c>
      <c r="J85" s="174">
        <f>SUM(E85:I85)</f>
        <v>4933985</v>
      </c>
      <c r="K85" s="174">
        <f>IF(D85=0,C85+J85,D85+J85)</f>
        <v>148575091</v>
      </c>
      <c r="L85" s="109">
        <v>136018112.64178017</v>
      </c>
      <c r="M85" s="110">
        <v>144587209.59436628</v>
      </c>
      <c r="N85" s="128"/>
    </row>
    <row r="86" spans="1:14" ht="13.5" customHeight="1" x14ac:dyDescent="0.25">
      <c r="A86" s="107" t="str">
        <f t="shared" si="24"/>
        <v>Community and public safety</v>
      </c>
      <c r="B86" s="741"/>
      <c r="C86" s="722">
        <f t="shared" ref="C86:I86" si="27">C87+C96+C97+C103+C104</f>
        <v>349755798</v>
      </c>
      <c r="D86" s="721">
        <f t="shared" si="27"/>
        <v>0</v>
      </c>
      <c r="E86" s="721">
        <f t="shared" si="27"/>
        <v>0</v>
      </c>
      <c r="F86" s="721">
        <f t="shared" si="27"/>
        <v>0</v>
      </c>
      <c r="G86" s="721">
        <f t="shared" si="27"/>
        <v>0</v>
      </c>
      <c r="H86" s="721">
        <f t="shared" si="27"/>
        <v>0</v>
      </c>
      <c r="I86" s="721">
        <f t="shared" si="27"/>
        <v>4288995</v>
      </c>
      <c r="J86" s="721">
        <f>J87+J96+J97+J103+J104</f>
        <v>4288995</v>
      </c>
      <c r="K86" s="721">
        <f>K87+K96+K97+K103+K104</f>
        <v>354044793</v>
      </c>
      <c r="L86" s="721">
        <f>L87+L96+L97+L103+L104</f>
        <v>366180636.96684974</v>
      </c>
      <c r="M86" s="723">
        <f>M87+M96+M97+M103+M104</f>
        <v>389249781.52196014</v>
      </c>
      <c r="N86" s="128"/>
    </row>
    <row r="87" spans="1:14" ht="13.5" customHeight="1" x14ac:dyDescent="0.25">
      <c r="A87" s="724" t="str">
        <f t="shared" si="24"/>
        <v>Community and social services</v>
      </c>
      <c r="B87" s="741"/>
      <c r="C87" s="725">
        <f t="shared" ref="C87:I87" si="28">SUM(C88:C95)</f>
        <v>80961202</v>
      </c>
      <c r="D87" s="271">
        <f t="shared" si="28"/>
        <v>0</v>
      </c>
      <c r="E87" s="271">
        <f t="shared" si="28"/>
        <v>0</v>
      </c>
      <c r="F87" s="271">
        <f t="shared" si="28"/>
        <v>0</v>
      </c>
      <c r="G87" s="271">
        <f t="shared" si="28"/>
        <v>0</v>
      </c>
      <c r="H87" s="271">
        <f t="shared" si="28"/>
        <v>0</v>
      </c>
      <c r="I87" s="271">
        <f t="shared" si="28"/>
        <v>208204</v>
      </c>
      <c r="J87" s="271">
        <f>SUM(J88:J95)</f>
        <v>208204</v>
      </c>
      <c r="K87" s="271">
        <f>SUM(K88:K95)</f>
        <v>81169406</v>
      </c>
      <c r="L87" s="271">
        <f>SUM(L88:L95)</f>
        <v>85793312.745559901</v>
      </c>
      <c r="M87" s="272">
        <f>SUM(M88:M95)</f>
        <v>91198183.1685303</v>
      </c>
      <c r="N87" s="128"/>
    </row>
    <row r="88" spans="1:14" ht="13.5" customHeight="1" x14ac:dyDescent="0.25">
      <c r="A88" s="856" t="str">
        <f t="shared" si="24"/>
        <v>Libraries and Archives</v>
      </c>
      <c r="B88" s="741"/>
      <c r="C88" s="391">
        <v>17635751</v>
      </c>
      <c r="D88" s="109"/>
      <c r="E88" s="109"/>
      <c r="F88" s="109"/>
      <c r="G88" s="109"/>
      <c r="H88" s="109"/>
      <c r="I88" s="109">
        <v>-154812</v>
      </c>
      <c r="J88" s="174">
        <f t="shared" ref="J88:J96" si="29">SUM(E88:I88)</f>
        <v>-154812</v>
      </c>
      <c r="K88" s="174">
        <f t="shared" ref="K88:K96" si="30">IF(D88=0,C88+J88,D88+J88)</f>
        <v>17480939</v>
      </c>
      <c r="L88" s="109">
        <v>18571171.247729938</v>
      </c>
      <c r="M88" s="110">
        <v>19741120.76633703</v>
      </c>
      <c r="N88" s="128"/>
    </row>
    <row r="89" spans="1:14" ht="13.5" customHeight="1" x14ac:dyDescent="0.25">
      <c r="A89" s="856" t="str">
        <f t="shared" si="24"/>
        <v>Museums &amp; Art Galleries etc</v>
      </c>
      <c r="B89" s="741"/>
      <c r="C89" s="391">
        <v>7541796</v>
      </c>
      <c r="D89" s="109"/>
      <c r="E89" s="109"/>
      <c r="F89" s="109"/>
      <c r="G89" s="109"/>
      <c r="H89" s="109"/>
      <c r="I89" s="109">
        <v>-85680</v>
      </c>
      <c r="J89" s="174">
        <f t="shared" si="29"/>
        <v>-85680</v>
      </c>
      <c r="K89" s="174">
        <f t="shared" si="30"/>
        <v>7456116</v>
      </c>
      <c r="L89" s="109">
        <v>7812586.5130100036</v>
      </c>
      <c r="M89" s="110">
        <v>8304745.4433296164</v>
      </c>
      <c r="N89" s="128"/>
    </row>
    <row r="90" spans="1:14" ht="13.5" customHeight="1" x14ac:dyDescent="0.25">
      <c r="A90" s="856" t="str">
        <f t="shared" si="24"/>
        <v>Community halls and Facilities</v>
      </c>
      <c r="B90" s="741"/>
      <c r="C90" s="391">
        <v>475968</v>
      </c>
      <c r="D90" s="109"/>
      <c r="E90" s="109"/>
      <c r="F90" s="109"/>
      <c r="G90" s="109"/>
      <c r="H90" s="109"/>
      <c r="I90" s="109">
        <v>27096</v>
      </c>
      <c r="J90" s="174">
        <f t="shared" si="29"/>
        <v>27096</v>
      </c>
      <c r="K90" s="174">
        <f t="shared" si="30"/>
        <v>503064</v>
      </c>
      <c r="L90" s="109">
        <v>506895.80508000014</v>
      </c>
      <c r="M90" s="110">
        <v>538820.39080004068</v>
      </c>
      <c r="N90" s="128"/>
    </row>
    <row r="91" spans="1:14" ht="13.5" customHeight="1" x14ac:dyDescent="0.25">
      <c r="A91" s="856" t="str">
        <f t="shared" si="24"/>
        <v>Cemeteries &amp; Crematoriums</v>
      </c>
      <c r="B91" s="741"/>
      <c r="C91" s="391">
        <v>6053445</v>
      </c>
      <c r="D91" s="109"/>
      <c r="E91" s="109"/>
      <c r="F91" s="109"/>
      <c r="G91" s="109"/>
      <c r="H91" s="109"/>
      <c r="I91" s="109">
        <v>-223000</v>
      </c>
      <c r="J91" s="174">
        <f t="shared" si="29"/>
        <v>-223000</v>
      </c>
      <c r="K91" s="174">
        <f t="shared" si="30"/>
        <v>5830445</v>
      </c>
      <c r="L91" s="109">
        <v>6446916.7596900016</v>
      </c>
      <c r="M91" s="110">
        <v>6853071.1255504685</v>
      </c>
      <c r="N91" s="128"/>
    </row>
    <row r="92" spans="1:14" ht="13.5" customHeight="1" x14ac:dyDescent="0.25">
      <c r="A92" s="856" t="str">
        <f t="shared" si="24"/>
        <v>Child Care</v>
      </c>
      <c r="B92" s="741"/>
      <c r="C92" s="391">
        <v>0</v>
      </c>
      <c r="D92" s="109"/>
      <c r="E92" s="109"/>
      <c r="F92" s="109"/>
      <c r="G92" s="109"/>
      <c r="H92" s="109"/>
      <c r="I92" s="109">
        <v>0</v>
      </c>
      <c r="J92" s="174">
        <f t="shared" si="29"/>
        <v>0</v>
      </c>
      <c r="K92" s="174">
        <f t="shared" si="30"/>
        <v>0</v>
      </c>
      <c r="L92" s="109">
        <v>0</v>
      </c>
      <c r="M92" s="110">
        <v>0</v>
      </c>
      <c r="N92" s="128"/>
    </row>
    <row r="93" spans="1:14" ht="13.5" customHeight="1" x14ac:dyDescent="0.25">
      <c r="A93" s="856" t="str">
        <f t="shared" si="24"/>
        <v>Aged Care</v>
      </c>
      <c r="B93" s="741"/>
      <c r="C93" s="391">
        <v>0</v>
      </c>
      <c r="D93" s="109"/>
      <c r="E93" s="109"/>
      <c r="F93" s="109"/>
      <c r="G93" s="109"/>
      <c r="H93" s="109"/>
      <c r="I93" s="109">
        <v>0</v>
      </c>
      <c r="J93" s="174">
        <f t="shared" si="29"/>
        <v>0</v>
      </c>
      <c r="K93" s="174">
        <f t="shared" si="30"/>
        <v>0</v>
      </c>
      <c r="L93" s="109">
        <v>0</v>
      </c>
      <c r="M93" s="110">
        <v>0</v>
      </c>
      <c r="N93" s="128"/>
    </row>
    <row r="94" spans="1:14" ht="13.5" customHeight="1" x14ac:dyDescent="0.25">
      <c r="A94" s="856" t="str">
        <f t="shared" si="24"/>
        <v>Other Community</v>
      </c>
      <c r="B94" s="741"/>
      <c r="C94" s="391">
        <v>49254242</v>
      </c>
      <c r="D94" s="109"/>
      <c r="E94" s="109"/>
      <c r="F94" s="109"/>
      <c r="G94" s="109"/>
      <c r="H94" s="109"/>
      <c r="I94" s="109">
        <v>644600</v>
      </c>
      <c r="J94" s="174">
        <f t="shared" si="29"/>
        <v>644600</v>
      </c>
      <c r="K94" s="174">
        <f t="shared" si="30"/>
        <v>49898842</v>
      </c>
      <c r="L94" s="109">
        <v>52455742.420049965</v>
      </c>
      <c r="M94" s="110">
        <v>55760425.442513146</v>
      </c>
      <c r="N94" s="128"/>
    </row>
    <row r="95" spans="1:14" ht="13.5" customHeight="1" x14ac:dyDescent="0.25">
      <c r="A95" s="856" t="str">
        <f t="shared" si="24"/>
        <v>Other Social</v>
      </c>
      <c r="B95" s="741"/>
      <c r="C95" s="391">
        <v>0</v>
      </c>
      <c r="D95" s="109"/>
      <c r="E95" s="109"/>
      <c r="F95" s="109"/>
      <c r="G95" s="109"/>
      <c r="H95" s="109"/>
      <c r="I95" s="109">
        <v>0</v>
      </c>
      <c r="J95" s="174">
        <f t="shared" si="29"/>
        <v>0</v>
      </c>
      <c r="K95" s="174">
        <f t="shared" si="30"/>
        <v>0</v>
      </c>
      <c r="L95" s="109">
        <v>0</v>
      </c>
      <c r="M95" s="110">
        <v>0</v>
      </c>
      <c r="N95" s="128"/>
    </row>
    <row r="96" spans="1:14" ht="13.5" customHeight="1" x14ac:dyDescent="0.25">
      <c r="A96" s="724" t="str">
        <f t="shared" si="24"/>
        <v>Sport and recreation</v>
      </c>
      <c r="B96" s="741"/>
      <c r="C96" s="906">
        <v>101122748</v>
      </c>
      <c r="D96" s="907"/>
      <c r="E96" s="907"/>
      <c r="F96" s="907"/>
      <c r="G96" s="907"/>
      <c r="H96" s="907"/>
      <c r="I96" s="907">
        <v>4394732</v>
      </c>
      <c r="J96" s="911">
        <f t="shared" si="29"/>
        <v>4394732</v>
      </c>
      <c r="K96" s="911">
        <f t="shared" si="30"/>
        <v>105517480</v>
      </c>
      <c r="L96" s="907">
        <v>107695679.23590003</v>
      </c>
      <c r="M96" s="908">
        <v>114480456.8377617</v>
      </c>
      <c r="N96" s="128"/>
    </row>
    <row r="97" spans="1:14" ht="13.5" customHeight="1" x14ac:dyDescent="0.25">
      <c r="A97" s="724" t="str">
        <f t="shared" si="24"/>
        <v>Public safety</v>
      </c>
      <c r="B97" s="741"/>
      <c r="C97" s="725">
        <f t="shared" ref="C97:I97" si="31">SUM(C98:C102)</f>
        <v>154094474</v>
      </c>
      <c r="D97" s="271">
        <f t="shared" si="31"/>
        <v>0</v>
      </c>
      <c r="E97" s="271">
        <f t="shared" si="31"/>
        <v>0</v>
      </c>
      <c r="F97" s="271">
        <f t="shared" si="31"/>
        <v>0</v>
      </c>
      <c r="G97" s="271">
        <f t="shared" si="31"/>
        <v>0</v>
      </c>
      <c r="H97" s="271">
        <f t="shared" si="31"/>
        <v>0</v>
      </c>
      <c r="I97" s="271">
        <f t="shared" si="31"/>
        <v>-260381</v>
      </c>
      <c r="J97" s="271">
        <f>SUM(J98:J102)</f>
        <v>-260381</v>
      </c>
      <c r="K97" s="271">
        <f>SUM(K98:K102)</f>
        <v>153834093</v>
      </c>
      <c r="L97" s="271">
        <f>SUM(L98:L102)</f>
        <v>159509758.68582982</v>
      </c>
      <c r="M97" s="272">
        <f>SUM(M98:M102)</f>
        <v>169558814.5630374</v>
      </c>
      <c r="N97" s="128"/>
    </row>
    <row r="98" spans="1:14" ht="13.5" customHeight="1" x14ac:dyDescent="0.25">
      <c r="A98" s="856" t="str">
        <f t="shared" si="24"/>
        <v>Police</v>
      </c>
      <c r="B98" s="741"/>
      <c r="C98" s="391">
        <v>119899848</v>
      </c>
      <c r="D98" s="109"/>
      <c r="E98" s="109"/>
      <c r="F98" s="109"/>
      <c r="G98" s="109"/>
      <c r="H98" s="109"/>
      <c r="I98" s="109">
        <v>-762300</v>
      </c>
      <c r="J98" s="174">
        <f t="shared" ref="J98:J103" si="32">SUM(E98:I98)</f>
        <v>-762300</v>
      </c>
      <c r="K98" s="174">
        <f t="shared" ref="K98:K103" si="33">IF(D98=0,C98+J98,D98+J98)</f>
        <v>119137548</v>
      </c>
      <c r="L98" s="109">
        <v>123092507.62184986</v>
      </c>
      <c r="M98" s="110">
        <v>130847304.76202668</v>
      </c>
      <c r="N98" s="128"/>
    </row>
    <row r="99" spans="1:14" ht="13.5" customHeight="1" x14ac:dyDescent="0.25">
      <c r="A99" s="856" t="str">
        <f t="shared" si="24"/>
        <v>Fire</v>
      </c>
      <c r="B99" s="741"/>
      <c r="C99" s="391">
        <v>28437619</v>
      </c>
      <c r="D99" s="109"/>
      <c r="E99" s="109"/>
      <c r="F99" s="109"/>
      <c r="G99" s="109"/>
      <c r="H99" s="109"/>
      <c r="I99" s="109">
        <v>496500</v>
      </c>
      <c r="J99" s="174">
        <f t="shared" si="32"/>
        <v>496500</v>
      </c>
      <c r="K99" s="174">
        <f t="shared" si="33"/>
        <v>28934119</v>
      </c>
      <c r="L99" s="109">
        <v>30286040.958699938</v>
      </c>
      <c r="M99" s="110">
        <v>32194035.939098082</v>
      </c>
      <c r="N99" s="128"/>
    </row>
    <row r="100" spans="1:14" ht="13.5" customHeight="1" x14ac:dyDescent="0.25">
      <c r="A100" s="856" t="str">
        <f t="shared" si="24"/>
        <v>Civil Defence</v>
      </c>
      <c r="B100" s="741"/>
      <c r="C100" s="391">
        <v>0</v>
      </c>
      <c r="D100" s="109"/>
      <c r="E100" s="109"/>
      <c r="F100" s="109"/>
      <c r="G100" s="109"/>
      <c r="H100" s="109"/>
      <c r="I100" s="109">
        <v>0</v>
      </c>
      <c r="J100" s="174">
        <f t="shared" si="32"/>
        <v>0</v>
      </c>
      <c r="K100" s="174">
        <f t="shared" si="33"/>
        <v>0</v>
      </c>
      <c r="L100" s="109">
        <v>0</v>
      </c>
      <c r="M100" s="110">
        <v>0</v>
      </c>
      <c r="N100" s="128"/>
    </row>
    <row r="101" spans="1:14" ht="13.5" customHeight="1" x14ac:dyDescent="0.25">
      <c r="A101" s="856" t="str">
        <f t="shared" si="24"/>
        <v>Street Lighting</v>
      </c>
      <c r="B101" s="741"/>
      <c r="C101" s="391">
        <v>5757007</v>
      </c>
      <c r="D101" s="109"/>
      <c r="E101" s="109"/>
      <c r="F101" s="109"/>
      <c r="G101" s="109"/>
      <c r="H101" s="109"/>
      <c r="I101" s="109">
        <v>5419</v>
      </c>
      <c r="J101" s="174">
        <f t="shared" si="32"/>
        <v>5419</v>
      </c>
      <c r="K101" s="174">
        <f t="shared" si="33"/>
        <v>5762426</v>
      </c>
      <c r="L101" s="109">
        <v>6131210.1052800026</v>
      </c>
      <c r="M101" s="110">
        <v>6517473.8619126389</v>
      </c>
      <c r="N101" s="128"/>
    </row>
    <row r="102" spans="1:14" ht="13.5" customHeight="1" x14ac:dyDescent="0.25">
      <c r="A102" s="856" t="str">
        <f t="shared" si="24"/>
        <v>Other</v>
      </c>
      <c r="B102" s="741"/>
      <c r="C102" s="391">
        <v>0</v>
      </c>
      <c r="D102" s="109"/>
      <c r="E102" s="109"/>
      <c r="F102" s="109"/>
      <c r="G102" s="109"/>
      <c r="H102" s="109"/>
      <c r="I102" s="109">
        <v>0</v>
      </c>
      <c r="J102" s="174">
        <f t="shared" si="32"/>
        <v>0</v>
      </c>
      <c r="K102" s="174">
        <f t="shared" si="33"/>
        <v>0</v>
      </c>
      <c r="L102" s="109">
        <v>0</v>
      </c>
      <c r="M102" s="110">
        <v>0</v>
      </c>
      <c r="N102" s="128"/>
    </row>
    <row r="103" spans="1:14" ht="13.5" customHeight="1" x14ac:dyDescent="0.25">
      <c r="A103" s="724" t="str">
        <f t="shared" si="24"/>
        <v>Housing</v>
      </c>
      <c r="B103" s="741"/>
      <c r="C103" s="727">
        <v>9260737</v>
      </c>
      <c r="D103" s="726"/>
      <c r="E103" s="726"/>
      <c r="F103" s="726"/>
      <c r="G103" s="726"/>
      <c r="H103" s="726"/>
      <c r="I103" s="726">
        <v>-29060</v>
      </c>
      <c r="J103" s="912">
        <f t="shared" si="32"/>
        <v>-29060</v>
      </c>
      <c r="K103" s="912">
        <f t="shared" si="33"/>
        <v>9231677</v>
      </c>
      <c r="L103" s="726">
        <v>8584678.8876299988</v>
      </c>
      <c r="M103" s="728">
        <v>9125509.3175606877</v>
      </c>
      <c r="N103" s="128"/>
    </row>
    <row r="104" spans="1:14" ht="13.5" customHeight="1" x14ac:dyDescent="0.25">
      <c r="A104" s="724" t="str">
        <f t="shared" si="24"/>
        <v>Health</v>
      </c>
      <c r="B104" s="741"/>
      <c r="C104" s="725">
        <f t="shared" ref="C104:I104" si="34">SUM(C105:C107)</f>
        <v>4316637</v>
      </c>
      <c r="D104" s="271">
        <f t="shared" si="34"/>
        <v>0</v>
      </c>
      <c r="E104" s="271">
        <f t="shared" si="34"/>
        <v>0</v>
      </c>
      <c r="F104" s="271">
        <f t="shared" si="34"/>
        <v>0</v>
      </c>
      <c r="G104" s="271">
        <f t="shared" si="34"/>
        <v>0</v>
      </c>
      <c r="H104" s="271">
        <f t="shared" si="34"/>
        <v>0</v>
      </c>
      <c r="I104" s="271">
        <f t="shared" si="34"/>
        <v>-24500</v>
      </c>
      <c r="J104" s="271">
        <f>SUM(J105:J107)</f>
        <v>-24500</v>
      </c>
      <c r="K104" s="271">
        <f>SUM(K105:K107)</f>
        <v>4292137</v>
      </c>
      <c r="L104" s="271">
        <f>SUM(L105:L107)</f>
        <v>4597207.4119299976</v>
      </c>
      <c r="M104" s="272">
        <f>SUM(M105:M107)</f>
        <v>4886817.6350700911</v>
      </c>
      <c r="N104" s="128"/>
    </row>
    <row r="105" spans="1:14" ht="13.5" customHeight="1" x14ac:dyDescent="0.25">
      <c r="A105" s="856" t="str">
        <f t="shared" si="24"/>
        <v>Clinics</v>
      </c>
      <c r="B105" s="741"/>
      <c r="C105" s="391">
        <v>281494</v>
      </c>
      <c r="D105" s="109"/>
      <c r="E105" s="109"/>
      <c r="F105" s="109"/>
      <c r="G105" s="109"/>
      <c r="H105" s="109"/>
      <c r="I105" s="109">
        <v>-1000</v>
      </c>
      <c r="J105" s="174">
        <f>SUM(E105:I105)</f>
        <v>-1000</v>
      </c>
      <c r="K105" s="174">
        <f>IF(D105=0,C105+J105,D105+J105)</f>
        <v>280494</v>
      </c>
      <c r="L105" s="109">
        <v>299787.87825000001</v>
      </c>
      <c r="M105" s="110">
        <v>318671.14457574999</v>
      </c>
      <c r="N105" s="128"/>
    </row>
    <row r="106" spans="1:14" ht="13.5" customHeight="1" x14ac:dyDescent="0.25">
      <c r="A106" s="856" t="str">
        <f t="shared" si="24"/>
        <v>Ambulance</v>
      </c>
      <c r="B106" s="741"/>
      <c r="C106" s="391">
        <v>0</v>
      </c>
      <c r="D106" s="109"/>
      <c r="E106" s="109"/>
      <c r="F106" s="109"/>
      <c r="G106" s="109"/>
      <c r="H106" s="109"/>
      <c r="I106" s="109">
        <v>0</v>
      </c>
      <c r="J106" s="174">
        <f>SUM(E106:I106)</f>
        <v>0</v>
      </c>
      <c r="K106" s="174">
        <f>IF(D106=0,C106+J106,D106+J106)</f>
        <v>0</v>
      </c>
      <c r="L106" s="109">
        <v>0</v>
      </c>
      <c r="M106" s="110">
        <v>0</v>
      </c>
      <c r="N106" s="128"/>
    </row>
    <row r="107" spans="1:14" ht="13.5" customHeight="1" x14ac:dyDescent="0.25">
      <c r="A107" s="856" t="str">
        <f t="shared" si="24"/>
        <v xml:space="preserve">Other   </v>
      </c>
      <c r="B107" s="741"/>
      <c r="C107" s="391">
        <v>4035143</v>
      </c>
      <c r="D107" s="109"/>
      <c r="E107" s="109"/>
      <c r="F107" s="109"/>
      <c r="G107" s="109"/>
      <c r="H107" s="109"/>
      <c r="I107" s="109">
        <v>-23500</v>
      </c>
      <c r="J107" s="174">
        <f>SUM(E107:I107)</f>
        <v>-23500</v>
      </c>
      <c r="K107" s="174">
        <f>IF(D107=0,C107+J107,D107+J107)</f>
        <v>4011643</v>
      </c>
      <c r="L107" s="109">
        <v>4297419.5336799975</v>
      </c>
      <c r="M107" s="110">
        <v>4568146.4904943416</v>
      </c>
      <c r="N107" s="128"/>
    </row>
    <row r="108" spans="1:14" ht="13.5" customHeight="1" x14ac:dyDescent="0.25">
      <c r="A108" s="107" t="str">
        <f t="shared" si="24"/>
        <v>Economic and environmental services</v>
      </c>
      <c r="B108" s="741"/>
      <c r="C108" s="722">
        <f t="shared" ref="C108:I108" si="35">C109+C113+C119</f>
        <v>191358094</v>
      </c>
      <c r="D108" s="721">
        <f t="shared" si="35"/>
        <v>0</v>
      </c>
      <c r="E108" s="721">
        <f t="shared" si="35"/>
        <v>0</v>
      </c>
      <c r="F108" s="721">
        <f t="shared" si="35"/>
        <v>0</v>
      </c>
      <c r="G108" s="721">
        <f t="shared" si="35"/>
        <v>0</v>
      </c>
      <c r="H108" s="721">
        <f t="shared" si="35"/>
        <v>0</v>
      </c>
      <c r="I108" s="721">
        <f t="shared" si="35"/>
        <v>12613771</v>
      </c>
      <c r="J108" s="721">
        <f>J109+J113+J119</f>
        <v>12613771</v>
      </c>
      <c r="K108" s="721">
        <f>K109+K113+K119</f>
        <v>203971865</v>
      </c>
      <c r="L108" s="721">
        <f>L109+L113+L119</f>
        <v>198688870.11083996</v>
      </c>
      <c r="M108" s="723">
        <f>M109+M113+M119</f>
        <v>211206235.54782286</v>
      </c>
      <c r="N108" s="128"/>
    </row>
    <row r="109" spans="1:14" ht="13.5" customHeight="1" x14ac:dyDescent="0.25">
      <c r="A109" s="724" t="str">
        <f t="shared" si="24"/>
        <v>Planning and development</v>
      </c>
      <c r="B109" s="741"/>
      <c r="C109" s="725">
        <f t="shared" ref="C109:I109" si="36">SUM(C110:C112)</f>
        <v>90994157</v>
      </c>
      <c r="D109" s="271">
        <f t="shared" si="36"/>
        <v>0</v>
      </c>
      <c r="E109" s="271">
        <f t="shared" si="36"/>
        <v>0</v>
      </c>
      <c r="F109" s="271">
        <f t="shared" si="36"/>
        <v>0</v>
      </c>
      <c r="G109" s="271">
        <f t="shared" si="36"/>
        <v>0</v>
      </c>
      <c r="H109" s="271">
        <f t="shared" si="36"/>
        <v>0</v>
      </c>
      <c r="I109" s="271">
        <f t="shared" si="36"/>
        <v>188500</v>
      </c>
      <c r="J109" s="271">
        <f>SUM(J110:J112)</f>
        <v>188500</v>
      </c>
      <c r="K109" s="271">
        <f>SUM(K110:K112)</f>
        <v>91182657</v>
      </c>
      <c r="L109" s="271">
        <f>SUM(L110:L112)</f>
        <v>91801287.358159989</v>
      </c>
      <c r="M109" s="272">
        <f>SUM(M110:M112)</f>
        <v>97584746.681724072</v>
      </c>
      <c r="N109" s="128"/>
    </row>
    <row r="110" spans="1:14" ht="13.5" customHeight="1" x14ac:dyDescent="0.25">
      <c r="A110" s="856" t="str">
        <f t="shared" si="24"/>
        <v xml:space="preserve">Economic Development/Planning </v>
      </c>
      <c r="B110" s="741"/>
      <c r="C110" s="391">
        <v>25171471</v>
      </c>
      <c r="D110" s="109"/>
      <c r="E110" s="109"/>
      <c r="F110" s="109"/>
      <c r="G110" s="109"/>
      <c r="H110" s="109"/>
      <c r="I110" s="109">
        <v>245500</v>
      </c>
      <c r="J110" s="174">
        <f>SUM(E110:I110)</f>
        <v>245500</v>
      </c>
      <c r="K110" s="174">
        <f>IF(D110=0,C110+J110,D110+J110)</f>
        <v>25416971</v>
      </c>
      <c r="L110" s="109">
        <v>23244382.38831</v>
      </c>
      <c r="M110" s="110">
        <v>24708762.388773531</v>
      </c>
      <c r="N110" s="128"/>
    </row>
    <row r="111" spans="1:14" ht="13.5" customHeight="1" x14ac:dyDescent="0.25">
      <c r="A111" s="856" t="str">
        <f t="shared" si="24"/>
        <v xml:space="preserve">Town Planning/Building enforcement </v>
      </c>
      <c r="B111" s="741"/>
      <c r="C111" s="391">
        <v>55963791</v>
      </c>
      <c r="D111" s="109"/>
      <c r="E111" s="109"/>
      <c r="F111" s="109"/>
      <c r="G111" s="109"/>
      <c r="H111" s="109"/>
      <c r="I111" s="109">
        <v>-32000</v>
      </c>
      <c r="J111" s="174">
        <f>SUM(E111:I111)</f>
        <v>-32000</v>
      </c>
      <c r="K111" s="174">
        <f>IF(D111=0,C111+J111,D111+J111)</f>
        <v>55931791</v>
      </c>
      <c r="L111" s="109">
        <v>58057181.615769982</v>
      </c>
      <c r="M111" s="110">
        <v>61714779.257563494</v>
      </c>
      <c r="N111" s="128"/>
    </row>
    <row r="112" spans="1:14" ht="13.5" customHeight="1" x14ac:dyDescent="0.25">
      <c r="A112" s="856" t="str">
        <f t="shared" si="24"/>
        <v>Licensing &amp; Regulation</v>
      </c>
      <c r="B112" s="741"/>
      <c r="C112" s="391">
        <v>9858895</v>
      </c>
      <c r="D112" s="109"/>
      <c r="E112" s="109"/>
      <c r="F112" s="109"/>
      <c r="G112" s="109"/>
      <c r="H112" s="109"/>
      <c r="I112" s="109">
        <v>-25000</v>
      </c>
      <c r="J112" s="174">
        <f>SUM(E112:I112)</f>
        <v>-25000</v>
      </c>
      <c r="K112" s="174">
        <f>IF(D112=0,C112+J112,D112+J112)</f>
        <v>9833895</v>
      </c>
      <c r="L112" s="109">
        <v>10499723.354080001</v>
      </c>
      <c r="M112" s="110">
        <v>11161205.035387039</v>
      </c>
      <c r="N112" s="128"/>
    </row>
    <row r="113" spans="1:14" ht="13.5" customHeight="1" x14ac:dyDescent="0.25">
      <c r="A113" s="724" t="str">
        <f t="shared" si="24"/>
        <v>Road transport</v>
      </c>
      <c r="B113" s="741"/>
      <c r="C113" s="725">
        <f t="shared" ref="C113:I113" si="37">SUM(C114:C118)</f>
        <v>90273597</v>
      </c>
      <c r="D113" s="271">
        <f t="shared" si="37"/>
        <v>0</v>
      </c>
      <c r="E113" s="271">
        <f t="shared" si="37"/>
        <v>0</v>
      </c>
      <c r="F113" s="271">
        <f t="shared" si="37"/>
        <v>0</v>
      </c>
      <c r="G113" s="271">
        <f t="shared" si="37"/>
        <v>0</v>
      </c>
      <c r="H113" s="271">
        <f t="shared" si="37"/>
        <v>0</v>
      </c>
      <c r="I113" s="271">
        <f t="shared" si="37"/>
        <v>12596603</v>
      </c>
      <c r="J113" s="271">
        <f>SUM(J114:J118)</f>
        <v>12596603</v>
      </c>
      <c r="K113" s="271">
        <f>SUM(K114:K118)</f>
        <v>102870200</v>
      </c>
      <c r="L113" s="271">
        <f>SUM(L114:L118)</f>
        <v>96141375.788639963</v>
      </c>
      <c r="M113" s="272">
        <f>SUM(M114:M118)</f>
        <v>102198278.05332428</v>
      </c>
      <c r="N113" s="128"/>
    </row>
    <row r="114" spans="1:14" ht="13.5" customHeight="1" x14ac:dyDescent="0.25">
      <c r="A114" s="856" t="str">
        <f t="shared" si="24"/>
        <v>Roads</v>
      </c>
      <c r="B114" s="741"/>
      <c r="C114" s="391">
        <v>64992769</v>
      </c>
      <c r="D114" s="109"/>
      <c r="E114" s="109"/>
      <c r="F114" s="109"/>
      <c r="G114" s="109"/>
      <c r="H114" s="109">
        <v>0</v>
      </c>
      <c r="I114" s="109">
        <v>12722103</v>
      </c>
      <c r="J114" s="174">
        <f>SUM(E114:I114)</f>
        <v>12722103</v>
      </c>
      <c r="K114" s="174">
        <f>IF(D114=0,C114+J114,D114+J114)</f>
        <v>77714872</v>
      </c>
      <c r="L114" s="109">
        <v>69217294.366789967</v>
      </c>
      <c r="M114" s="110">
        <v>73577980.391897738</v>
      </c>
      <c r="N114" s="128"/>
    </row>
    <row r="115" spans="1:14" ht="13.5" customHeight="1" x14ac:dyDescent="0.25">
      <c r="A115" s="856" t="str">
        <f t="shared" si="24"/>
        <v>Public Buses</v>
      </c>
      <c r="B115" s="741"/>
      <c r="C115" s="391">
        <v>17324531</v>
      </c>
      <c r="D115" s="109"/>
      <c r="E115" s="109"/>
      <c r="F115" s="109"/>
      <c r="G115" s="109"/>
      <c r="H115" s="109">
        <v>0</v>
      </c>
      <c r="I115" s="109">
        <v>-108000</v>
      </c>
      <c r="J115" s="174">
        <f>SUM(E115:I115)</f>
        <v>-108000</v>
      </c>
      <c r="K115" s="174">
        <f>IF(D115=0,C115+J115,D115+J115)</f>
        <v>17216531</v>
      </c>
      <c r="L115" s="109">
        <v>18450624.595000006</v>
      </c>
      <c r="M115" s="110">
        <v>19613013.054484993</v>
      </c>
      <c r="N115" s="128"/>
    </row>
    <row r="116" spans="1:14" ht="13.5" customHeight="1" x14ac:dyDescent="0.25">
      <c r="A116" s="856" t="str">
        <f t="shared" si="24"/>
        <v>Parking Garages</v>
      </c>
      <c r="B116" s="741"/>
      <c r="C116" s="391">
        <v>0</v>
      </c>
      <c r="D116" s="109"/>
      <c r="E116" s="109"/>
      <c r="F116" s="109"/>
      <c r="G116" s="109"/>
      <c r="H116" s="109">
        <v>0</v>
      </c>
      <c r="I116" s="109">
        <v>0</v>
      </c>
      <c r="J116" s="174">
        <f>SUM(E116:I116)</f>
        <v>0</v>
      </c>
      <c r="K116" s="174">
        <f>IF(D116=0,C116+J116,D116+J116)</f>
        <v>0</v>
      </c>
      <c r="L116" s="109">
        <v>0</v>
      </c>
      <c r="M116" s="110">
        <v>0</v>
      </c>
      <c r="N116" s="128"/>
    </row>
    <row r="117" spans="1:14" ht="13.5" customHeight="1" x14ac:dyDescent="0.25">
      <c r="A117" s="856" t="str">
        <f t="shared" si="24"/>
        <v>Vehicle Licensing and Testing</v>
      </c>
      <c r="B117" s="741"/>
      <c r="C117" s="391">
        <v>7956297</v>
      </c>
      <c r="D117" s="109"/>
      <c r="E117" s="109"/>
      <c r="F117" s="109"/>
      <c r="G117" s="109"/>
      <c r="H117" s="109">
        <v>0</v>
      </c>
      <c r="I117" s="109">
        <v>-17500</v>
      </c>
      <c r="J117" s="174">
        <f>SUM(E117:I117)</f>
        <v>-17500</v>
      </c>
      <c r="K117" s="174">
        <f>IF(D117=0,C117+J117,D117+J117)</f>
        <v>7938797</v>
      </c>
      <c r="L117" s="109">
        <v>8473456.826849997</v>
      </c>
      <c r="M117" s="110">
        <v>9007284.6069415491</v>
      </c>
      <c r="N117" s="128"/>
    </row>
    <row r="118" spans="1:14" ht="13.5" customHeight="1" x14ac:dyDescent="0.25">
      <c r="A118" s="856" t="str">
        <f t="shared" si="24"/>
        <v>Other</v>
      </c>
      <c r="B118" s="741"/>
      <c r="C118" s="391">
        <v>0</v>
      </c>
      <c r="D118" s="109"/>
      <c r="E118" s="109"/>
      <c r="F118" s="109"/>
      <c r="G118" s="109"/>
      <c r="H118" s="109">
        <v>0</v>
      </c>
      <c r="I118" s="109">
        <v>0</v>
      </c>
      <c r="J118" s="174">
        <f>SUM(E118:I118)</f>
        <v>0</v>
      </c>
      <c r="K118" s="174">
        <f>IF(D118=0,C118+J118,D118+J118)</f>
        <v>0</v>
      </c>
      <c r="L118" s="109">
        <v>0</v>
      </c>
      <c r="M118" s="110">
        <v>0</v>
      </c>
      <c r="N118" s="128"/>
    </row>
    <row r="119" spans="1:14" ht="13.5" customHeight="1" x14ac:dyDescent="0.25">
      <c r="A119" s="724" t="str">
        <f t="shared" si="24"/>
        <v>Environmental protection</v>
      </c>
      <c r="B119" s="741"/>
      <c r="C119" s="725">
        <f t="shared" ref="C119:I119" si="38">SUM(C120:C122)</f>
        <v>10090340</v>
      </c>
      <c r="D119" s="271">
        <f t="shared" si="38"/>
        <v>0</v>
      </c>
      <c r="E119" s="271">
        <f t="shared" si="38"/>
        <v>0</v>
      </c>
      <c r="F119" s="271">
        <f t="shared" si="38"/>
        <v>0</v>
      </c>
      <c r="G119" s="271">
        <f t="shared" si="38"/>
        <v>0</v>
      </c>
      <c r="H119" s="271">
        <f t="shared" si="38"/>
        <v>0</v>
      </c>
      <c r="I119" s="271">
        <f t="shared" si="38"/>
        <v>-171332</v>
      </c>
      <c r="J119" s="271">
        <f>SUM(J120:J122)</f>
        <v>-171332</v>
      </c>
      <c r="K119" s="271">
        <f>SUM(K120:K122)</f>
        <v>9919008</v>
      </c>
      <c r="L119" s="271">
        <f>SUM(L120:L122)</f>
        <v>10746206.964039998</v>
      </c>
      <c r="M119" s="272">
        <f>SUM(M120:M122)</f>
        <v>11423210.812774513</v>
      </c>
      <c r="N119" s="128"/>
    </row>
    <row r="120" spans="1:14" ht="13.5" customHeight="1" x14ac:dyDescent="0.25">
      <c r="A120" s="856" t="str">
        <f t="shared" si="24"/>
        <v>Pollution Control</v>
      </c>
      <c r="B120" s="741"/>
      <c r="C120" s="391">
        <v>511217</v>
      </c>
      <c r="D120" s="109"/>
      <c r="E120" s="109"/>
      <c r="F120" s="109"/>
      <c r="G120" s="109"/>
      <c r="H120" s="109">
        <v>0</v>
      </c>
      <c r="I120" s="109">
        <v>-7558</v>
      </c>
      <c r="J120" s="174">
        <f>SUM(E120:I120)</f>
        <v>-7558</v>
      </c>
      <c r="K120" s="174">
        <f>IF(D120=0,C120+J120,D120+J120)</f>
        <v>503659</v>
      </c>
      <c r="L120" s="109">
        <v>544443.16312000004</v>
      </c>
      <c r="M120" s="110">
        <v>578739.65239656006</v>
      </c>
      <c r="N120" s="128"/>
    </row>
    <row r="121" spans="1:14" ht="13.5" customHeight="1" x14ac:dyDescent="0.25">
      <c r="A121" s="856" t="str">
        <f t="shared" si="24"/>
        <v>Biodiversity &amp; Landscape</v>
      </c>
      <c r="B121" s="741"/>
      <c r="C121" s="391">
        <v>9579123</v>
      </c>
      <c r="D121" s="109"/>
      <c r="E121" s="109"/>
      <c r="F121" s="109"/>
      <c r="G121" s="109"/>
      <c r="H121" s="109">
        <v>0</v>
      </c>
      <c r="I121" s="109">
        <v>-163774</v>
      </c>
      <c r="J121" s="174">
        <f>SUM(E121:I121)</f>
        <v>-163774</v>
      </c>
      <c r="K121" s="174">
        <f>IF(D121=0,C121+J121,D121+J121)</f>
        <v>9415349</v>
      </c>
      <c r="L121" s="109">
        <v>10201763.800919998</v>
      </c>
      <c r="M121" s="110">
        <v>10844471.160377953</v>
      </c>
      <c r="N121" s="128"/>
    </row>
    <row r="122" spans="1:14" ht="13.5" customHeight="1" x14ac:dyDescent="0.25">
      <c r="A122" s="856" t="str">
        <f t="shared" si="24"/>
        <v>Other</v>
      </c>
      <c r="B122" s="741"/>
      <c r="C122" s="391">
        <v>0</v>
      </c>
      <c r="D122" s="109"/>
      <c r="E122" s="109"/>
      <c r="F122" s="109"/>
      <c r="G122" s="109"/>
      <c r="H122" s="109">
        <v>0</v>
      </c>
      <c r="I122" s="109">
        <v>0</v>
      </c>
      <c r="J122" s="174">
        <f>SUM(E122:I122)</f>
        <v>0</v>
      </c>
      <c r="K122" s="174">
        <f>IF(D122=0,C122+J122,D122+J122)</f>
        <v>0</v>
      </c>
      <c r="L122" s="109">
        <v>0</v>
      </c>
      <c r="M122" s="110">
        <v>0</v>
      </c>
      <c r="N122" s="128"/>
    </row>
    <row r="123" spans="1:14" ht="13.5" customHeight="1" x14ac:dyDescent="0.25">
      <c r="A123" s="107" t="str">
        <f t="shared" si="24"/>
        <v>Trading services</v>
      </c>
      <c r="B123" s="741"/>
      <c r="C123" s="722">
        <f>C124+C127+C130+C134</f>
        <v>1238855637</v>
      </c>
      <c r="D123" s="721">
        <f t="shared" ref="D123:M123" si="39">D124+D127+D130+D134</f>
        <v>0</v>
      </c>
      <c r="E123" s="721">
        <f t="shared" si="39"/>
        <v>0</v>
      </c>
      <c r="F123" s="721">
        <f t="shared" si="39"/>
        <v>0</v>
      </c>
      <c r="G123" s="721">
        <f t="shared" si="39"/>
        <v>0</v>
      </c>
      <c r="H123" s="721">
        <f t="shared" si="39"/>
        <v>0</v>
      </c>
      <c r="I123" s="721">
        <f t="shared" si="39"/>
        <v>-1114342</v>
      </c>
      <c r="J123" s="721">
        <f t="shared" si="39"/>
        <v>-1114342</v>
      </c>
      <c r="K123" s="721">
        <f t="shared" si="39"/>
        <v>1237741295</v>
      </c>
      <c r="L123" s="721">
        <f t="shared" si="39"/>
        <v>1248389483.8147895</v>
      </c>
      <c r="M123" s="723">
        <f t="shared" si="39"/>
        <v>1297274002.6751223</v>
      </c>
      <c r="N123" s="128"/>
    </row>
    <row r="124" spans="1:14" ht="13.5" customHeight="1" x14ac:dyDescent="0.25">
      <c r="A124" s="724" t="str">
        <f t="shared" si="24"/>
        <v>Electricity</v>
      </c>
      <c r="B124" s="741"/>
      <c r="C124" s="725">
        <f t="shared" ref="C124:I124" si="40">SUM(C125:C126)</f>
        <v>792179569</v>
      </c>
      <c r="D124" s="271">
        <f t="shared" si="40"/>
        <v>0</v>
      </c>
      <c r="E124" s="271">
        <f t="shared" si="40"/>
        <v>0</v>
      </c>
      <c r="F124" s="271">
        <f t="shared" si="40"/>
        <v>0</v>
      </c>
      <c r="G124" s="271">
        <f t="shared" si="40"/>
        <v>0</v>
      </c>
      <c r="H124" s="271">
        <f t="shared" si="40"/>
        <v>0</v>
      </c>
      <c r="I124" s="271">
        <f t="shared" si="40"/>
        <v>-2239630</v>
      </c>
      <c r="J124" s="271">
        <f>SUM(J125:J126)</f>
        <v>-2239630</v>
      </c>
      <c r="K124" s="271">
        <f>SUM(K125:K126)</f>
        <v>789939939</v>
      </c>
      <c r="L124" s="271">
        <f>SUM(L125:L126)</f>
        <v>772679485.03981984</v>
      </c>
      <c r="M124" s="272">
        <f>SUM(M125:M126)</f>
        <v>791594284.12732923</v>
      </c>
      <c r="N124" s="128"/>
    </row>
    <row r="125" spans="1:14" ht="13.5" customHeight="1" x14ac:dyDescent="0.25">
      <c r="A125" s="856" t="str">
        <f t="shared" si="24"/>
        <v>Electricity Distribution</v>
      </c>
      <c r="B125" s="741"/>
      <c r="C125" s="391">
        <v>792179569</v>
      </c>
      <c r="D125" s="109"/>
      <c r="E125" s="109"/>
      <c r="F125" s="109"/>
      <c r="G125" s="109"/>
      <c r="H125" s="109">
        <v>0</v>
      </c>
      <c r="I125" s="109">
        <v>-2239630</v>
      </c>
      <c r="J125" s="174">
        <f>SUM(E125:I125)</f>
        <v>-2239630</v>
      </c>
      <c r="K125" s="174">
        <f>IF(D125=0,C125+J125,D125+J125)</f>
        <v>789939939</v>
      </c>
      <c r="L125" s="109">
        <v>772679485.03981984</v>
      </c>
      <c r="M125" s="110">
        <v>791594284.12732923</v>
      </c>
      <c r="N125" s="128"/>
    </row>
    <row r="126" spans="1:14" ht="13.5" customHeight="1" x14ac:dyDescent="0.25">
      <c r="A126" s="856" t="str">
        <f t="shared" si="24"/>
        <v>Electricity Generation</v>
      </c>
      <c r="B126" s="741"/>
      <c r="C126" s="391">
        <v>0</v>
      </c>
      <c r="D126" s="109"/>
      <c r="E126" s="109"/>
      <c r="F126" s="109"/>
      <c r="G126" s="109"/>
      <c r="H126" s="109">
        <v>0</v>
      </c>
      <c r="I126" s="109">
        <v>0</v>
      </c>
      <c r="J126" s="174">
        <f>SUM(E126:I126)</f>
        <v>0</v>
      </c>
      <c r="K126" s="174">
        <f>IF(D126=0,C126+J126,D126+J126)</f>
        <v>0</v>
      </c>
      <c r="L126" s="109">
        <v>0</v>
      </c>
      <c r="M126" s="110">
        <v>0</v>
      </c>
      <c r="N126" s="128"/>
    </row>
    <row r="127" spans="1:14" ht="13.5" customHeight="1" x14ac:dyDescent="0.25">
      <c r="A127" s="724" t="str">
        <f t="shared" si="24"/>
        <v>Water</v>
      </c>
      <c r="B127" s="741"/>
      <c r="C127" s="725">
        <f t="shared" ref="C127:I127" si="41">SUM(C128:C129)</f>
        <v>295408724</v>
      </c>
      <c r="D127" s="271">
        <f t="shared" si="41"/>
        <v>0</v>
      </c>
      <c r="E127" s="271">
        <f t="shared" si="41"/>
        <v>0</v>
      </c>
      <c r="F127" s="271">
        <f t="shared" si="41"/>
        <v>0</v>
      </c>
      <c r="G127" s="271">
        <f t="shared" si="41"/>
        <v>0</v>
      </c>
      <c r="H127" s="271">
        <f t="shared" si="41"/>
        <v>0</v>
      </c>
      <c r="I127" s="271">
        <f t="shared" si="41"/>
        <v>-2479828</v>
      </c>
      <c r="J127" s="271">
        <f>SUM(J128:J129)</f>
        <v>-2479828</v>
      </c>
      <c r="K127" s="271">
        <f>SUM(K128:K129)</f>
        <v>292928896</v>
      </c>
      <c r="L127" s="271">
        <f>SUM(L128:L129)</f>
        <v>314610285.54667991</v>
      </c>
      <c r="M127" s="272">
        <f>SUM(M128:M129)</f>
        <v>334430727.93612081</v>
      </c>
      <c r="N127" s="128"/>
    </row>
    <row r="128" spans="1:14" ht="13.5" customHeight="1" x14ac:dyDescent="0.25">
      <c r="A128" s="856" t="str">
        <f t="shared" si="24"/>
        <v>Water Distribution</v>
      </c>
      <c r="B128" s="741"/>
      <c r="C128" s="391">
        <v>106271462</v>
      </c>
      <c r="D128" s="109"/>
      <c r="E128" s="109"/>
      <c r="F128" s="109"/>
      <c r="G128" s="109"/>
      <c r="H128" s="109">
        <v>0</v>
      </c>
      <c r="I128" s="109">
        <v>2090000</v>
      </c>
      <c r="J128" s="174">
        <f>SUM(E128:I128)</f>
        <v>2090000</v>
      </c>
      <c r="K128" s="174">
        <f>IF(D128=0,C128+J128,D128+J128)</f>
        <v>108361462</v>
      </c>
      <c r="L128" s="109">
        <v>113179105.18094996</v>
      </c>
      <c r="M128" s="110">
        <v>120309385.92734987</v>
      </c>
      <c r="N128" s="128"/>
    </row>
    <row r="129" spans="1:14" ht="13.5" customHeight="1" x14ac:dyDescent="0.25">
      <c r="A129" s="856" t="str">
        <f t="shared" si="24"/>
        <v>Water Storage</v>
      </c>
      <c r="B129" s="741"/>
      <c r="C129" s="391">
        <v>189137262</v>
      </c>
      <c r="D129" s="109"/>
      <c r="E129" s="109"/>
      <c r="F129" s="109"/>
      <c r="G129" s="109"/>
      <c r="H129" s="109">
        <v>0</v>
      </c>
      <c r="I129" s="109">
        <v>-4569828</v>
      </c>
      <c r="J129" s="174">
        <f>SUM(E129:I129)</f>
        <v>-4569828</v>
      </c>
      <c r="K129" s="174">
        <f>IF(D129=0,C129+J129,D129+J129)</f>
        <v>184567434</v>
      </c>
      <c r="L129" s="109">
        <v>201431180.36572996</v>
      </c>
      <c r="M129" s="110">
        <v>214121342.00877094</v>
      </c>
      <c r="N129" s="128"/>
    </row>
    <row r="130" spans="1:14" ht="13.5" customHeight="1" x14ac:dyDescent="0.25">
      <c r="A130" s="724" t="str">
        <f t="shared" si="24"/>
        <v>Waste water management</v>
      </c>
      <c r="B130" s="741"/>
      <c r="C130" s="725">
        <f t="shared" ref="C130:I130" si="42">SUM(C131:C133)</f>
        <v>86367546</v>
      </c>
      <c r="D130" s="271">
        <f t="shared" si="42"/>
        <v>0</v>
      </c>
      <c r="E130" s="271">
        <f t="shared" si="42"/>
        <v>0</v>
      </c>
      <c r="F130" s="271">
        <f t="shared" si="42"/>
        <v>0</v>
      </c>
      <c r="G130" s="271">
        <f t="shared" si="42"/>
        <v>0</v>
      </c>
      <c r="H130" s="271">
        <f t="shared" si="42"/>
        <v>0</v>
      </c>
      <c r="I130" s="271">
        <f t="shared" si="42"/>
        <v>3182516</v>
      </c>
      <c r="J130" s="271">
        <f>SUM(J131:J133)</f>
        <v>3182516</v>
      </c>
      <c r="K130" s="271">
        <f>SUM(K131:K133)</f>
        <v>89550062</v>
      </c>
      <c r="L130" s="271">
        <f>SUM(L131:L133)</f>
        <v>91981433.824539959</v>
      </c>
      <c r="M130" s="272">
        <f>SUM(M131:M133)</f>
        <v>97776262.325486049</v>
      </c>
      <c r="N130" s="128"/>
    </row>
    <row r="131" spans="1:14" ht="13.5" customHeight="1" x14ac:dyDescent="0.25">
      <c r="A131" s="856" t="str">
        <f t="shared" si="24"/>
        <v>Sewerage</v>
      </c>
      <c r="B131" s="741"/>
      <c r="C131" s="391">
        <v>74131811</v>
      </c>
      <c r="D131" s="109"/>
      <c r="E131" s="109"/>
      <c r="F131" s="109"/>
      <c r="G131" s="109"/>
      <c r="H131" s="109">
        <v>0</v>
      </c>
      <c r="I131" s="109">
        <v>1737516</v>
      </c>
      <c r="J131" s="174">
        <f>SUM(E131:I131)</f>
        <v>1737516</v>
      </c>
      <c r="K131" s="174">
        <f>IF(D131=0,C131+J131,D131+J131)</f>
        <v>75869327</v>
      </c>
      <c r="L131" s="109">
        <v>78950376.320049956</v>
      </c>
      <c r="M131" s="110">
        <v>83924248.198213175</v>
      </c>
      <c r="N131" s="128"/>
    </row>
    <row r="132" spans="1:14" ht="13.5" customHeight="1" x14ac:dyDescent="0.25">
      <c r="A132" s="856" t="str">
        <f t="shared" si="24"/>
        <v>Storm Water Management</v>
      </c>
      <c r="B132" s="741"/>
      <c r="C132" s="391">
        <v>10364653</v>
      </c>
      <c r="D132" s="109"/>
      <c r="E132" s="109"/>
      <c r="F132" s="109"/>
      <c r="G132" s="109"/>
      <c r="H132" s="109">
        <v>0</v>
      </c>
      <c r="I132" s="109">
        <v>-55000</v>
      </c>
      <c r="J132" s="174">
        <f>SUM(E132:I132)</f>
        <v>-55000</v>
      </c>
      <c r="K132" s="174">
        <f>IF(D132=0,C132+J132,D132+J132)</f>
        <v>10309653</v>
      </c>
      <c r="L132" s="109">
        <v>11038355.628179999</v>
      </c>
      <c r="M132" s="110">
        <v>11733772.03275534</v>
      </c>
      <c r="N132" s="128"/>
    </row>
    <row r="133" spans="1:14" ht="13.5" customHeight="1" x14ac:dyDescent="0.25">
      <c r="A133" s="856" t="str">
        <f t="shared" si="24"/>
        <v>Public Toilets</v>
      </c>
      <c r="B133" s="741"/>
      <c r="C133" s="391">
        <v>1871082</v>
      </c>
      <c r="D133" s="109"/>
      <c r="E133" s="109"/>
      <c r="F133" s="109"/>
      <c r="G133" s="109"/>
      <c r="H133" s="109">
        <v>0</v>
      </c>
      <c r="I133" s="109">
        <v>1500000</v>
      </c>
      <c r="J133" s="174">
        <f>SUM(E133:I133)</f>
        <v>1500000</v>
      </c>
      <c r="K133" s="174">
        <f>IF(D133=0,C133+J133,D133+J133)</f>
        <v>3371082</v>
      </c>
      <c r="L133" s="109">
        <v>1992701.87631</v>
      </c>
      <c r="M133" s="110">
        <v>2118242.0945175299</v>
      </c>
      <c r="N133" s="128"/>
    </row>
    <row r="134" spans="1:14" ht="13.5" customHeight="1" x14ac:dyDescent="0.25">
      <c r="A134" s="724" t="str">
        <f t="shared" si="24"/>
        <v>Waste management</v>
      </c>
      <c r="B134" s="741"/>
      <c r="C134" s="725">
        <f t="shared" ref="C134:M134" si="43">SUM(C135)</f>
        <v>64899798</v>
      </c>
      <c r="D134" s="271">
        <f t="shared" si="43"/>
        <v>0</v>
      </c>
      <c r="E134" s="271">
        <f t="shared" si="43"/>
        <v>0</v>
      </c>
      <c r="F134" s="271">
        <f t="shared" si="43"/>
        <v>0</v>
      </c>
      <c r="G134" s="271">
        <f t="shared" si="43"/>
        <v>0</v>
      </c>
      <c r="H134" s="271">
        <f t="shared" si="43"/>
        <v>0</v>
      </c>
      <c r="I134" s="271">
        <f t="shared" si="43"/>
        <v>422600</v>
      </c>
      <c r="J134" s="271">
        <f t="shared" si="43"/>
        <v>422600</v>
      </c>
      <c r="K134" s="271">
        <f t="shared" si="43"/>
        <v>65322398</v>
      </c>
      <c r="L134" s="271">
        <f t="shared" si="43"/>
        <v>69118279.403749987</v>
      </c>
      <c r="M134" s="272">
        <f t="shared" si="43"/>
        <v>73472728.286186203</v>
      </c>
      <c r="N134" s="128"/>
    </row>
    <row r="135" spans="1:14" ht="13.5" customHeight="1" x14ac:dyDescent="0.25">
      <c r="A135" s="856" t="str">
        <f t="shared" si="24"/>
        <v>Solid Waste</v>
      </c>
      <c r="B135" s="739"/>
      <c r="C135" s="391">
        <v>64899798</v>
      </c>
      <c r="D135" s="109"/>
      <c r="E135" s="109"/>
      <c r="F135" s="109"/>
      <c r="G135" s="109"/>
      <c r="H135" s="109"/>
      <c r="I135" s="109">
        <v>422600</v>
      </c>
      <c r="J135" s="174">
        <f>SUM(E135:I135)</f>
        <v>422600</v>
      </c>
      <c r="K135" s="174">
        <f>IF(D135=0,C135+J135,D135+J135)</f>
        <v>65322398</v>
      </c>
      <c r="L135" s="109">
        <v>69118279.403749987</v>
      </c>
      <c r="M135" s="110">
        <v>73472728.286186203</v>
      </c>
      <c r="N135" s="128"/>
    </row>
    <row r="136" spans="1:14" ht="13.5" customHeight="1" x14ac:dyDescent="0.25">
      <c r="A136" s="107" t="str">
        <f t="shared" si="24"/>
        <v>Other</v>
      </c>
      <c r="B136" s="739"/>
      <c r="C136" s="725">
        <f>SUM(C137:C141)</f>
        <v>0</v>
      </c>
      <c r="D136" s="271">
        <f t="shared" ref="D136:I136" si="44">SUM(D137:D141)</f>
        <v>0</v>
      </c>
      <c r="E136" s="271">
        <f t="shared" si="44"/>
        <v>0</v>
      </c>
      <c r="F136" s="271">
        <f t="shared" si="44"/>
        <v>0</v>
      </c>
      <c r="G136" s="271">
        <f t="shared" si="44"/>
        <v>0</v>
      </c>
      <c r="H136" s="271">
        <f t="shared" si="44"/>
        <v>0</v>
      </c>
      <c r="I136" s="271">
        <f t="shared" si="44"/>
        <v>0</v>
      </c>
      <c r="J136" s="271">
        <f>SUM(J137:J141)</f>
        <v>0</v>
      </c>
      <c r="K136" s="271">
        <f>SUM(K137:K141)</f>
        <v>0</v>
      </c>
      <c r="L136" s="271">
        <f>SUM(L137:L141)</f>
        <v>0</v>
      </c>
      <c r="M136" s="272">
        <f>SUM(M137:M141)</f>
        <v>0</v>
      </c>
      <c r="N136" s="128"/>
    </row>
    <row r="137" spans="1:14" ht="13.5" customHeight="1" x14ac:dyDescent="0.25">
      <c r="A137" s="724" t="str">
        <f t="shared" si="24"/>
        <v>Air Transport</v>
      </c>
      <c r="B137" s="739"/>
      <c r="C137" s="391"/>
      <c r="D137" s="109"/>
      <c r="E137" s="109"/>
      <c r="F137" s="109"/>
      <c r="G137" s="109"/>
      <c r="H137" s="109"/>
      <c r="I137" s="109"/>
      <c r="J137" s="174">
        <f>SUM(E137:I137)</f>
        <v>0</v>
      </c>
      <c r="K137" s="174">
        <f>IF(D137=0,C137+J137,D137+J137)</f>
        <v>0</v>
      </c>
      <c r="L137" s="109"/>
      <c r="M137" s="110"/>
      <c r="N137" s="128"/>
    </row>
    <row r="138" spans="1:14" ht="13.5" customHeight="1" x14ac:dyDescent="0.25">
      <c r="A138" s="724" t="str">
        <f t="shared" si="24"/>
        <v>Abattoirs</v>
      </c>
      <c r="B138" s="739"/>
      <c r="C138" s="391"/>
      <c r="D138" s="109"/>
      <c r="E138" s="109"/>
      <c r="F138" s="109"/>
      <c r="G138" s="109"/>
      <c r="H138" s="109"/>
      <c r="I138" s="109"/>
      <c r="J138" s="174">
        <f>SUM(E138:I138)</f>
        <v>0</v>
      </c>
      <c r="K138" s="174">
        <f>IF(D138=0,C138+J138,D138+J138)</f>
        <v>0</v>
      </c>
      <c r="L138" s="109"/>
      <c r="M138" s="110"/>
      <c r="N138" s="128"/>
    </row>
    <row r="139" spans="1:14" ht="13.5" customHeight="1" x14ac:dyDescent="0.25">
      <c r="A139" s="724" t="str">
        <f t="shared" si="24"/>
        <v>Tourism</v>
      </c>
      <c r="B139" s="739"/>
      <c r="C139" s="391"/>
      <c r="D139" s="109"/>
      <c r="E139" s="109"/>
      <c r="F139" s="109"/>
      <c r="G139" s="109"/>
      <c r="H139" s="109"/>
      <c r="I139" s="109"/>
      <c r="J139" s="174">
        <f>SUM(E139:I139)</f>
        <v>0</v>
      </c>
      <c r="K139" s="174">
        <f>IF(D139=0,C139+J139,D139+J139)</f>
        <v>0</v>
      </c>
      <c r="L139" s="109"/>
      <c r="M139" s="110"/>
      <c r="N139" s="128"/>
    </row>
    <row r="140" spans="1:14" ht="13.5" customHeight="1" x14ac:dyDescent="0.25">
      <c r="A140" s="724" t="str">
        <f t="shared" si="24"/>
        <v>Forestry</v>
      </c>
      <c r="B140" s="739"/>
      <c r="C140" s="391"/>
      <c r="D140" s="109"/>
      <c r="E140" s="109"/>
      <c r="F140" s="109"/>
      <c r="G140" s="109"/>
      <c r="H140" s="109"/>
      <c r="I140" s="109"/>
      <c r="J140" s="174">
        <f>SUM(E140:I140)</f>
        <v>0</v>
      </c>
      <c r="K140" s="174">
        <f>IF(D140=0,C140+J140,D140+J140)</f>
        <v>0</v>
      </c>
      <c r="L140" s="109"/>
      <c r="M140" s="110"/>
      <c r="N140" s="128"/>
    </row>
    <row r="141" spans="1:14" ht="13.5" customHeight="1" x14ac:dyDescent="0.25">
      <c r="A141" s="724" t="str">
        <f>A72</f>
        <v>Markets</v>
      </c>
      <c r="B141" s="739"/>
      <c r="C141" s="391"/>
      <c r="D141" s="109"/>
      <c r="E141" s="109"/>
      <c r="F141" s="109"/>
      <c r="G141" s="109"/>
      <c r="H141" s="109"/>
      <c r="I141" s="109"/>
      <c r="J141" s="174">
        <f>SUM(E141:I141)</f>
        <v>0</v>
      </c>
      <c r="K141" s="174">
        <f>IF(D141=0,C141+J141,D141+J141)</f>
        <v>0</v>
      </c>
      <c r="L141" s="109"/>
      <c r="M141" s="110"/>
      <c r="N141" s="128"/>
    </row>
    <row r="142" spans="1:14" ht="13.5" customHeight="1" x14ac:dyDescent="0.25">
      <c r="A142" s="279" t="str">
        <f>"Total "&amp;A75</f>
        <v>Total Expenditure - Standard</v>
      </c>
      <c r="B142" s="739">
        <v>3</v>
      </c>
      <c r="C142" s="691">
        <f>C76+C86+C108+C123+C136</f>
        <v>2288560000</v>
      </c>
      <c r="D142" s="692">
        <f t="shared" ref="D142:M142" si="45">D76+D86+D108+D123+D136</f>
        <v>0</v>
      </c>
      <c r="E142" s="692">
        <f t="shared" si="45"/>
        <v>0</v>
      </c>
      <c r="F142" s="692">
        <f t="shared" si="45"/>
        <v>0</v>
      </c>
      <c r="G142" s="692">
        <f t="shared" si="45"/>
        <v>0</v>
      </c>
      <c r="H142" s="692">
        <f t="shared" si="45"/>
        <v>0</v>
      </c>
      <c r="I142" s="692">
        <f t="shared" si="45"/>
        <v>33410000</v>
      </c>
      <c r="J142" s="692">
        <f t="shared" si="45"/>
        <v>33410000</v>
      </c>
      <c r="K142" s="692">
        <f t="shared" si="45"/>
        <v>2321970000</v>
      </c>
      <c r="L142" s="692">
        <f t="shared" si="45"/>
        <v>2358123014.6993685</v>
      </c>
      <c r="M142" s="693">
        <f t="shared" si="45"/>
        <v>2476909030.6937876</v>
      </c>
      <c r="N142" s="128"/>
    </row>
    <row r="143" spans="1:14" ht="13.5" customHeight="1" x14ac:dyDescent="0.25">
      <c r="A143" s="730" t="str">
        <f>result</f>
        <v>Surplus/ (Deficit) for the year</v>
      </c>
      <c r="B143" s="742"/>
      <c r="C143" s="89">
        <f t="shared" ref="C143:I143" si="46">C73-C142</f>
        <v>582191000</v>
      </c>
      <c r="D143" s="90">
        <f t="shared" si="46"/>
        <v>0</v>
      </c>
      <c r="E143" s="90">
        <f t="shared" si="46"/>
        <v>0</v>
      </c>
      <c r="F143" s="90">
        <f t="shared" si="46"/>
        <v>0</v>
      </c>
      <c r="G143" s="90">
        <f t="shared" si="46"/>
        <v>0</v>
      </c>
      <c r="H143" s="90">
        <f t="shared" si="46"/>
        <v>42808657</v>
      </c>
      <c r="I143" s="90">
        <f t="shared" si="46"/>
        <v>2500343</v>
      </c>
      <c r="J143" s="744">
        <f>J73-J142</f>
        <v>45309000</v>
      </c>
      <c r="K143" s="744">
        <f>K73-K142</f>
        <v>627500000</v>
      </c>
      <c r="L143" s="90">
        <f>L73-L142</f>
        <v>595757941.30201149</v>
      </c>
      <c r="M143" s="91">
        <f>M73-M142</f>
        <v>712040876.23443365</v>
      </c>
      <c r="N143" s="128"/>
    </row>
    <row r="144" spans="1:14" ht="13.5" x14ac:dyDescent="0.25">
      <c r="A144" s="654" t="str">
        <f>head27a</f>
        <v>References</v>
      </c>
      <c r="B144" s="731"/>
      <c r="C144" s="732"/>
      <c r="D144" s="732"/>
      <c r="E144" s="732"/>
      <c r="F144" s="732"/>
      <c r="G144" s="732"/>
      <c r="H144" s="732"/>
      <c r="I144" s="732"/>
      <c r="J144" s="913"/>
      <c r="K144" s="913"/>
      <c r="L144" s="5"/>
    </row>
    <row r="145" spans="1:12" ht="13.5" x14ac:dyDescent="0.25">
      <c r="A145" s="120" t="s">
        <v>1144</v>
      </c>
      <c r="B145" s="731"/>
      <c r="C145" s="733"/>
      <c r="D145" s="733"/>
      <c r="E145" s="734"/>
      <c r="F145" s="734"/>
      <c r="G145" s="734"/>
      <c r="H145" s="734"/>
      <c r="I145" s="734"/>
      <c r="J145" s="914"/>
      <c r="K145" s="914"/>
      <c r="L145" s="5"/>
    </row>
    <row r="146" spans="1:12" ht="13.5" x14ac:dyDescent="0.25">
      <c r="A146" s="652" t="s">
        <v>1145</v>
      </c>
      <c r="B146" s="731"/>
      <c r="C146" s="733"/>
      <c r="D146" s="733"/>
      <c r="E146" s="734"/>
      <c r="F146" s="734"/>
      <c r="G146" s="734"/>
      <c r="H146" s="734"/>
      <c r="I146" s="734"/>
      <c r="J146" s="914"/>
      <c r="K146" s="914"/>
      <c r="L146" s="5"/>
    </row>
    <row r="147" spans="1:12" ht="13.5" x14ac:dyDescent="0.25">
      <c r="A147" s="120" t="s">
        <v>1146</v>
      </c>
      <c r="B147" s="731"/>
      <c r="C147" s="733"/>
      <c r="D147" s="733"/>
      <c r="E147" s="734"/>
      <c r="F147" s="734"/>
      <c r="G147" s="734"/>
      <c r="H147" s="734"/>
      <c r="I147" s="734"/>
      <c r="J147" s="914"/>
      <c r="K147" s="914"/>
      <c r="L147" s="5"/>
    </row>
    <row r="148" spans="1:12" ht="13.5" x14ac:dyDescent="0.25">
      <c r="A148" s="1325" t="s">
        <v>1147</v>
      </c>
      <c r="B148" s="1325"/>
      <c r="C148" s="1325"/>
      <c r="D148" s="1325"/>
      <c r="E148" s="1325"/>
      <c r="F148" s="1325"/>
      <c r="G148" s="1325"/>
      <c r="H148" s="1325"/>
      <c r="I148" s="1325"/>
      <c r="J148" s="1325"/>
      <c r="K148" s="1325"/>
      <c r="L148" s="5"/>
    </row>
    <row r="149" spans="1:12" ht="13.5" x14ac:dyDescent="0.25">
      <c r="A149" s="48"/>
      <c r="B149" s="121"/>
      <c r="C149" s="509"/>
      <c r="D149" s="509"/>
      <c r="E149" s="53"/>
      <c r="F149" s="53"/>
      <c r="G149" s="53"/>
      <c r="H149" s="53"/>
      <c r="I149" s="53"/>
      <c r="J149" s="554"/>
      <c r="K149" s="554"/>
      <c r="L149" s="5"/>
    </row>
    <row r="150" spans="1:12" x14ac:dyDescent="0.2">
      <c r="A150" s="854"/>
      <c r="B150" s="854"/>
      <c r="C150" s="854"/>
    </row>
    <row r="151" spans="1:12" x14ac:dyDescent="0.2">
      <c r="A151" s="854"/>
      <c r="B151" s="854"/>
      <c r="C151" s="854"/>
    </row>
    <row r="152" spans="1:12" x14ac:dyDescent="0.2">
      <c r="A152" s="854"/>
      <c r="B152" s="854"/>
      <c r="C152" s="854"/>
    </row>
    <row r="153" spans="1:12" x14ac:dyDescent="0.2">
      <c r="A153" s="854"/>
      <c r="B153" s="854"/>
      <c r="C153" s="854"/>
    </row>
    <row r="154" spans="1:12" x14ac:dyDescent="0.2">
      <c r="A154" s="854"/>
      <c r="B154" s="854"/>
      <c r="C154" s="854"/>
    </row>
    <row r="155" spans="1:12" x14ac:dyDescent="0.2">
      <c r="A155" s="854"/>
      <c r="B155" s="854"/>
      <c r="C155" s="854"/>
    </row>
    <row r="156" spans="1:12" x14ac:dyDescent="0.2">
      <c r="A156" s="854"/>
      <c r="B156" s="854"/>
      <c r="C156" s="854"/>
    </row>
    <row r="157" spans="1:12" x14ac:dyDescent="0.2">
      <c r="A157" s="854"/>
      <c r="B157" s="854"/>
      <c r="C157" s="854"/>
    </row>
    <row r="158" spans="1:12" x14ac:dyDescent="0.2">
      <c r="A158" s="854"/>
      <c r="B158" s="854"/>
      <c r="C158" s="854"/>
    </row>
    <row r="159" spans="1:12" x14ac:dyDescent="0.2">
      <c r="A159" s="854"/>
      <c r="B159" s="854"/>
      <c r="C159" s="854"/>
    </row>
    <row r="160" spans="1:12" x14ac:dyDescent="0.2">
      <c r="A160" s="854"/>
      <c r="B160" s="854"/>
      <c r="C160" s="854"/>
    </row>
    <row r="161" spans="1:3" x14ac:dyDescent="0.2">
      <c r="A161" s="854"/>
      <c r="B161" s="854"/>
      <c r="C161" s="854"/>
    </row>
    <row r="162" spans="1:3" x14ac:dyDescent="0.2">
      <c r="A162" s="854"/>
      <c r="B162" s="854"/>
      <c r="C162" s="854"/>
    </row>
    <row r="163" spans="1:3" x14ac:dyDescent="0.2">
      <c r="A163" s="854"/>
      <c r="B163" s="854"/>
      <c r="C163" s="854"/>
    </row>
    <row r="164" spans="1:3" x14ac:dyDescent="0.2">
      <c r="A164" s="854"/>
      <c r="B164" s="854"/>
      <c r="C164" s="854"/>
    </row>
    <row r="165" spans="1:3" x14ac:dyDescent="0.2">
      <c r="A165" s="854"/>
      <c r="B165" s="854"/>
      <c r="C165" s="854"/>
    </row>
    <row r="166" spans="1:3" x14ac:dyDescent="0.2">
      <c r="A166" s="854"/>
      <c r="B166" s="854"/>
      <c r="C166" s="854"/>
    </row>
    <row r="167" spans="1:3" x14ac:dyDescent="0.2">
      <c r="A167" s="854"/>
      <c r="B167" s="854"/>
      <c r="C167" s="854"/>
    </row>
  </sheetData>
  <mergeCells count="2">
    <mergeCell ref="A148:K148"/>
    <mergeCell ref="C2:K2"/>
  </mergeCells>
  <phoneticPr fontId="3"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7D7F28-0011-49F6-B069-4805B2AEF2C7}">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 ds:uri="http://schemas.microsoft.com/office/infopath/2007/PartnerControls"/>
  </ds:schemaRefs>
</ds:datastoreItem>
</file>

<file path=customXml/itemProps2.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0472A1BA-82FB-4F57-975A-70E48E238D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164</vt:i4>
      </vt:variant>
    </vt:vector>
  </HeadingPairs>
  <TitlesOfParts>
    <vt:vector size="204"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Instructions!MTREF</vt:lpstr>
      <vt:lpstr>MTREF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Moleboheng Mathebula</cp:lastModifiedBy>
  <cp:lastPrinted>2016-02-18T14:22:20Z</cp:lastPrinted>
  <dcterms:created xsi:type="dcterms:W3CDTF">2009-03-24T13:39:17Z</dcterms:created>
  <dcterms:modified xsi:type="dcterms:W3CDTF">2016-03-01T08:55:13Z</dcterms:modified>
</cp:coreProperties>
</file>